
<file path=[Content_Types].xml><?xml version="1.0" encoding="utf-8"?>
<Types xmlns="http://schemas.openxmlformats.org/package/2006/content-type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Default Extension="jpeg" ContentType="image/jpeg"/>
  <Default Extension="emf" ContentType="image/x-emf"/>
  <Override PartName="/xl/drawings/drawing4.xml" ContentType="application/vnd.openxmlformats-officedocument.drawing+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trlProps/ctrlProp8.xml" ContentType="application/vnd.ms-excel.controlproperties+xml"/>
  <Override PartName="/xl/ctrlProps/ctrlProp13.xml" ContentType="application/vnd.ms-excel.controlproperties+xml"/>
  <Override PartName="/xl/ctrlProps/ctrlProp7.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Default Extension="gif" ContentType="image/gif"/>
  <Override PartName="/xl/calcChain.xml" ContentType="application/vnd.openxmlformats-officedocument.spreadsheetml.calcChain+xml"/>
  <Override PartName="/xl/ctrlProps/ctrlProp12.xml" ContentType="application/vnd.ms-excel.controlproperties+xml"/>
  <Override PartName="/xl/ctrlProps/ctrlProp11.xml" ContentType="application/vnd.ms-excel.controlproperties+xml"/>
  <Override PartName="/xl/ctrlProps/ctrlProp6.xml" ContentType="application/vnd.ms-excel.controlproperties+xml"/>
  <Override PartName="/xl/ctrlProps/ctrlProp5.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Default Extension="bin" ContentType="application/vnd.openxmlformats-officedocument.spreadsheetml.printerSettings"/>
  <Default Extension="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20" yWindow="-120" windowWidth="20730" windowHeight="11760" tabRatio="754" firstSheet="2" activeTab="2"/>
  </bookViews>
  <sheets>
    <sheet name="INFO" sheetId="10" r:id="rId1"/>
    <sheet name="calcul pneu pour calculateur" sheetId="17" r:id="rId2"/>
    <sheet name="Creative Commons" sheetId="27" r:id="rId3"/>
    <sheet name="Module" sheetId="1" r:id="rId4"/>
    <sheet name="Help Me" sheetId="18" r:id="rId5"/>
    <sheet name="Ingénierie pneu" sheetId="11" r:id="rId6"/>
    <sheet name="Calcul ws" sheetId="8" r:id="rId7"/>
    <sheet name="SETUP" sheetId="22" r:id="rId8"/>
    <sheet name="DB_COMP" sheetId="24" r:id="rId9"/>
    <sheet name="USURES_PIECES" sheetId="25" r:id="rId10"/>
    <sheet name="CALCULETTE CHRONOS" sheetId="26" r:id="rId11"/>
  </sheets>
  <externalReferences>
    <externalReference r:id="rId12"/>
  </externalReferences>
  <definedNames>
    <definedName name="_xlnm._FilterDatabase" localSheetId="0" hidden="1">INFO!$A$1:$AR$65</definedName>
    <definedName name="a" localSheetId="10">'[1]Calcul ws'!$J$7</definedName>
    <definedName name="a" comment="Variable calculée du wing splitting">'Calcul ws'!$J$7</definedName>
    <definedName name="b" localSheetId="10">'[1]Calcul ws'!$J$8</definedName>
    <definedName name="b" comment="Variable calculée du wing splitting">'Calcul ws'!$J$8</definedName>
    <definedName name="g" localSheetId="10">'[1]Calcul ws'!$J$9</definedName>
    <definedName name="g" comment="Variable calculée du wing splitting">'Calcul ws'!$J$9</definedName>
    <definedName name="HELP">'Help Me'!$AK$6</definedName>
    <definedName name="mx" localSheetId="10">'[1]Calcul ws'!$J$3</definedName>
    <definedName name="mx" comment="Variable calculée du wing splitting">'Calcul ws'!$J$3</definedName>
    <definedName name="my" localSheetId="10">'[1]Calcul ws'!$J$2</definedName>
    <definedName name="my" comment="Variable calculée du wing splitting">'Calcul ws'!$J$2</definedName>
    <definedName name="solver_adj" localSheetId="1" hidden="1">'calcul pneu pour calculateur'!$L$15</definedName>
    <definedName name="solver_adj" localSheetId="4" hidden="1">'Help Me'!$K$98,'Help Me'!$K$99</definedName>
    <definedName name="solver_adj" localSheetId="5" hidden="1">'Ingénierie pneu'!$L$15</definedName>
    <definedName name="solver_cvg" localSheetId="1" hidden="1">0.0001</definedName>
    <definedName name="solver_cvg" localSheetId="4" hidden="1">0.0001</definedName>
    <definedName name="solver_cvg" localSheetId="5" hidden="1">0.0001</definedName>
    <definedName name="solver_drv" localSheetId="1" hidden="1">2</definedName>
    <definedName name="solver_drv" localSheetId="4" hidden="1">2</definedName>
    <definedName name="solver_drv" localSheetId="5" hidden="1">2</definedName>
    <definedName name="solver_eng" localSheetId="1" hidden="1">1</definedName>
    <definedName name="solver_eng" localSheetId="4" hidden="1">1</definedName>
    <definedName name="solver_eng" localSheetId="5" hidden="1">1</definedName>
    <definedName name="solver_est" localSheetId="1" hidden="1">1</definedName>
    <definedName name="solver_est" localSheetId="4" hidden="1">1</definedName>
    <definedName name="solver_est" localSheetId="5" hidden="1">1</definedName>
    <definedName name="solver_itr" localSheetId="1" hidden="1">2147483647</definedName>
    <definedName name="solver_itr" localSheetId="4" hidden="1">2147483647</definedName>
    <definedName name="solver_itr" localSheetId="5" hidden="1">2147483647</definedName>
    <definedName name="solver_mip" localSheetId="1" hidden="1">2147483647</definedName>
    <definedName name="solver_mip" localSheetId="4" hidden="1">2147483647</definedName>
    <definedName name="solver_mip" localSheetId="5" hidden="1">2147483647</definedName>
    <definedName name="solver_mni" localSheetId="1" hidden="1">30</definedName>
    <definedName name="solver_mni" localSheetId="4" hidden="1">30</definedName>
    <definedName name="solver_mni" localSheetId="5" hidden="1">30</definedName>
    <definedName name="solver_mrt" localSheetId="1" hidden="1">0.075</definedName>
    <definedName name="solver_mrt" localSheetId="4" hidden="1">0.075</definedName>
    <definedName name="solver_mrt" localSheetId="5" hidden="1">0.075</definedName>
    <definedName name="solver_msl" localSheetId="1" hidden="1">2</definedName>
    <definedName name="solver_msl" localSheetId="4" hidden="1">2</definedName>
    <definedName name="solver_msl" localSheetId="5" hidden="1">2</definedName>
    <definedName name="solver_neg" localSheetId="1" hidden="1">2</definedName>
    <definedName name="solver_neg" localSheetId="4" hidden="1">1</definedName>
    <definedName name="solver_neg" localSheetId="5" hidden="1">2</definedName>
    <definedName name="solver_nod" localSheetId="1" hidden="1">2147483647</definedName>
    <definedName name="solver_nod" localSheetId="4" hidden="1">2147483647</definedName>
    <definedName name="solver_nod" localSheetId="5" hidden="1">2147483647</definedName>
    <definedName name="solver_num" localSheetId="1" hidden="1">0</definedName>
    <definedName name="solver_num" localSheetId="4" hidden="1">0</definedName>
    <definedName name="solver_num" localSheetId="5" hidden="1">0</definedName>
    <definedName name="solver_nwt" localSheetId="1" hidden="1">1</definedName>
    <definedName name="solver_nwt" localSheetId="4" hidden="1">1</definedName>
    <definedName name="solver_nwt" localSheetId="5" hidden="1">1</definedName>
    <definedName name="solver_opt" localSheetId="1" hidden="1">'calcul pneu pour calculateur'!$P$15</definedName>
    <definedName name="solver_opt" localSheetId="4" hidden="1">'Help Me'!$E$79</definedName>
    <definedName name="solver_opt" localSheetId="5" hidden="1">'Ingénierie pneu'!$P$15</definedName>
    <definedName name="solver_pre" localSheetId="1" hidden="1">0.000001</definedName>
    <definedName name="solver_pre" localSheetId="4" hidden="1">0.000001</definedName>
    <definedName name="solver_pre" localSheetId="5" hidden="1">0.000001</definedName>
    <definedName name="solver_rbv" localSheetId="1" hidden="1">2</definedName>
    <definedName name="solver_rbv" localSheetId="4" hidden="1">2</definedName>
    <definedName name="solver_rbv" localSheetId="5" hidden="1">2</definedName>
    <definedName name="solver_rlx" localSheetId="1" hidden="1">2</definedName>
    <definedName name="solver_rlx" localSheetId="4" hidden="1">2</definedName>
    <definedName name="solver_rlx" localSheetId="5" hidden="1">2</definedName>
    <definedName name="solver_rsd" localSheetId="1" hidden="1">0</definedName>
    <definedName name="solver_rsd" localSheetId="4" hidden="1">0</definedName>
    <definedName name="solver_rsd" localSheetId="5" hidden="1">0</definedName>
    <definedName name="solver_scl" localSheetId="1" hidden="1">2</definedName>
    <definedName name="solver_scl" localSheetId="4" hidden="1">2</definedName>
    <definedName name="solver_scl" localSheetId="5" hidden="1">2</definedName>
    <definedName name="solver_sho" localSheetId="1" hidden="1">2</definedName>
    <definedName name="solver_sho" localSheetId="4" hidden="1">2</definedName>
    <definedName name="solver_sho" localSheetId="5" hidden="1">2</definedName>
    <definedName name="solver_ssz" localSheetId="1" hidden="1">100</definedName>
    <definedName name="solver_ssz" localSheetId="4" hidden="1">100</definedName>
    <definedName name="solver_ssz" localSheetId="5" hidden="1">100</definedName>
    <definedName name="solver_tim" localSheetId="1" hidden="1">2147483647</definedName>
    <definedName name="solver_tim" localSheetId="4" hidden="1">2147483647</definedName>
    <definedName name="solver_tim" localSheetId="5" hidden="1">2147483647</definedName>
    <definedName name="solver_tol" localSheetId="1" hidden="1">0.01</definedName>
    <definedName name="solver_tol" localSheetId="4" hidden="1">0.01</definedName>
    <definedName name="solver_tol" localSheetId="5" hidden="1">0.01</definedName>
    <definedName name="solver_typ" localSheetId="1" hidden="1">3</definedName>
    <definedName name="solver_typ" localSheetId="4" hidden="1">3</definedName>
    <definedName name="solver_typ" localSheetId="5" hidden="1">3</definedName>
    <definedName name="solver_val" localSheetId="1" hidden="1">178.55</definedName>
    <definedName name="solver_val" localSheetId="4" hidden="1">108.706</definedName>
    <definedName name="solver_val" localSheetId="5" hidden="1">178.55</definedName>
    <definedName name="solver_ver" localSheetId="1" hidden="1">3</definedName>
    <definedName name="solver_ver" localSheetId="4" hidden="1">3</definedName>
    <definedName name="solver_ver" localSheetId="5" hidden="1">3</definedName>
    <definedName name="t" localSheetId="10">OFFSET('[1]Calcul ws'!$D$2,,,COUNT('[1]Calcul ws'!$D:$D),1)</definedName>
    <definedName name="t" comment="Constante de matrice (Wing Split)">OFFSET('Calcul ws'!$D$2,,,COUNT('Calcul ws'!$D:$D),1)</definedName>
    <definedName name="TRACKS_NAMES_PICTURES" comment="Index des noms de circuits et leurs tracés." localSheetId="10">INDEX([1]Module!$B$100:$B$159, MATCH([1]Module!$H$2, [1]Module!$A$100:$A$159, 0))</definedName>
    <definedName name="TRACKS_NAMES_PICTURES" comment="Index des noms de circuits et leurs tracés.">INDEX(Module!$B$100:$B$161, MATCH(Module!$H$2, Module!$A$100:$A$161, 0))</definedName>
    <definedName name="u" localSheetId="10">'[1]Calcul ws'!$J$4</definedName>
    <definedName name="u" comment="Variable calculée du wing splitting">'Calcul ws'!$J$4</definedName>
    <definedName name="v" localSheetId="10">'[1]Calcul ws'!$J$5</definedName>
    <definedName name="v" comment="Variable calculée du wing splitting">'Calcul ws'!$J$5</definedName>
    <definedName name="w" localSheetId="10">'[1]Calcul ws'!$J$6</definedName>
    <definedName name="w" comment="Variable calculée du wing splitting">'Calcul ws'!$J$6</definedName>
    <definedName name="x" localSheetId="10">OFFSET('[1]Calcul ws'!$A$2,,,COUNT('[1]Calcul ws'!$A:$A),1)</definedName>
    <definedName name="x" comment="Constante de matrice (Wing Split)">OFFSET('Calcul ws'!$A$2,,,COUNT('Calcul ws'!$A:$A),1)</definedName>
    <definedName name="y" localSheetId="10">OFFSET('[1]Calcul ws'!$B$2,,,COUNT('[1]Calcul ws'!$B:$B),1)</definedName>
    <definedName name="y" comment="Constante de matrice (Wing Split)">OFFSET('Calcul ws'!$B$2,,,COUNT('Calcul ws'!$B:$B),1)</definedName>
  </definedNames>
  <calcPr calcId="1257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8" i="10"/>
  <c r="I66"/>
  <c r="I29"/>
  <c r="A3" i="17"/>
  <c r="B3" s="1"/>
  <c r="C151" i="10"/>
  <c r="E145"/>
  <c r="B149"/>
  <c r="B148"/>
  <c r="B145"/>
  <c r="F154"/>
  <c r="C154"/>
  <c r="F153"/>
  <c r="C153"/>
  <c r="F152"/>
  <c r="C149"/>
  <c r="C148"/>
  <c r="C147"/>
  <c r="B147"/>
  <c r="N55" i="1"/>
  <c r="X214" i="26"/>
  <c r="W214"/>
  <c r="T214"/>
  <c r="S214"/>
  <c r="P214"/>
  <c r="O214"/>
  <c r="L214"/>
  <c r="K214"/>
  <c r="Y13"/>
  <c r="L215" l="1"/>
  <c r="L216" s="1"/>
  <c r="L217" s="1"/>
  <c r="L218" s="1"/>
  <c r="L219" s="1"/>
  <c r="L220" s="1"/>
  <c r="L221" s="1"/>
  <c r="T215"/>
  <c r="P215"/>
  <c r="P216" s="1"/>
  <c r="P217" s="1"/>
  <c r="P218" s="1"/>
  <c r="P219" s="1"/>
  <c r="P220" s="1"/>
  <c r="P221" s="1"/>
  <c r="X215"/>
  <c r="X216" s="1"/>
  <c r="X217" s="1"/>
  <c r="X218" s="1"/>
  <c r="X219" s="1"/>
  <c r="X220" s="1"/>
  <c r="X221" s="1"/>
  <c r="A155" i="10"/>
  <c r="F148" s="1"/>
  <c r="R3" i="1" s="1"/>
  <c r="Y14" i="26"/>
  <c r="A13"/>
  <c r="I13"/>
  <c r="Q13"/>
  <c r="T216"/>
  <c r="T217" s="1"/>
  <c r="T218" s="1"/>
  <c r="T219" s="1"/>
  <c r="T220" s="1"/>
  <c r="T221" s="1"/>
  <c r="Y214"/>
  <c r="H83" i="10"/>
  <c r="J57" i="1" s="1"/>
  <c r="B8" i="22"/>
  <c r="B6"/>
  <c r="C3" i="25"/>
  <c r="F16"/>
  <c r="E62" s="1"/>
  <c r="L62" s="1"/>
  <c r="F8"/>
  <c r="I8" s="1"/>
  <c r="F9"/>
  <c r="E55" s="1"/>
  <c r="L55" s="1"/>
  <c r="F10"/>
  <c r="E56" s="1"/>
  <c r="L56" s="1"/>
  <c r="F11"/>
  <c r="I11" s="1"/>
  <c r="F12"/>
  <c r="E58" s="1"/>
  <c r="L58" s="1"/>
  <c r="F13"/>
  <c r="E59" s="1"/>
  <c r="L59" s="1"/>
  <c r="F14"/>
  <c r="I14" s="1"/>
  <c r="F15"/>
  <c r="I15" s="1"/>
  <c r="F7"/>
  <c r="E53" s="1"/>
  <c r="L53" s="1"/>
  <c r="F6"/>
  <c r="E52" s="1"/>
  <c r="L52" s="1"/>
  <c r="E16"/>
  <c r="H16" s="1"/>
  <c r="E8"/>
  <c r="H8" s="1"/>
  <c r="E9"/>
  <c r="H9" s="1"/>
  <c r="E10"/>
  <c r="H10" s="1"/>
  <c r="E11"/>
  <c r="H11" s="1"/>
  <c r="E12"/>
  <c r="H12" s="1"/>
  <c r="E13"/>
  <c r="H13" s="1"/>
  <c r="E14"/>
  <c r="H14" s="1"/>
  <c r="E15"/>
  <c r="H15" s="1"/>
  <c r="E7"/>
  <c r="H7" s="1"/>
  <c r="E6"/>
  <c r="H6" s="1"/>
  <c r="H3"/>
  <c r="G3"/>
  <c r="F3"/>
  <c r="E3"/>
  <c r="AL63" i="24"/>
  <c r="AK63"/>
  <c r="AJ63"/>
  <c r="AI63"/>
  <c r="AH63"/>
  <c r="AG63"/>
  <c r="AF63"/>
  <c r="AE63"/>
  <c r="AD63"/>
  <c r="AC63"/>
  <c r="AB63"/>
  <c r="AL62"/>
  <c r="AK62"/>
  <c r="AJ62"/>
  <c r="AI62"/>
  <c r="AH62"/>
  <c r="AG62"/>
  <c r="AF62"/>
  <c r="AE62"/>
  <c r="AD62"/>
  <c r="AC62"/>
  <c r="AB62"/>
  <c r="AL61"/>
  <c r="AK61"/>
  <c r="AJ61"/>
  <c r="AI61"/>
  <c r="AH61"/>
  <c r="AG61"/>
  <c r="AF61"/>
  <c r="AE61"/>
  <c r="AD61"/>
  <c r="AC61"/>
  <c r="AB61"/>
  <c r="AL60"/>
  <c r="AK60"/>
  <c r="AJ60"/>
  <c r="AI60"/>
  <c r="AH60"/>
  <c r="AG60"/>
  <c r="AF60"/>
  <c r="AE60"/>
  <c r="AD60"/>
  <c r="AC60"/>
  <c r="AB60"/>
  <c r="AL59"/>
  <c r="AK59"/>
  <c r="AJ59"/>
  <c r="AI59"/>
  <c r="AH59"/>
  <c r="AG59"/>
  <c r="AF59"/>
  <c r="AE59"/>
  <c r="AD59"/>
  <c r="AC59"/>
  <c r="AB59"/>
  <c r="AL58"/>
  <c r="AK58"/>
  <c r="AJ58"/>
  <c r="AI58"/>
  <c r="AH58"/>
  <c r="AG58"/>
  <c r="AF58"/>
  <c r="AE58"/>
  <c r="AD58"/>
  <c r="AC58"/>
  <c r="AB58"/>
  <c r="AL57"/>
  <c r="AK57"/>
  <c r="AJ57"/>
  <c r="AI57"/>
  <c r="AH57"/>
  <c r="AG57"/>
  <c r="AF57"/>
  <c r="AE57"/>
  <c r="AD57"/>
  <c r="AC57"/>
  <c r="AB57"/>
  <c r="AL56"/>
  <c r="AK56"/>
  <c r="AJ56"/>
  <c r="AI56"/>
  <c r="AH56"/>
  <c r="AG56"/>
  <c r="AF56"/>
  <c r="AE56"/>
  <c r="AD56"/>
  <c r="AC56"/>
  <c r="AB56"/>
  <c r="AL55"/>
  <c r="AK55"/>
  <c r="AJ55"/>
  <c r="AI55"/>
  <c r="AH55"/>
  <c r="AG55"/>
  <c r="AF55"/>
  <c r="AE55"/>
  <c r="AD55"/>
  <c r="AC55"/>
  <c r="AB55"/>
  <c r="AL54"/>
  <c r="AK54"/>
  <c r="AJ54"/>
  <c r="AI54"/>
  <c r="AH54"/>
  <c r="AG54"/>
  <c r="AF54"/>
  <c r="AE54"/>
  <c r="AD54"/>
  <c r="AC54"/>
  <c r="AB54"/>
  <c r="AL53"/>
  <c r="AK53"/>
  <c r="AJ53"/>
  <c r="AI53"/>
  <c r="AH53"/>
  <c r="AG53"/>
  <c r="AF53"/>
  <c r="AE53"/>
  <c r="AD53"/>
  <c r="AC53"/>
  <c r="AB53"/>
  <c r="AL52"/>
  <c r="AK52"/>
  <c r="AJ52"/>
  <c r="AI52"/>
  <c r="AH52"/>
  <c r="AG52"/>
  <c r="AF52"/>
  <c r="AE52"/>
  <c r="AD52"/>
  <c r="AC52"/>
  <c r="AB52"/>
  <c r="AL51"/>
  <c r="AK51"/>
  <c r="AJ51"/>
  <c r="AI51"/>
  <c r="AH51"/>
  <c r="AG51"/>
  <c r="AF51"/>
  <c r="AE51"/>
  <c r="AD51"/>
  <c r="AC51"/>
  <c r="AB51"/>
  <c r="AL50"/>
  <c r="AK50"/>
  <c r="AJ50"/>
  <c r="AI50"/>
  <c r="AH50"/>
  <c r="AG50"/>
  <c r="AF50"/>
  <c r="AE50"/>
  <c r="AD50"/>
  <c r="AC50"/>
  <c r="AB50"/>
  <c r="AL49"/>
  <c r="AK49"/>
  <c r="AJ49"/>
  <c r="AI49"/>
  <c r="AH49"/>
  <c r="AG49"/>
  <c r="AF49"/>
  <c r="AE49"/>
  <c r="AD49"/>
  <c r="AC49"/>
  <c r="AB49"/>
  <c r="AL48"/>
  <c r="AK48"/>
  <c r="AJ48"/>
  <c r="AI48"/>
  <c r="AH48"/>
  <c r="AG48"/>
  <c r="AF48"/>
  <c r="AE48"/>
  <c r="AD48"/>
  <c r="AC48"/>
  <c r="AB48"/>
  <c r="AL47"/>
  <c r="AK47"/>
  <c r="AJ47"/>
  <c r="AI47"/>
  <c r="AH47"/>
  <c r="AG47"/>
  <c r="AF47"/>
  <c r="AE47"/>
  <c r="AD47"/>
  <c r="AC47"/>
  <c r="AB47"/>
  <c r="AL46"/>
  <c r="AK46"/>
  <c r="AJ46"/>
  <c r="AI46"/>
  <c r="AH46"/>
  <c r="AG46"/>
  <c r="AF46"/>
  <c r="AE46"/>
  <c r="AD46"/>
  <c r="AC46"/>
  <c r="AB46"/>
  <c r="AL45"/>
  <c r="AK45"/>
  <c r="AJ45"/>
  <c r="AI45"/>
  <c r="AH45"/>
  <c r="AG45"/>
  <c r="AF45"/>
  <c r="AE45"/>
  <c r="AD45"/>
  <c r="AC45"/>
  <c r="AB45"/>
  <c r="AL44"/>
  <c r="AK44"/>
  <c r="AJ44"/>
  <c r="AI44"/>
  <c r="AH44"/>
  <c r="AG44"/>
  <c r="AF44"/>
  <c r="AE44"/>
  <c r="AD44"/>
  <c r="AC44"/>
  <c r="AB44"/>
  <c r="AL43"/>
  <c r="AK43"/>
  <c r="AJ43"/>
  <c r="AI43"/>
  <c r="AH43"/>
  <c r="AG43"/>
  <c r="AF43"/>
  <c r="AE43"/>
  <c r="AD43"/>
  <c r="AC43"/>
  <c r="AB43"/>
  <c r="AL42"/>
  <c r="AK42"/>
  <c r="AJ42"/>
  <c r="AI42"/>
  <c r="AH42"/>
  <c r="AG42"/>
  <c r="AF42"/>
  <c r="AE42"/>
  <c r="AD42"/>
  <c r="AC42"/>
  <c r="AB42"/>
  <c r="AL41"/>
  <c r="AK41"/>
  <c r="AJ41"/>
  <c r="AI41"/>
  <c r="AH41"/>
  <c r="AG41"/>
  <c r="AF41"/>
  <c r="AE41"/>
  <c r="AD41"/>
  <c r="AC41"/>
  <c r="AB41"/>
  <c r="AL40"/>
  <c r="AK40"/>
  <c r="AJ40"/>
  <c r="AI40"/>
  <c r="AH40"/>
  <c r="AG40"/>
  <c r="AF40"/>
  <c r="AE40"/>
  <c r="AD40"/>
  <c r="AC40"/>
  <c r="AB40"/>
  <c r="AL39"/>
  <c r="AK39"/>
  <c r="AJ39"/>
  <c r="AI39"/>
  <c r="AH39"/>
  <c r="AG39"/>
  <c r="AF39"/>
  <c r="AE39"/>
  <c r="AD39"/>
  <c r="AC39"/>
  <c r="AB39"/>
  <c r="AL38"/>
  <c r="AK38"/>
  <c r="AJ38"/>
  <c r="AI38"/>
  <c r="AH38"/>
  <c r="AG38"/>
  <c r="AF38"/>
  <c r="AE38"/>
  <c r="AD38"/>
  <c r="AC38"/>
  <c r="AB38"/>
  <c r="AL36"/>
  <c r="AK36"/>
  <c r="AJ36"/>
  <c r="AI36"/>
  <c r="AH36"/>
  <c r="AG36"/>
  <c r="AF36"/>
  <c r="AE36"/>
  <c r="AD36"/>
  <c r="AC36"/>
  <c r="AB36"/>
  <c r="AL35"/>
  <c r="AK35"/>
  <c r="AJ35"/>
  <c r="AI35"/>
  <c r="AH35"/>
  <c r="AG35"/>
  <c r="AF35"/>
  <c r="AE35"/>
  <c r="AD35"/>
  <c r="AC35"/>
  <c r="AB35"/>
  <c r="AL34"/>
  <c r="AK34"/>
  <c r="AJ34"/>
  <c r="AI34"/>
  <c r="AH34"/>
  <c r="AG34"/>
  <c r="AF34"/>
  <c r="AE34"/>
  <c r="AD34"/>
  <c r="AC34"/>
  <c r="AB34"/>
  <c r="AL33"/>
  <c r="AK33"/>
  <c r="AJ33"/>
  <c r="AI33"/>
  <c r="AH33"/>
  <c r="AG33"/>
  <c r="AF33"/>
  <c r="AE33"/>
  <c r="AD33"/>
  <c r="AC33"/>
  <c r="AB33"/>
  <c r="AL32"/>
  <c r="AK32"/>
  <c r="AJ32"/>
  <c r="AI32"/>
  <c r="AH32"/>
  <c r="AG32"/>
  <c r="AF32"/>
  <c r="AE32"/>
  <c r="AD32"/>
  <c r="AC32"/>
  <c r="AB32"/>
  <c r="AL31"/>
  <c r="AK31"/>
  <c r="AJ31"/>
  <c r="AI31"/>
  <c r="AH31"/>
  <c r="AG31"/>
  <c r="AF31"/>
  <c r="AE31"/>
  <c r="AD31"/>
  <c r="AC31"/>
  <c r="AB31"/>
  <c r="AL30"/>
  <c r="AK30"/>
  <c r="AJ30"/>
  <c r="AI30"/>
  <c r="AH30"/>
  <c r="AG30"/>
  <c r="AF30"/>
  <c r="AE30"/>
  <c r="AD30"/>
  <c r="AC30"/>
  <c r="AB30"/>
  <c r="AL29"/>
  <c r="AK29"/>
  <c r="AJ29"/>
  <c r="AI29"/>
  <c r="AH29"/>
  <c r="AG29"/>
  <c r="AF29"/>
  <c r="AE29"/>
  <c r="AD29"/>
  <c r="AC29"/>
  <c r="AB29"/>
  <c r="AL28"/>
  <c r="AK28"/>
  <c r="AJ28"/>
  <c r="AI28"/>
  <c r="AH28"/>
  <c r="AG28"/>
  <c r="AF28"/>
  <c r="AE28"/>
  <c r="AD28"/>
  <c r="AC28"/>
  <c r="AB28"/>
  <c r="AL27"/>
  <c r="AK27"/>
  <c r="AJ27"/>
  <c r="AI27"/>
  <c r="AH27"/>
  <c r="AG27"/>
  <c r="AF27"/>
  <c r="AE27"/>
  <c r="AD27"/>
  <c r="AC27"/>
  <c r="AB27"/>
  <c r="AL26"/>
  <c r="AK26"/>
  <c r="AJ26"/>
  <c r="AI26"/>
  <c r="AH26"/>
  <c r="AG26"/>
  <c r="AF26"/>
  <c r="AE26"/>
  <c r="AD26"/>
  <c r="AC26"/>
  <c r="AB26"/>
  <c r="AL25"/>
  <c r="AK25"/>
  <c r="AJ25"/>
  <c r="AI25"/>
  <c r="AH25"/>
  <c r="AG25"/>
  <c r="AF25"/>
  <c r="AE25"/>
  <c r="AD25"/>
  <c r="AC25"/>
  <c r="AB25"/>
  <c r="AL24"/>
  <c r="AK24"/>
  <c r="AJ24"/>
  <c r="AI24"/>
  <c r="AH24"/>
  <c r="AG24"/>
  <c r="AF24"/>
  <c r="AE24"/>
  <c r="AD24"/>
  <c r="AC24"/>
  <c r="AB24"/>
  <c r="AL23"/>
  <c r="AK23"/>
  <c r="AJ23"/>
  <c r="AI23"/>
  <c r="AH23"/>
  <c r="AG23"/>
  <c r="AF23"/>
  <c r="AE23"/>
  <c r="AD23"/>
  <c r="AC23"/>
  <c r="AB23"/>
  <c r="AL22"/>
  <c r="AK22"/>
  <c r="AJ22"/>
  <c r="AI22"/>
  <c r="AH22"/>
  <c r="AG22"/>
  <c r="AF22"/>
  <c r="AE22"/>
  <c r="AD22"/>
  <c r="AC22"/>
  <c r="AB22"/>
  <c r="AL21"/>
  <c r="AK21"/>
  <c r="AJ21"/>
  <c r="AI21"/>
  <c r="AH21"/>
  <c r="AG21"/>
  <c r="AF21"/>
  <c r="AE21"/>
  <c r="AD21"/>
  <c r="AC21"/>
  <c r="AB21"/>
  <c r="AL20"/>
  <c r="AK20"/>
  <c r="AJ20"/>
  <c r="AI20"/>
  <c r="AH20"/>
  <c r="AG20"/>
  <c r="AF20"/>
  <c r="AE20"/>
  <c r="AD20"/>
  <c r="AC20"/>
  <c r="AB20"/>
  <c r="AL19"/>
  <c r="AK19"/>
  <c r="AJ19"/>
  <c r="AI19"/>
  <c r="AH19"/>
  <c r="AG19"/>
  <c r="AF19"/>
  <c r="AE19"/>
  <c r="AD19"/>
  <c r="AC19"/>
  <c r="AB19"/>
  <c r="AL18"/>
  <c r="AK18"/>
  <c r="AJ18"/>
  <c r="AI18"/>
  <c r="AH18"/>
  <c r="AG18"/>
  <c r="AF18"/>
  <c r="AE18"/>
  <c r="AD18"/>
  <c r="AC18"/>
  <c r="AB18"/>
  <c r="AL17"/>
  <c r="AK17"/>
  <c r="AJ17"/>
  <c r="AI17"/>
  <c r="AH17"/>
  <c r="AG17"/>
  <c r="AF17"/>
  <c r="AE17"/>
  <c r="AD17"/>
  <c r="AC17"/>
  <c r="AB17"/>
  <c r="AL16"/>
  <c r="AK16"/>
  <c r="AJ16"/>
  <c r="AI16"/>
  <c r="AH16"/>
  <c r="AG16"/>
  <c r="AF16"/>
  <c r="AE16"/>
  <c r="AD16"/>
  <c r="AC16"/>
  <c r="AB16"/>
  <c r="AL15"/>
  <c r="AK15"/>
  <c r="AJ15"/>
  <c r="AI15"/>
  <c r="AH15"/>
  <c r="AG15"/>
  <c r="AF15"/>
  <c r="AE15"/>
  <c r="AD15"/>
  <c r="AC15"/>
  <c r="AB15"/>
  <c r="AL14"/>
  <c r="AK14"/>
  <c r="AJ14"/>
  <c r="AI14"/>
  <c r="AH14"/>
  <c r="AG14"/>
  <c r="AF14"/>
  <c r="AE14"/>
  <c r="AD14"/>
  <c r="AC14"/>
  <c r="AB14"/>
  <c r="AL13"/>
  <c r="AK13"/>
  <c r="AJ13"/>
  <c r="AI13"/>
  <c r="AH13"/>
  <c r="AG13"/>
  <c r="AF13"/>
  <c r="AE13"/>
  <c r="AD13"/>
  <c r="AC13"/>
  <c r="AB13"/>
  <c r="AL12"/>
  <c r="AK12"/>
  <c r="AJ12"/>
  <c r="AI12"/>
  <c r="AH12"/>
  <c r="AG12"/>
  <c r="AF12"/>
  <c r="AE12"/>
  <c r="AD12"/>
  <c r="AC12"/>
  <c r="AB12"/>
  <c r="AL11"/>
  <c r="AK11"/>
  <c r="AJ11"/>
  <c r="AI11"/>
  <c r="AH11"/>
  <c r="AG11"/>
  <c r="AF11"/>
  <c r="AE11"/>
  <c r="AD11"/>
  <c r="AC11"/>
  <c r="AB11"/>
  <c r="AL10"/>
  <c r="AK10"/>
  <c r="AJ10"/>
  <c r="AI10"/>
  <c r="AH10"/>
  <c r="AG10"/>
  <c r="AF10"/>
  <c r="AE10"/>
  <c r="AD10"/>
  <c r="AC10"/>
  <c r="AB10"/>
  <c r="AL9"/>
  <c r="AK9"/>
  <c r="AJ9"/>
  <c r="AI9"/>
  <c r="AH9"/>
  <c r="AG9"/>
  <c r="AF9"/>
  <c r="AE9"/>
  <c r="AD9"/>
  <c r="AC9"/>
  <c r="AB9"/>
  <c r="AL8"/>
  <c r="AK8"/>
  <c r="AJ8"/>
  <c r="AI8"/>
  <c r="AH8"/>
  <c r="AG8"/>
  <c r="AF8"/>
  <c r="AE8"/>
  <c r="AD8"/>
  <c r="AC8"/>
  <c r="AB8"/>
  <c r="AL7"/>
  <c r="AK7"/>
  <c r="AJ7"/>
  <c r="AI7"/>
  <c r="AH7"/>
  <c r="AG7"/>
  <c r="AF7"/>
  <c r="AE7"/>
  <c r="AD7"/>
  <c r="AC7"/>
  <c r="AB7"/>
  <c r="AL6"/>
  <c r="AK6"/>
  <c r="AJ6"/>
  <c r="AI6"/>
  <c r="AH6"/>
  <c r="AG6"/>
  <c r="AF6"/>
  <c r="AE6"/>
  <c r="AD6"/>
  <c r="AC6"/>
  <c r="AB6"/>
  <c r="AL5"/>
  <c r="AK5"/>
  <c r="AJ5"/>
  <c r="AI5"/>
  <c r="AH5"/>
  <c r="AG5"/>
  <c r="AF5"/>
  <c r="AE5"/>
  <c r="AD5"/>
  <c r="AC5"/>
  <c r="AB5"/>
  <c r="AL4"/>
  <c r="AK4"/>
  <c r="AJ4"/>
  <c r="AI4"/>
  <c r="AH4"/>
  <c r="AG4"/>
  <c r="AF4"/>
  <c r="AE4"/>
  <c r="AD4"/>
  <c r="AC4"/>
  <c r="AB4"/>
  <c r="AL3"/>
  <c r="AK3"/>
  <c r="AJ3"/>
  <c r="AI3"/>
  <c r="AH3"/>
  <c r="AG3"/>
  <c r="AF3"/>
  <c r="AE3"/>
  <c r="AD3"/>
  <c r="AC3"/>
  <c r="AB3"/>
  <c r="O28" i="22"/>
  <c r="N28"/>
  <c r="M28"/>
  <c r="L28"/>
  <c r="K28"/>
  <c r="J28"/>
  <c r="I28"/>
  <c r="H28"/>
  <c r="G28"/>
  <c r="F28"/>
  <c r="E28"/>
  <c r="O27"/>
  <c r="N27"/>
  <c r="N12" s="1"/>
  <c r="M27"/>
  <c r="L27"/>
  <c r="L12" s="1"/>
  <c r="K27"/>
  <c r="J27"/>
  <c r="I27"/>
  <c r="H27"/>
  <c r="H12" s="1"/>
  <c r="G27"/>
  <c r="F27"/>
  <c r="F12" s="1"/>
  <c r="E27"/>
  <c r="O26"/>
  <c r="M26"/>
  <c r="K26"/>
  <c r="I26"/>
  <c r="G26"/>
  <c r="O25"/>
  <c r="M25"/>
  <c r="K25"/>
  <c r="I25"/>
  <c r="G25"/>
  <c r="O24"/>
  <c r="M24"/>
  <c r="K24"/>
  <c r="I24"/>
  <c r="G24"/>
  <c r="O23"/>
  <c r="M23"/>
  <c r="K23"/>
  <c r="I23"/>
  <c r="G23"/>
  <c r="O22"/>
  <c r="M22"/>
  <c r="K22"/>
  <c r="I22"/>
  <c r="G22"/>
  <c r="O21"/>
  <c r="M21"/>
  <c r="K21"/>
  <c r="I21"/>
  <c r="G21"/>
  <c r="J12"/>
  <c r="E12"/>
  <c r="Q12" i="25" l="1"/>
  <c r="S2" i="1"/>
  <c r="F149" i="10"/>
  <c r="R4" i="1" s="1"/>
  <c r="B156" i="10"/>
  <c r="I14" i="26"/>
  <c r="Y15"/>
  <c r="Y215"/>
  <c r="Z214"/>
  <c r="Q14"/>
  <c r="A14"/>
  <c r="AB13"/>
  <c r="AE13" s="1"/>
  <c r="T13"/>
  <c r="W13" s="1"/>
  <c r="L13"/>
  <c r="O13" s="1"/>
  <c r="D13"/>
  <c r="G13" s="1"/>
  <c r="E60" i="25"/>
  <c r="L60" s="1"/>
  <c r="E57"/>
  <c r="L57" s="1"/>
  <c r="E61"/>
  <c r="L61" s="1"/>
  <c r="I10"/>
  <c r="I9"/>
  <c r="I12"/>
  <c r="I13"/>
  <c r="E54"/>
  <c r="L54" s="1"/>
  <c r="Q10"/>
  <c r="Q14"/>
  <c r="Q16"/>
  <c r="Q7"/>
  <c r="Q11"/>
  <c r="Q15"/>
  <c r="I3"/>
  <c r="Q9"/>
  <c r="Q13"/>
  <c r="Q6"/>
  <c r="Q8"/>
  <c r="I16"/>
  <c r="I7"/>
  <c r="I6"/>
  <c r="L3"/>
  <c r="F62" s="1"/>
  <c r="G62" s="1"/>
  <c r="B12" i="22"/>
  <c r="G30"/>
  <c r="K30" s="1"/>
  <c r="H12" i="1"/>
  <c r="H11"/>
  <c r="H10"/>
  <c r="G18"/>
  <c r="J18"/>
  <c r="I18"/>
  <c r="F18"/>
  <c r="D18"/>
  <c r="C18"/>
  <c r="N26" i="22" l="1"/>
  <c r="J26"/>
  <c r="F26"/>
  <c r="H26"/>
  <c r="L26"/>
  <c r="E26"/>
  <c r="H25"/>
  <c r="N25"/>
  <c r="F25"/>
  <c r="L25"/>
  <c r="J25"/>
  <c r="E25"/>
  <c r="L24"/>
  <c r="H24"/>
  <c r="H23"/>
  <c r="E24"/>
  <c r="N24"/>
  <c r="J24"/>
  <c r="F24"/>
  <c r="N23"/>
  <c r="L23"/>
  <c r="N21"/>
  <c r="N6" s="1"/>
  <c r="J21"/>
  <c r="J6" s="1"/>
  <c r="F21"/>
  <c r="F6" s="1"/>
  <c r="L21"/>
  <c r="L6" s="1"/>
  <c r="E23"/>
  <c r="L22"/>
  <c r="H22"/>
  <c r="F23"/>
  <c r="J23"/>
  <c r="H21"/>
  <c r="H6" s="1"/>
  <c r="N22"/>
  <c r="J22"/>
  <c r="F22"/>
  <c r="E21"/>
  <c r="E6" s="1"/>
  <c r="E22"/>
  <c r="A15" i="26"/>
  <c r="AB14"/>
  <c r="AE14" s="1"/>
  <c r="T14"/>
  <c r="W14" s="1"/>
  <c r="L14"/>
  <c r="O14" s="1"/>
  <c r="D14"/>
  <c r="G14" s="1"/>
  <c r="Y16"/>
  <c r="Q15"/>
  <c r="I15"/>
  <c r="Y216"/>
  <c r="Z215"/>
  <c r="F52" i="25"/>
  <c r="M59"/>
  <c r="M55"/>
  <c r="F60"/>
  <c r="F56"/>
  <c r="F61"/>
  <c r="F57"/>
  <c r="F53"/>
  <c r="M60"/>
  <c r="M56"/>
  <c r="N56" s="1"/>
  <c r="M52"/>
  <c r="F58"/>
  <c r="G58" s="1"/>
  <c r="F54"/>
  <c r="G54" s="1"/>
  <c r="M61"/>
  <c r="M57"/>
  <c r="M53"/>
  <c r="F59"/>
  <c r="G59" s="1"/>
  <c r="F55"/>
  <c r="M62"/>
  <c r="M58"/>
  <c r="M54"/>
  <c r="N54" s="1"/>
  <c r="D88" i="10"/>
  <c r="H77"/>
  <c r="C78"/>
  <c r="C77"/>
  <c r="C76"/>
  <c r="C75"/>
  <c r="C74"/>
  <c r="C73"/>
  <c r="C72"/>
  <c r="C71"/>
  <c r="C70"/>
  <c r="L7" i="22" l="1"/>
  <c r="L8" s="1"/>
  <c r="L9" s="1"/>
  <c r="L10" s="1"/>
  <c r="L11" s="1"/>
  <c r="J7"/>
  <c r="J8" s="1"/>
  <c r="J9" s="1"/>
  <c r="J10" s="1"/>
  <c r="J11" s="1"/>
  <c r="F7"/>
  <c r="F8" s="1"/>
  <c r="F9" s="1"/>
  <c r="F10" s="1"/>
  <c r="F11" s="1"/>
  <c r="E7"/>
  <c r="E8" s="1"/>
  <c r="E9" s="1"/>
  <c r="E10" s="1"/>
  <c r="E11" s="1"/>
  <c r="N7"/>
  <c r="N8" s="1"/>
  <c r="N9" s="1"/>
  <c r="N10" s="1"/>
  <c r="N11" s="1"/>
  <c r="H7"/>
  <c r="H8" s="1"/>
  <c r="H9" s="1"/>
  <c r="H10" s="1"/>
  <c r="H11" s="1"/>
  <c r="A16" i="26"/>
  <c r="AB15"/>
  <c r="AE15" s="1"/>
  <c r="T15"/>
  <c r="W15" s="1"/>
  <c r="L15"/>
  <c r="O15" s="1"/>
  <c r="D15"/>
  <c r="G15" s="1"/>
  <c r="Q16"/>
  <c r="Y217"/>
  <c r="Z216"/>
  <c r="Y17"/>
  <c r="I16"/>
  <c r="N59" i="25"/>
  <c r="G57"/>
  <c r="G52"/>
  <c r="N57"/>
  <c r="G61"/>
  <c r="G55"/>
  <c r="G60"/>
  <c r="N52"/>
  <c r="N55"/>
  <c r="N61"/>
  <c r="N62"/>
  <c r="G53"/>
  <c r="G56"/>
  <c r="N53"/>
  <c r="N60"/>
  <c r="N58"/>
  <c r="I8" i="1"/>
  <c r="G103"/>
  <c r="G104"/>
  <c r="G105"/>
  <c r="G106"/>
  <c r="G107"/>
  <c r="H65" l="1"/>
  <c r="Y18" i="26"/>
  <c r="Q17"/>
  <c r="A17"/>
  <c r="AB16"/>
  <c r="AE16" s="1"/>
  <c r="T16"/>
  <c r="W16" s="1"/>
  <c r="L16"/>
  <c r="O16" s="1"/>
  <c r="D16"/>
  <c r="G16" s="1"/>
  <c r="I17"/>
  <c r="Y218"/>
  <c r="Z217"/>
  <c r="I31" i="10"/>
  <c r="I20"/>
  <c r="I9"/>
  <c r="F3" i="1"/>
  <c r="H70" i="10" s="1"/>
  <c r="F8" i="1"/>
  <c r="H75" i="10" s="1"/>
  <c r="F12" i="1"/>
  <c r="H78" i="10" s="1"/>
  <c r="F9" i="1"/>
  <c r="H76" i="10" s="1"/>
  <c r="F6" i="1"/>
  <c r="H73" i="10" s="1"/>
  <c r="F7" i="1"/>
  <c r="H74" i="10" s="1"/>
  <c r="F5" i="1"/>
  <c r="H72" i="10" s="1"/>
  <c r="F4" i="1"/>
  <c r="H71" i="10" s="1"/>
  <c r="Y19" i="26" l="1"/>
  <c r="A18"/>
  <c r="AB17"/>
  <c r="AE17" s="1"/>
  <c r="T17"/>
  <c r="W17" s="1"/>
  <c r="L17"/>
  <c r="O17" s="1"/>
  <c r="D17"/>
  <c r="G17" s="1"/>
  <c r="Y219"/>
  <c r="Z218"/>
  <c r="I18"/>
  <c r="Q18"/>
  <c r="D78" i="10"/>
  <c r="B2" i="1" s="1"/>
  <c r="E104" i="10"/>
  <c r="F104"/>
  <c r="E105"/>
  <c r="F105"/>
  <c r="B106"/>
  <c r="E106"/>
  <c r="F106"/>
  <c r="B107"/>
  <c r="B108"/>
  <c r="B109"/>
  <c r="Y220" i="26" l="1"/>
  <c r="Z219"/>
  <c r="Y20"/>
  <c r="Q19"/>
  <c r="A19"/>
  <c r="AB18"/>
  <c r="AE18" s="1"/>
  <c r="T18"/>
  <c r="W18" s="1"/>
  <c r="L18"/>
  <c r="O18" s="1"/>
  <c r="D18"/>
  <c r="G18" s="1"/>
  <c r="I19"/>
  <c r="I78" i="10"/>
  <c r="F2" i="1" s="1"/>
  <c r="C108" i="10"/>
  <c r="Q27" i="1" s="1"/>
  <c r="C107" i="10"/>
  <c r="Q26" i="1" s="1"/>
  <c r="D107" i="10"/>
  <c r="Q35" i="1" s="1"/>
  <c r="C106" i="10"/>
  <c r="Q25" i="1" s="1"/>
  <c r="C109" i="10"/>
  <c r="Q28" i="1" s="1"/>
  <c r="D109" i="10"/>
  <c r="Q37" i="1" s="1"/>
  <c r="D106" i="10"/>
  <c r="Q34" i="1" s="1"/>
  <c r="D108" i="10"/>
  <c r="Q36" i="1" s="1"/>
  <c r="I49"/>
  <c r="AK612" i="18"/>
  <c r="AK613" s="1"/>
  <c r="AK614" s="1"/>
  <c r="AK615" s="1"/>
  <c r="AK616" s="1"/>
  <c r="AK617" s="1"/>
  <c r="AK618" s="1"/>
  <c r="AK619" s="1"/>
  <c r="AK620" s="1"/>
  <c r="AK621" s="1"/>
  <c r="AK622" s="1"/>
  <c r="AK623" s="1"/>
  <c r="AK624" s="1"/>
  <c r="AK625" s="1"/>
  <c r="AK626" s="1"/>
  <c r="AK627" s="1"/>
  <c r="AK628" s="1"/>
  <c r="AK629" s="1"/>
  <c r="AK630" s="1"/>
  <c r="AK631" s="1"/>
  <c r="AK632" s="1"/>
  <c r="AK633" s="1"/>
  <c r="AK634" s="1"/>
  <c r="AK635" s="1"/>
  <c r="AK636" s="1"/>
  <c r="AK637" s="1"/>
  <c r="AK638" s="1"/>
  <c r="AK639" s="1"/>
  <c r="AK640" s="1"/>
  <c r="AK641" s="1"/>
  <c r="AK642" s="1"/>
  <c r="AK643" s="1"/>
  <c r="AK644" s="1"/>
  <c r="AK645" s="1"/>
  <c r="AK646" s="1"/>
  <c r="AK647" s="1"/>
  <c r="AK648" s="1"/>
  <c r="AK649" s="1"/>
  <c r="AK650" s="1"/>
  <c r="AK651" s="1"/>
  <c r="AK652" s="1"/>
  <c r="AK653" s="1"/>
  <c r="AK654" s="1"/>
  <c r="AK655" s="1"/>
  <c r="AK656" s="1"/>
  <c r="AK657" s="1"/>
  <c r="AK658" s="1"/>
  <c r="AK659" s="1"/>
  <c r="AK660" s="1"/>
  <c r="AK661" s="1"/>
  <c r="AK662" s="1"/>
  <c r="AK663" s="1"/>
  <c r="AK664" s="1"/>
  <c r="AK665" s="1"/>
  <c r="AK666" s="1"/>
  <c r="AK667" s="1"/>
  <c r="AK668" s="1"/>
  <c r="AK669" s="1"/>
  <c r="AK670" s="1"/>
  <c r="AK671" s="1"/>
  <c r="AK672" s="1"/>
  <c r="AK673" s="1"/>
  <c r="AK674" s="1"/>
  <c r="AK675" s="1"/>
  <c r="AK676" s="1"/>
  <c r="AK677" s="1"/>
  <c r="AK678" s="1"/>
  <c r="AK679" s="1"/>
  <c r="AK680" s="1"/>
  <c r="AK681" s="1"/>
  <c r="AK682" s="1"/>
  <c r="AK683" s="1"/>
  <c r="AK684" s="1"/>
  <c r="AK685" s="1"/>
  <c r="AK686" s="1"/>
  <c r="AK687" s="1"/>
  <c r="AK688" s="1"/>
  <c r="AK689" s="1"/>
  <c r="AK690" s="1"/>
  <c r="AK691" s="1"/>
  <c r="AK692" s="1"/>
  <c r="AK693" s="1"/>
  <c r="AK694" s="1"/>
  <c r="AK695" s="1"/>
  <c r="AK696" s="1"/>
  <c r="AK697" s="1"/>
  <c r="AK698" s="1"/>
  <c r="AK699" s="1"/>
  <c r="AK700" s="1"/>
  <c r="AK701" s="1"/>
  <c r="AK702" s="1"/>
  <c r="AK703" s="1"/>
  <c r="AK704" s="1"/>
  <c r="AK705" s="1"/>
  <c r="AK706" s="1"/>
  <c r="AK707" s="1"/>
  <c r="AK708" s="1"/>
  <c r="AK709" s="1"/>
  <c r="AK710" s="1"/>
  <c r="AK711" s="1"/>
  <c r="AK713"/>
  <c r="AK714" s="1"/>
  <c r="AK715" s="1"/>
  <c r="AK716" s="1"/>
  <c r="AK717" s="1"/>
  <c r="AK718" s="1"/>
  <c r="AK719" s="1"/>
  <c r="AK720" s="1"/>
  <c r="AK721" s="1"/>
  <c r="AK722" s="1"/>
  <c r="AK723" s="1"/>
  <c r="AK724" s="1"/>
  <c r="AK725" s="1"/>
  <c r="AK726" s="1"/>
  <c r="AK727" s="1"/>
  <c r="AK728" s="1"/>
  <c r="AK729" s="1"/>
  <c r="AK730" s="1"/>
  <c r="AK731" s="1"/>
  <c r="AK732" s="1"/>
  <c r="AK733" s="1"/>
  <c r="AK734" s="1"/>
  <c r="AK735" s="1"/>
  <c r="AK736" s="1"/>
  <c r="AK737" s="1"/>
  <c r="AK738" s="1"/>
  <c r="AK739" s="1"/>
  <c r="AK740" s="1"/>
  <c r="AK741" s="1"/>
  <c r="AK742" s="1"/>
  <c r="AK743" s="1"/>
  <c r="AK744" s="1"/>
  <c r="AK745" s="1"/>
  <c r="AK746" s="1"/>
  <c r="AK747" s="1"/>
  <c r="AK748" s="1"/>
  <c r="AK749" s="1"/>
  <c r="AK750" s="1"/>
  <c r="AK751" s="1"/>
  <c r="AK752" s="1"/>
  <c r="AK753" s="1"/>
  <c r="AK754" s="1"/>
  <c r="AK755" s="1"/>
  <c r="AK756" s="1"/>
  <c r="AK757" s="1"/>
  <c r="AK758" s="1"/>
  <c r="AK759" s="1"/>
  <c r="AK760" s="1"/>
  <c r="AK761" s="1"/>
  <c r="AK762" s="1"/>
  <c r="AK763" s="1"/>
  <c r="AK764" s="1"/>
  <c r="AK765" s="1"/>
  <c r="AK766" s="1"/>
  <c r="AK767" s="1"/>
  <c r="AK768" s="1"/>
  <c r="AK769" s="1"/>
  <c r="AK770" s="1"/>
  <c r="AK771" s="1"/>
  <c r="AK772" s="1"/>
  <c r="Q20" i="26" l="1"/>
  <c r="Y221"/>
  <c r="Z221" s="1"/>
  <c r="Z220"/>
  <c r="I20"/>
  <c r="A20"/>
  <c r="AB19"/>
  <c r="AE19" s="1"/>
  <c r="T19"/>
  <c r="W19" s="1"/>
  <c r="L19"/>
  <c r="O19" s="1"/>
  <c r="D19"/>
  <c r="G19" s="1"/>
  <c r="Y21"/>
  <c r="G102" i="18"/>
  <c r="A21" i="26" l="1"/>
  <c r="AB20"/>
  <c r="AE20" s="1"/>
  <c r="T20"/>
  <c r="W20" s="1"/>
  <c r="L20"/>
  <c r="O20" s="1"/>
  <c r="D20"/>
  <c r="G20" s="1"/>
  <c r="Q21"/>
  <c r="Y22"/>
  <c r="I21"/>
  <c r="I7" i="1"/>
  <c r="L57" s="1"/>
  <c r="Y23" i="26" l="1"/>
  <c r="I22"/>
  <c r="Q22"/>
  <c r="A22"/>
  <c r="AB21"/>
  <c r="AE21" s="1"/>
  <c r="T21"/>
  <c r="W21" s="1"/>
  <c r="L21"/>
  <c r="O21" s="1"/>
  <c r="D21"/>
  <c r="G21" s="1"/>
  <c r="AJ17" i="18"/>
  <c r="AK306"/>
  <c r="AK307" s="1"/>
  <c r="AK308" s="1"/>
  <c r="AK309" s="1"/>
  <c r="AK310" s="1"/>
  <c r="AK311" s="1"/>
  <c r="AK312" s="1"/>
  <c r="AK313" s="1"/>
  <c r="AK314" s="1"/>
  <c r="AK315" s="1"/>
  <c r="AK316" s="1"/>
  <c r="AK317" s="1"/>
  <c r="AK318" s="1"/>
  <c r="AK319" s="1"/>
  <c r="AK320" s="1"/>
  <c r="AK321" s="1"/>
  <c r="AK322" s="1"/>
  <c r="AK323" s="1"/>
  <c r="AK324" s="1"/>
  <c r="AK325" s="1"/>
  <c r="AK326" s="1"/>
  <c r="AK327" s="1"/>
  <c r="AK328" s="1"/>
  <c r="AK329" s="1"/>
  <c r="AK330" s="1"/>
  <c r="AK331" s="1"/>
  <c r="AK332" s="1"/>
  <c r="AK333" s="1"/>
  <c r="AK334" s="1"/>
  <c r="AK335" s="1"/>
  <c r="AK336" s="1"/>
  <c r="AK337" s="1"/>
  <c r="AK338" s="1"/>
  <c r="AK339" s="1"/>
  <c r="AK340" s="1"/>
  <c r="AK341" s="1"/>
  <c r="AK342" s="1"/>
  <c r="AK343" s="1"/>
  <c r="AK344" s="1"/>
  <c r="AK345" s="1"/>
  <c r="AK346" s="1"/>
  <c r="AK347" s="1"/>
  <c r="AK348" s="1"/>
  <c r="AK349" s="1"/>
  <c r="AK350" s="1"/>
  <c r="AK351" s="1"/>
  <c r="AK352" s="1"/>
  <c r="AK353" s="1"/>
  <c r="AK354" s="1"/>
  <c r="AK355" s="1"/>
  <c r="AK356" s="1"/>
  <c r="AK357" s="1"/>
  <c r="AK358" s="1"/>
  <c r="AK359" s="1"/>
  <c r="AK360" s="1"/>
  <c r="AK361" s="1"/>
  <c r="AK362" s="1"/>
  <c r="AK363" s="1"/>
  <c r="AK364" s="1"/>
  <c r="AK365" s="1"/>
  <c r="AK366" s="1"/>
  <c r="AK367" s="1"/>
  <c r="AK368" s="1"/>
  <c r="AK369" s="1"/>
  <c r="AK370" s="1"/>
  <c r="AK371" s="1"/>
  <c r="AK372" s="1"/>
  <c r="AK373" s="1"/>
  <c r="AK374" s="1"/>
  <c r="AK375" s="1"/>
  <c r="AK376" s="1"/>
  <c r="AK377" s="1"/>
  <c r="AK378" s="1"/>
  <c r="AK379" s="1"/>
  <c r="AK380" s="1"/>
  <c r="AK381" s="1"/>
  <c r="AK382" s="1"/>
  <c r="AK383" s="1"/>
  <c r="AK384" s="1"/>
  <c r="AK385" s="1"/>
  <c r="AK386" s="1"/>
  <c r="AK387" s="1"/>
  <c r="AK388" s="1"/>
  <c r="AK389" s="1"/>
  <c r="AK390" s="1"/>
  <c r="AK391" s="1"/>
  <c r="AK392" s="1"/>
  <c r="AK393" s="1"/>
  <c r="AK394" s="1"/>
  <c r="AK395" s="1"/>
  <c r="AK396" s="1"/>
  <c r="AK397" s="1"/>
  <c r="AK398" s="1"/>
  <c r="AK399" s="1"/>
  <c r="AK400" s="1"/>
  <c r="AK401" s="1"/>
  <c r="AK402" s="1"/>
  <c r="AK403" s="1"/>
  <c r="AK404" s="1"/>
  <c r="AK405" s="1"/>
  <c r="AK205"/>
  <c r="AK206" s="1"/>
  <c r="AK207" s="1"/>
  <c r="AK208" s="1"/>
  <c r="AK209" s="1"/>
  <c r="AK210" s="1"/>
  <c r="AK211" s="1"/>
  <c r="AK212" s="1"/>
  <c r="AK213" s="1"/>
  <c r="AK214" s="1"/>
  <c r="AK215" s="1"/>
  <c r="AK216" s="1"/>
  <c r="AK217" s="1"/>
  <c r="AK218" s="1"/>
  <c r="AK219" s="1"/>
  <c r="AK220" s="1"/>
  <c r="AK221" s="1"/>
  <c r="AK222" s="1"/>
  <c r="AK223" s="1"/>
  <c r="AK224" s="1"/>
  <c r="AK225" s="1"/>
  <c r="AK226" s="1"/>
  <c r="AK227" s="1"/>
  <c r="AK228" s="1"/>
  <c r="AK229" s="1"/>
  <c r="AK230" s="1"/>
  <c r="AK231" s="1"/>
  <c r="AK232" s="1"/>
  <c r="AK233" s="1"/>
  <c r="AK234" s="1"/>
  <c r="AK235" s="1"/>
  <c r="AK236" s="1"/>
  <c r="AK237" s="1"/>
  <c r="AK238" s="1"/>
  <c r="AK239" s="1"/>
  <c r="AK240" s="1"/>
  <c r="AK241" s="1"/>
  <c r="AK242" s="1"/>
  <c r="AK243" s="1"/>
  <c r="AK244" s="1"/>
  <c r="AK245" s="1"/>
  <c r="AK246" s="1"/>
  <c r="AK247" s="1"/>
  <c r="AK248" s="1"/>
  <c r="AK249" s="1"/>
  <c r="AK250" s="1"/>
  <c r="AK251" s="1"/>
  <c r="AK252" s="1"/>
  <c r="AK253" s="1"/>
  <c r="AK254" s="1"/>
  <c r="AK255" s="1"/>
  <c r="AK256" s="1"/>
  <c r="AK257" s="1"/>
  <c r="AK258" s="1"/>
  <c r="AK259" s="1"/>
  <c r="AK260" s="1"/>
  <c r="AK261" s="1"/>
  <c r="AK262" s="1"/>
  <c r="AK263" s="1"/>
  <c r="AK264" s="1"/>
  <c r="AK265" s="1"/>
  <c r="AK266" s="1"/>
  <c r="AK267" s="1"/>
  <c r="AK268" s="1"/>
  <c r="AK269" s="1"/>
  <c r="AK270" s="1"/>
  <c r="AK271" s="1"/>
  <c r="AK272" s="1"/>
  <c r="AK273" s="1"/>
  <c r="AK274" s="1"/>
  <c r="AK275" s="1"/>
  <c r="AK276" s="1"/>
  <c r="AK277" s="1"/>
  <c r="AK278" s="1"/>
  <c r="AK279" s="1"/>
  <c r="AK280" s="1"/>
  <c r="AK281" s="1"/>
  <c r="AK282" s="1"/>
  <c r="AK283" s="1"/>
  <c r="AK284" s="1"/>
  <c r="AK285" s="1"/>
  <c r="AK286" s="1"/>
  <c r="AK287" s="1"/>
  <c r="AK288" s="1"/>
  <c r="AK289" s="1"/>
  <c r="AK290" s="1"/>
  <c r="AK291" s="1"/>
  <c r="AK292" s="1"/>
  <c r="AK293" s="1"/>
  <c r="AK294" s="1"/>
  <c r="AK295" s="1"/>
  <c r="AK296" s="1"/>
  <c r="AK297" s="1"/>
  <c r="AK298" s="1"/>
  <c r="AK299" s="1"/>
  <c r="AK300" s="1"/>
  <c r="AK301" s="1"/>
  <c r="AK302" s="1"/>
  <c r="AK303" s="1"/>
  <c r="AK304" s="1"/>
  <c r="AK104"/>
  <c r="AK105" s="1"/>
  <c r="AK106" s="1"/>
  <c r="AK107" s="1"/>
  <c r="AK108" s="1"/>
  <c r="AK109" s="1"/>
  <c r="AK110" s="1"/>
  <c r="AK111" s="1"/>
  <c r="AK112" s="1"/>
  <c r="AK113" s="1"/>
  <c r="AK114" s="1"/>
  <c r="AK115" s="1"/>
  <c r="AK116" s="1"/>
  <c r="AK117" s="1"/>
  <c r="AK118" s="1"/>
  <c r="AK119" s="1"/>
  <c r="AK120" s="1"/>
  <c r="AK121" s="1"/>
  <c r="AK122" s="1"/>
  <c r="AK123" s="1"/>
  <c r="AK124" s="1"/>
  <c r="AK125" s="1"/>
  <c r="AK126" s="1"/>
  <c r="AK127" s="1"/>
  <c r="AK128" s="1"/>
  <c r="AK129" s="1"/>
  <c r="AK130" s="1"/>
  <c r="AK131" s="1"/>
  <c r="AK132" s="1"/>
  <c r="AK133" s="1"/>
  <c r="AK134" s="1"/>
  <c r="AK135" s="1"/>
  <c r="AK136" s="1"/>
  <c r="AK137" s="1"/>
  <c r="AK138" s="1"/>
  <c r="AK139" s="1"/>
  <c r="AK140" s="1"/>
  <c r="AK141" s="1"/>
  <c r="AK142" s="1"/>
  <c r="AK143" s="1"/>
  <c r="AK144" s="1"/>
  <c r="AK145" s="1"/>
  <c r="AK146" s="1"/>
  <c r="AK147" s="1"/>
  <c r="AK148" s="1"/>
  <c r="AK149" s="1"/>
  <c r="AK150" s="1"/>
  <c r="AK151" s="1"/>
  <c r="AK152" s="1"/>
  <c r="AK153" s="1"/>
  <c r="AK154" s="1"/>
  <c r="AK155" s="1"/>
  <c r="AK156" s="1"/>
  <c r="AK157" s="1"/>
  <c r="AK158" s="1"/>
  <c r="AK159" s="1"/>
  <c r="AK160" s="1"/>
  <c r="AK161" s="1"/>
  <c r="AK162" s="1"/>
  <c r="AK163" s="1"/>
  <c r="AK164" s="1"/>
  <c r="AK165" s="1"/>
  <c r="AK166" s="1"/>
  <c r="AK167" s="1"/>
  <c r="AK168" s="1"/>
  <c r="AK169" s="1"/>
  <c r="AK170" s="1"/>
  <c r="AK171" s="1"/>
  <c r="AK172" s="1"/>
  <c r="AK173" s="1"/>
  <c r="AK174" s="1"/>
  <c r="AK175" s="1"/>
  <c r="AK176" s="1"/>
  <c r="AK177" s="1"/>
  <c r="AK178" s="1"/>
  <c r="AK179" s="1"/>
  <c r="AK180" s="1"/>
  <c r="AK181" s="1"/>
  <c r="AK182" s="1"/>
  <c r="AK183" s="1"/>
  <c r="AK184" s="1"/>
  <c r="AK185" s="1"/>
  <c r="AK186" s="1"/>
  <c r="AK187" s="1"/>
  <c r="AK188" s="1"/>
  <c r="AK189" s="1"/>
  <c r="AK190" s="1"/>
  <c r="AK191" s="1"/>
  <c r="AK192" s="1"/>
  <c r="AK193" s="1"/>
  <c r="AK194" s="1"/>
  <c r="AK195" s="1"/>
  <c r="AK196" s="1"/>
  <c r="AK197" s="1"/>
  <c r="AK198" s="1"/>
  <c r="AK199" s="1"/>
  <c r="AK200" s="1"/>
  <c r="AK201" s="1"/>
  <c r="AK202" s="1"/>
  <c r="AK203" s="1"/>
  <c r="AK3"/>
  <c r="AK4" s="1"/>
  <c r="AK5" s="1"/>
  <c r="Q23" i="26" l="1"/>
  <c r="Y24"/>
  <c r="A23"/>
  <c r="AB22"/>
  <c r="AE22" s="1"/>
  <c r="T22"/>
  <c r="W22" s="1"/>
  <c r="L22"/>
  <c r="O22" s="1"/>
  <c r="D22"/>
  <c r="G22" s="1"/>
  <c r="I23"/>
  <c r="AK6" i="18"/>
  <c r="AK7" s="1"/>
  <c r="A2"/>
  <c r="A3" s="1"/>
  <c r="A4" s="1"/>
  <c r="A5" s="1"/>
  <c r="A6" s="1"/>
  <c r="A7" s="1"/>
  <c r="A8" s="1"/>
  <c r="A9" s="1"/>
  <c r="A10" s="1"/>
  <c r="A11" s="1"/>
  <c r="A12" s="1"/>
  <c r="A13" s="1"/>
  <c r="A14" s="1"/>
  <c r="A15" s="1"/>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V1"/>
  <c r="W1" s="1"/>
  <c r="B1"/>
  <c r="AK1925"/>
  <c r="AK1926" s="1"/>
  <c r="AK1927" s="1"/>
  <c r="AK1928" s="1"/>
  <c r="AK1929" s="1"/>
  <c r="AK1930" s="1"/>
  <c r="AK1931" s="1"/>
  <c r="AK1932" s="1"/>
  <c r="AK1933" s="1"/>
  <c r="AK1934" s="1"/>
  <c r="AK1935" s="1"/>
  <c r="AK1936" s="1"/>
  <c r="AK1937" s="1"/>
  <c r="AK1938" s="1"/>
  <c r="AK1939" s="1"/>
  <c r="AK1940" s="1"/>
  <c r="AK1941" s="1"/>
  <c r="AK1942" s="1"/>
  <c r="AK1943" s="1"/>
  <c r="AK1944" s="1"/>
  <c r="AK1945" s="1"/>
  <c r="AK1946" s="1"/>
  <c r="AK1947" s="1"/>
  <c r="AK1948" s="1"/>
  <c r="AK1949" s="1"/>
  <c r="AK1950" s="1"/>
  <c r="AK1951" s="1"/>
  <c r="AK1952" s="1"/>
  <c r="AK1953" s="1"/>
  <c r="AK1954" s="1"/>
  <c r="AK1955" s="1"/>
  <c r="AK1956" s="1"/>
  <c r="AK1957" s="1"/>
  <c r="AK1958" s="1"/>
  <c r="AK1959" s="1"/>
  <c r="AK1960" s="1"/>
  <c r="AK1961" s="1"/>
  <c r="AK1962" s="1"/>
  <c r="AK1963" s="1"/>
  <c r="AK1964" s="1"/>
  <c r="AK1965" s="1"/>
  <c r="AK1966" s="1"/>
  <c r="AK1967" s="1"/>
  <c r="AK1968" s="1"/>
  <c r="AK1969" s="1"/>
  <c r="AK1970" s="1"/>
  <c r="AK1971" s="1"/>
  <c r="AK1972" s="1"/>
  <c r="AK1973" s="1"/>
  <c r="AK1974" s="1"/>
  <c r="AK1975" s="1"/>
  <c r="AK1976" s="1"/>
  <c r="AK1977" s="1"/>
  <c r="AK1978" s="1"/>
  <c r="AK1979" s="1"/>
  <c r="AK1980" s="1"/>
  <c r="AK1981" s="1"/>
  <c r="AK1982" s="1"/>
  <c r="AK1983" s="1"/>
  <c r="AK1984" s="1"/>
  <c r="AK1985" s="1"/>
  <c r="AK1986" s="1"/>
  <c r="AK1987" s="1"/>
  <c r="AK1988" s="1"/>
  <c r="AK1989" s="1"/>
  <c r="AK1990" s="1"/>
  <c r="AK1991" s="1"/>
  <c r="AK1992" s="1"/>
  <c r="AK1993" s="1"/>
  <c r="AK1994" s="1"/>
  <c r="AK1995" s="1"/>
  <c r="AK1996" s="1"/>
  <c r="AK1997" s="1"/>
  <c r="AK1998" s="1"/>
  <c r="AK1999" s="1"/>
  <c r="AK2000" s="1"/>
  <c r="AK2001" s="1"/>
  <c r="AK2002" s="1"/>
  <c r="AK2003" s="1"/>
  <c r="AK2004" s="1"/>
  <c r="AK2005" s="1"/>
  <c r="AK2006" s="1"/>
  <c r="AK2007" s="1"/>
  <c r="AK2008" s="1"/>
  <c r="AK2009" s="1"/>
  <c r="AK2010" s="1"/>
  <c r="AK2011" s="1"/>
  <c r="AK2012" s="1"/>
  <c r="AK2013" s="1"/>
  <c r="AK2014" s="1"/>
  <c r="AK2015" s="1"/>
  <c r="AK2016" s="1"/>
  <c r="AK2017" s="1"/>
  <c r="AK2018" s="1"/>
  <c r="AK2019" s="1"/>
  <c r="AK2020" s="1"/>
  <c r="AK2021" s="1"/>
  <c r="AK2022" s="1"/>
  <c r="AK2023" s="1"/>
  <c r="AK2024" s="1"/>
  <c r="AK1824"/>
  <c r="AK1825" s="1"/>
  <c r="AK1826" s="1"/>
  <c r="AK1827" s="1"/>
  <c r="AK1828" s="1"/>
  <c r="AK1829" s="1"/>
  <c r="AK1830" s="1"/>
  <c r="AK1831" s="1"/>
  <c r="AK1832" s="1"/>
  <c r="AK1833" s="1"/>
  <c r="AK1834" s="1"/>
  <c r="AK1835" s="1"/>
  <c r="AK1836" s="1"/>
  <c r="AK1837" s="1"/>
  <c r="AK1838" s="1"/>
  <c r="AK1839" s="1"/>
  <c r="AK1840" s="1"/>
  <c r="AK1841" s="1"/>
  <c r="AK1842" s="1"/>
  <c r="AK1843" s="1"/>
  <c r="AK1844" s="1"/>
  <c r="AK1845" s="1"/>
  <c r="AK1846" s="1"/>
  <c r="AK1847" s="1"/>
  <c r="AK1848" s="1"/>
  <c r="AK1849" s="1"/>
  <c r="AK1850" s="1"/>
  <c r="AK1851" s="1"/>
  <c r="AK1852" s="1"/>
  <c r="AK1853" s="1"/>
  <c r="AK1854" s="1"/>
  <c r="AK1855" s="1"/>
  <c r="AK1856" s="1"/>
  <c r="AK1857" s="1"/>
  <c r="AK1858" s="1"/>
  <c r="AK1859" s="1"/>
  <c r="AK1860" s="1"/>
  <c r="AK1861" s="1"/>
  <c r="AK1862" s="1"/>
  <c r="AK1863" s="1"/>
  <c r="AK1864" s="1"/>
  <c r="AK1865" s="1"/>
  <c r="AK1866" s="1"/>
  <c r="AK1867" s="1"/>
  <c r="AK1868" s="1"/>
  <c r="AK1869" s="1"/>
  <c r="AK1870" s="1"/>
  <c r="AK1871" s="1"/>
  <c r="AK1872" s="1"/>
  <c r="AK1873" s="1"/>
  <c r="AK1874" s="1"/>
  <c r="AK1875" s="1"/>
  <c r="AK1876" s="1"/>
  <c r="AK1877" s="1"/>
  <c r="AK1878" s="1"/>
  <c r="AK1879" s="1"/>
  <c r="AK1880" s="1"/>
  <c r="AK1881" s="1"/>
  <c r="AK1882" s="1"/>
  <c r="AK1883" s="1"/>
  <c r="AK1884" s="1"/>
  <c r="AK1885" s="1"/>
  <c r="AK1886" s="1"/>
  <c r="AK1887" s="1"/>
  <c r="AK1888" s="1"/>
  <c r="AK1889" s="1"/>
  <c r="AK1890" s="1"/>
  <c r="AK1891" s="1"/>
  <c r="AK1892" s="1"/>
  <c r="AK1893" s="1"/>
  <c r="AK1894" s="1"/>
  <c r="AK1895" s="1"/>
  <c r="AK1896" s="1"/>
  <c r="AK1897" s="1"/>
  <c r="AK1898" s="1"/>
  <c r="AK1899" s="1"/>
  <c r="AK1900" s="1"/>
  <c r="AK1901" s="1"/>
  <c r="AK1902" s="1"/>
  <c r="AK1903" s="1"/>
  <c r="AK1904" s="1"/>
  <c r="AK1905" s="1"/>
  <c r="AK1906" s="1"/>
  <c r="AK1907" s="1"/>
  <c r="AK1908" s="1"/>
  <c r="AK1909" s="1"/>
  <c r="AK1910" s="1"/>
  <c r="AK1911" s="1"/>
  <c r="AK1912" s="1"/>
  <c r="AK1913" s="1"/>
  <c r="AK1914" s="1"/>
  <c r="AK1915" s="1"/>
  <c r="AK1916" s="1"/>
  <c r="AK1917" s="1"/>
  <c r="AK1918" s="1"/>
  <c r="AK1919" s="1"/>
  <c r="AK1920" s="1"/>
  <c r="AK1921" s="1"/>
  <c r="AK1922" s="1"/>
  <c r="AK1923" s="1"/>
  <c r="AK1723"/>
  <c r="AK1724" s="1"/>
  <c r="AK1725" s="1"/>
  <c r="AK1726" s="1"/>
  <c r="AK1727" s="1"/>
  <c r="AK1728" s="1"/>
  <c r="AK1729" s="1"/>
  <c r="AK1730" s="1"/>
  <c r="AK1731" s="1"/>
  <c r="AK1732" s="1"/>
  <c r="AK1733" s="1"/>
  <c r="AK1734" s="1"/>
  <c r="AK1735" s="1"/>
  <c r="AK1736" s="1"/>
  <c r="AK1737" s="1"/>
  <c r="AK1738" s="1"/>
  <c r="AK1739" s="1"/>
  <c r="AK1740" s="1"/>
  <c r="AK1741" s="1"/>
  <c r="AK1742" s="1"/>
  <c r="AK1743" s="1"/>
  <c r="AK1744" s="1"/>
  <c r="AK1745" s="1"/>
  <c r="AK1746" s="1"/>
  <c r="AK1747" s="1"/>
  <c r="AK1748" s="1"/>
  <c r="AK1749" s="1"/>
  <c r="AK1750" s="1"/>
  <c r="AK1751" s="1"/>
  <c r="AK1752" s="1"/>
  <c r="AK1753" s="1"/>
  <c r="AK1754" s="1"/>
  <c r="AK1755" s="1"/>
  <c r="AK1756" s="1"/>
  <c r="AK1757" s="1"/>
  <c r="AK1758" s="1"/>
  <c r="AK1759" s="1"/>
  <c r="AK1760" s="1"/>
  <c r="AK1761" s="1"/>
  <c r="AK1762" s="1"/>
  <c r="AK1763" s="1"/>
  <c r="AK1764" s="1"/>
  <c r="AK1765" s="1"/>
  <c r="AK1766" s="1"/>
  <c r="AK1767" s="1"/>
  <c r="AK1768" s="1"/>
  <c r="AK1769" s="1"/>
  <c r="AK1770" s="1"/>
  <c r="AK1771" s="1"/>
  <c r="AK1772" s="1"/>
  <c r="AK1773" s="1"/>
  <c r="AK1774" s="1"/>
  <c r="AK1775" s="1"/>
  <c r="AK1776" s="1"/>
  <c r="AK1777" s="1"/>
  <c r="AK1778" s="1"/>
  <c r="AK1779" s="1"/>
  <c r="AK1780" s="1"/>
  <c r="AK1781" s="1"/>
  <c r="AK1782" s="1"/>
  <c r="AK1783" s="1"/>
  <c r="AK1784" s="1"/>
  <c r="AK1785" s="1"/>
  <c r="AK1786" s="1"/>
  <c r="AK1787" s="1"/>
  <c r="AK1788" s="1"/>
  <c r="AK1789" s="1"/>
  <c r="AK1790" s="1"/>
  <c r="AK1791" s="1"/>
  <c r="AK1792" s="1"/>
  <c r="AK1793" s="1"/>
  <c r="AK1794" s="1"/>
  <c r="AK1795" s="1"/>
  <c r="AK1796" s="1"/>
  <c r="AK1797" s="1"/>
  <c r="AK1798" s="1"/>
  <c r="AK1799" s="1"/>
  <c r="AK1800" s="1"/>
  <c r="AK1801" s="1"/>
  <c r="AK1802" s="1"/>
  <c r="AK1803" s="1"/>
  <c r="AK1804" s="1"/>
  <c r="AK1805" s="1"/>
  <c r="AK1806" s="1"/>
  <c r="AK1807" s="1"/>
  <c r="AK1808" s="1"/>
  <c r="AK1809" s="1"/>
  <c r="AK1810" s="1"/>
  <c r="AK1811" s="1"/>
  <c r="AK1812" s="1"/>
  <c r="AK1813" s="1"/>
  <c r="AK1814" s="1"/>
  <c r="AK1815" s="1"/>
  <c r="AK1816" s="1"/>
  <c r="AK1817" s="1"/>
  <c r="AK1818" s="1"/>
  <c r="AK1819" s="1"/>
  <c r="AK1820" s="1"/>
  <c r="AK1821" s="1"/>
  <c r="AK1822" s="1"/>
  <c r="AK1622"/>
  <c r="AK1623" s="1"/>
  <c r="AK1624" s="1"/>
  <c r="AK1625" s="1"/>
  <c r="AK1626" s="1"/>
  <c r="AK1627" s="1"/>
  <c r="AK1628" s="1"/>
  <c r="AK1629" s="1"/>
  <c r="AK1630" s="1"/>
  <c r="AK1631" s="1"/>
  <c r="AK1632" s="1"/>
  <c r="AK1633" s="1"/>
  <c r="AK1634" s="1"/>
  <c r="AK1635" s="1"/>
  <c r="AK1636" s="1"/>
  <c r="AK1637" s="1"/>
  <c r="AK1638" s="1"/>
  <c r="AK1639" s="1"/>
  <c r="AK1640" s="1"/>
  <c r="AK1641" s="1"/>
  <c r="AK1642" s="1"/>
  <c r="AK1643" s="1"/>
  <c r="AK1644" s="1"/>
  <c r="AK1645" s="1"/>
  <c r="AK1646" s="1"/>
  <c r="AK1647" s="1"/>
  <c r="AK1648" s="1"/>
  <c r="AK1649" s="1"/>
  <c r="AK1650" s="1"/>
  <c r="AK1651" s="1"/>
  <c r="AK1652" s="1"/>
  <c r="AK1653" s="1"/>
  <c r="AK1654" s="1"/>
  <c r="AK1655" s="1"/>
  <c r="AK1656" s="1"/>
  <c r="AK1657" s="1"/>
  <c r="AK1658" s="1"/>
  <c r="AK1659" s="1"/>
  <c r="AK1660" s="1"/>
  <c r="AK1661" s="1"/>
  <c r="AK1662" s="1"/>
  <c r="AK1663" s="1"/>
  <c r="AK1664" s="1"/>
  <c r="AK1665" s="1"/>
  <c r="AK1666" s="1"/>
  <c r="AK1667" s="1"/>
  <c r="AK1668" s="1"/>
  <c r="AK1669" s="1"/>
  <c r="AK1670" s="1"/>
  <c r="AK1671" s="1"/>
  <c r="AK1672" s="1"/>
  <c r="AK1673" s="1"/>
  <c r="AK1674" s="1"/>
  <c r="AK1675" s="1"/>
  <c r="AK1676" s="1"/>
  <c r="AK1677" s="1"/>
  <c r="AK1678" s="1"/>
  <c r="AK1679" s="1"/>
  <c r="AK1680" s="1"/>
  <c r="AK1681" s="1"/>
  <c r="AK1682" s="1"/>
  <c r="AK1683" s="1"/>
  <c r="AK1684" s="1"/>
  <c r="AK1685" s="1"/>
  <c r="AK1686" s="1"/>
  <c r="AK1687" s="1"/>
  <c r="AK1688" s="1"/>
  <c r="AK1689" s="1"/>
  <c r="AK1690" s="1"/>
  <c r="AK1691" s="1"/>
  <c r="AK1692" s="1"/>
  <c r="AK1693" s="1"/>
  <c r="AK1694" s="1"/>
  <c r="AK1695" s="1"/>
  <c r="AK1696" s="1"/>
  <c r="AK1697" s="1"/>
  <c r="AK1698" s="1"/>
  <c r="AK1699" s="1"/>
  <c r="AK1700" s="1"/>
  <c r="AK1701" s="1"/>
  <c r="AK1702" s="1"/>
  <c r="AK1703" s="1"/>
  <c r="AK1704" s="1"/>
  <c r="AK1705" s="1"/>
  <c r="AK1706" s="1"/>
  <c r="AK1707" s="1"/>
  <c r="AK1708" s="1"/>
  <c r="AK1709" s="1"/>
  <c r="AK1710" s="1"/>
  <c r="AK1711" s="1"/>
  <c r="AK1712" s="1"/>
  <c r="AK1713" s="1"/>
  <c r="AK1714" s="1"/>
  <c r="AK1715" s="1"/>
  <c r="AK1716" s="1"/>
  <c r="AK1717" s="1"/>
  <c r="AK1718" s="1"/>
  <c r="AK1719" s="1"/>
  <c r="AK1720" s="1"/>
  <c r="AK1721" s="1"/>
  <c r="AK1521"/>
  <c r="AK1522" s="1"/>
  <c r="AK1523" s="1"/>
  <c r="AK1524" s="1"/>
  <c r="AK1525" s="1"/>
  <c r="AK1526" s="1"/>
  <c r="AK1527" s="1"/>
  <c r="AK1528" s="1"/>
  <c r="AK1529" s="1"/>
  <c r="AK1530" s="1"/>
  <c r="AK1531" s="1"/>
  <c r="AK1532" s="1"/>
  <c r="AK1533" s="1"/>
  <c r="AK1534" s="1"/>
  <c r="AK1535" s="1"/>
  <c r="AK1536" s="1"/>
  <c r="AK1537" s="1"/>
  <c r="AK1538" s="1"/>
  <c r="AK1539" s="1"/>
  <c r="AK1540" s="1"/>
  <c r="AK1541" s="1"/>
  <c r="AK1542" s="1"/>
  <c r="AK1543" s="1"/>
  <c r="AK1544" s="1"/>
  <c r="AK1545" s="1"/>
  <c r="AK1546" s="1"/>
  <c r="AK1547" s="1"/>
  <c r="AK1548" s="1"/>
  <c r="AK1549" s="1"/>
  <c r="AK1550" s="1"/>
  <c r="AK1551" s="1"/>
  <c r="AK1552" s="1"/>
  <c r="AK1553" s="1"/>
  <c r="AK1554" s="1"/>
  <c r="AK1555" s="1"/>
  <c r="AK1556" s="1"/>
  <c r="AK1557" s="1"/>
  <c r="AK1558" s="1"/>
  <c r="AK1559" s="1"/>
  <c r="AK1560" s="1"/>
  <c r="AK1561" s="1"/>
  <c r="AK1562" s="1"/>
  <c r="AK1563" s="1"/>
  <c r="AK1564" s="1"/>
  <c r="AK1565" s="1"/>
  <c r="AK1566" s="1"/>
  <c r="AK1567" s="1"/>
  <c r="AK1568" s="1"/>
  <c r="AK1569" s="1"/>
  <c r="AK1570" s="1"/>
  <c r="AK1571" s="1"/>
  <c r="AK1572" s="1"/>
  <c r="AK1573" s="1"/>
  <c r="AK1574" s="1"/>
  <c r="AK1575" s="1"/>
  <c r="AK1576" s="1"/>
  <c r="AK1577" s="1"/>
  <c r="AK1578" s="1"/>
  <c r="AK1579" s="1"/>
  <c r="AK1580" s="1"/>
  <c r="AK1581" s="1"/>
  <c r="AK1582" s="1"/>
  <c r="AK1583" s="1"/>
  <c r="AK1584" s="1"/>
  <c r="AK1585" s="1"/>
  <c r="AK1586" s="1"/>
  <c r="AK1587" s="1"/>
  <c r="AK1588" s="1"/>
  <c r="AK1589" s="1"/>
  <c r="AK1590" s="1"/>
  <c r="AK1591" s="1"/>
  <c r="AK1592" s="1"/>
  <c r="AK1593" s="1"/>
  <c r="AK1594" s="1"/>
  <c r="AK1595" s="1"/>
  <c r="AK1596" s="1"/>
  <c r="AK1597" s="1"/>
  <c r="AK1598" s="1"/>
  <c r="AK1599" s="1"/>
  <c r="AK1600" s="1"/>
  <c r="AK1601" s="1"/>
  <c r="AK1602" s="1"/>
  <c r="AK1603" s="1"/>
  <c r="AK1604" s="1"/>
  <c r="AK1605" s="1"/>
  <c r="AK1606" s="1"/>
  <c r="AK1607" s="1"/>
  <c r="AK1608" s="1"/>
  <c r="AK1609" s="1"/>
  <c r="AK1610" s="1"/>
  <c r="AK1611" s="1"/>
  <c r="AK1612" s="1"/>
  <c r="AK1613" s="1"/>
  <c r="AK1614" s="1"/>
  <c r="AK1615" s="1"/>
  <c r="AK1616" s="1"/>
  <c r="AK1617" s="1"/>
  <c r="AK1618" s="1"/>
  <c r="AK1619" s="1"/>
  <c r="AK1620" s="1"/>
  <c r="AK1420"/>
  <c r="AK1421" s="1"/>
  <c r="AK1422" s="1"/>
  <c r="AK1423" s="1"/>
  <c r="AK1424" s="1"/>
  <c r="AK1425" s="1"/>
  <c r="AK1426" s="1"/>
  <c r="AK1427" s="1"/>
  <c r="AK1428" s="1"/>
  <c r="AK1429" s="1"/>
  <c r="AK1430" s="1"/>
  <c r="AK1431" s="1"/>
  <c r="AK1432" s="1"/>
  <c r="AK1433" s="1"/>
  <c r="AK1434" s="1"/>
  <c r="AK1435" s="1"/>
  <c r="AK1436" s="1"/>
  <c r="AK1437" s="1"/>
  <c r="AK1438" s="1"/>
  <c r="AK1439" s="1"/>
  <c r="AK1440" s="1"/>
  <c r="AK1441" s="1"/>
  <c r="AK1442" s="1"/>
  <c r="AK1443" s="1"/>
  <c r="AK1444" s="1"/>
  <c r="AK1445" s="1"/>
  <c r="AK1446" s="1"/>
  <c r="AK1447" s="1"/>
  <c r="AK1448" s="1"/>
  <c r="AK1449" s="1"/>
  <c r="AK1450" s="1"/>
  <c r="AK1451" s="1"/>
  <c r="AK1452" s="1"/>
  <c r="AK1453" s="1"/>
  <c r="AK1454" s="1"/>
  <c r="AK1455" s="1"/>
  <c r="AK1456" s="1"/>
  <c r="AK1457" s="1"/>
  <c r="AK1458" s="1"/>
  <c r="AK1459" s="1"/>
  <c r="AK1460" s="1"/>
  <c r="AK1461" s="1"/>
  <c r="AK1462" s="1"/>
  <c r="AK1463" s="1"/>
  <c r="AK1464" s="1"/>
  <c r="AK1465" s="1"/>
  <c r="AK1466" s="1"/>
  <c r="AK1467" s="1"/>
  <c r="AK1468" s="1"/>
  <c r="AK1469" s="1"/>
  <c r="AK1470" s="1"/>
  <c r="AK1471" s="1"/>
  <c r="AK1472" s="1"/>
  <c r="AK1473" s="1"/>
  <c r="AK1474" s="1"/>
  <c r="AK1475" s="1"/>
  <c r="AK1476" s="1"/>
  <c r="AK1477" s="1"/>
  <c r="AK1478" s="1"/>
  <c r="AK1479" s="1"/>
  <c r="AK1480" s="1"/>
  <c r="AK1481" s="1"/>
  <c r="AK1482" s="1"/>
  <c r="AK1483" s="1"/>
  <c r="AK1484" s="1"/>
  <c r="AK1485" s="1"/>
  <c r="AK1486" s="1"/>
  <c r="AK1487" s="1"/>
  <c r="AK1488" s="1"/>
  <c r="AK1489" s="1"/>
  <c r="AK1490" s="1"/>
  <c r="AK1491" s="1"/>
  <c r="AK1492" s="1"/>
  <c r="AK1493" s="1"/>
  <c r="AK1494" s="1"/>
  <c r="AK1495" s="1"/>
  <c r="AK1496" s="1"/>
  <c r="AK1497" s="1"/>
  <c r="AK1498" s="1"/>
  <c r="AK1499" s="1"/>
  <c r="AK1500" s="1"/>
  <c r="AK1501" s="1"/>
  <c r="AK1502" s="1"/>
  <c r="AK1503" s="1"/>
  <c r="AK1504" s="1"/>
  <c r="AK1505" s="1"/>
  <c r="AK1506" s="1"/>
  <c r="AK1507" s="1"/>
  <c r="AK1508" s="1"/>
  <c r="AK1509" s="1"/>
  <c r="AK1510" s="1"/>
  <c r="AK1511" s="1"/>
  <c r="AK1512" s="1"/>
  <c r="AK1513" s="1"/>
  <c r="AK1514" s="1"/>
  <c r="AK1515" s="1"/>
  <c r="AK1516" s="1"/>
  <c r="AK1517" s="1"/>
  <c r="AK1518" s="1"/>
  <c r="AK1519" s="1"/>
  <c r="AK1319"/>
  <c r="AK1320" s="1"/>
  <c r="AK1321" s="1"/>
  <c r="AK1322" s="1"/>
  <c r="AK1323" s="1"/>
  <c r="AK1324" s="1"/>
  <c r="AK1325" s="1"/>
  <c r="AK1326" s="1"/>
  <c r="AK1327" s="1"/>
  <c r="AK1328" s="1"/>
  <c r="AK1329" s="1"/>
  <c r="AK1330" s="1"/>
  <c r="AK1331" s="1"/>
  <c r="AK1332" s="1"/>
  <c r="AK1333" s="1"/>
  <c r="AK1334" s="1"/>
  <c r="AK1335" s="1"/>
  <c r="AK1336" s="1"/>
  <c r="AK1337" s="1"/>
  <c r="AK1338" s="1"/>
  <c r="AK1339" s="1"/>
  <c r="AK1340" s="1"/>
  <c r="AK1341" s="1"/>
  <c r="AK1342" s="1"/>
  <c r="AK1343" s="1"/>
  <c r="AK1344" s="1"/>
  <c r="AK1345" s="1"/>
  <c r="AK1346" s="1"/>
  <c r="AK1347" s="1"/>
  <c r="AK1348" s="1"/>
  <c r="AK1349" s="1"/>
  <c r="AK1350" s="1"/>
  <c r="AK1351" s="1"/>
  <c r="AK1352" s="1"/>
  <c r="AK1353" s="1"/>
  <c r="AK1354" s="1"/>
  <c r="AK1355" s="1"/>
  <c r="AK1356" s="1"/>
  <c r="AK1357" s="1"/>
  <c r="AK1358" s="1"/>
  <c r="AK1359" s="1"/>
  <c r="AK1360" s="1"/>
  <c r="AK1361" s="1"/>
  <c r="AK1362" s="1"/>
  <c r="AK1363" s="1"/>
  <c r="AK1364" s="1"/>
  <c r="AK1365" s="1"/>
  <c r="AK1366" s="1"/>
  <c r="AK1367" s="1"/>
  <c r="AK1368" s="1"/>
  <c r="AK1369" s="1"/>
  <c r="AK1370" s="1"/>
  <c r="AK1371" s="1"/>
  <c r="AK1372" s="1"/>
  <c r="AK1373" s="1"/>
  <c r="AK1374" s="1"/>
  <c r="AK1375" s="1"/>
  <c r="AK1376" s="1"/>
  <c r="AK1377" s="1"/>
  <c r="AK1378" s="1"/>
  <c r="AK1379" s="1"/>
  <c r="AK1380" s="1"/>
  <c r="AK1381" s="1"/>
  <c r="AK1382" s="1"/>
  <c r="AK1383" s="1"/>
  <c r="AK1384" s="1"/>
  <c r="AK1385" s="1"/>
  <c r="AK1386" s="1"/>
  <c r="AK1387" s="1"/>
  <c r="AK1388" s="1"/>
  <c r="AK1389" s="1"/>
  <c r="AK1390" s="1"/>
  <c r="AK1391" s="1"/>
  <c r="AK1392" s="1"/>
  <c r="AK1393" s="1"/>
  <c r="AK1394" s="1"/>
  <c r="AK1395" s="1"/>
  <c r="AK1396" s="1"/>
  <c r="AK1397" s="1"/>
  <c r="AK1398" s="1"/>
  <c r="AK1399" s="1"/>
  <c r="AK1400" s="1"/>
  <c r="AK1401" s="1"/>
  <c r="AK1402" s="1"/>
  <c r="AK1403" s="1"/>
  <c r="AK1404" s="1"/>
  <c r="AK1405" s="1"/>
  <c r="AK1406" s="1"/>
  <c r="AK1407" s="1"/>
  <c r="AK1408" s="1"/>
  <c r="AK1409" s="1"/>
  <c r="AK1410" s="1"/>
  <c r="AK1411" s="1"/>
  <c r="AK1412" s="1"/>
  <c r="AK1413" s="1"/>
  <c r="AK1414" s="1"/>
  <c r="AK1415" s="1"/>
  <c r="AK1416" s="1"/>
  <c r="AK1417" s="1"/>
  <c r="AK1418" s="1"/>
  <c r="AK1218"/>
  <c r="AK1219" s="1"/>
  <c r="AK1220" s="1"/>
  <c r="AK1221" s="1"/>
  <c r="AK1222" s="1"/>
  <c r="AK1223" s="1"/>
  <c r="AK1224" s="1"/>
  <c r="AK1225" s="1"/>
  <c r="AK1226" s="1"/>
  <c r="AK1227" s="1"/>
  <c r="AK1228" s="1"/>
  <c r="AK1229" s="1"/>
  <c r="AK1230" s="1"/>
  <c r="AK1231" s="1"/>
  <c r="AK1232" s="1"/>
  <c r="AK1233" s="1"/>
  <c r="AK1234" s="1"/>
  <c r="AK1235" s="1"/>
  <c r="AK1236" s="1"/>
  <c r="AK1237" s="1"/>
  <c r="AK1238" s="1"/>
  <c r="AK1239" s="1"/>
  <c r="AK1240" s="1"/>
  <c r="AK1241" s="1"/>
  <c r="AK1242" s="1"/>
  <c r="AK1243" s="1"/>
  <c r="AK1244" s="1"/>
  <c r="AK1245" s="1"/>
  <c r="AK1246" s="1"/>
  <c r="AK1247" s="1"/>
  <c r="AK1248" s="1"/>
  <c r="AK1249" s="1"/>
  <c r="AK1250" s="1"/>
  <c r="AK1251" s="1"/>
  <c r="AK1252" s="1"/>
  <c r="AK1253" s="1"/>
  <c r="AK1254" s="1"/>
  <c r="AK1255" s="1"/>
  <c r="AK1256" s="1"/>
  <c r="AK1257" s="1"/>
  <c r="AK1258" s="1"/>
  <c r="AK1259" s="1"/>
  <c r="AK1260" s="1"/>
  <c r="AK1261" s="1"/>
  <c r="AK1262" s="1"/>
  <c r="AK1263" s="1"/>
  <c r="AK1264" s="1"/>
  <c r="AK1265" s="1"/>
  <c r="AK1266" s="1"/>
  <c r="AK1267" s="1"/>
  <c r="AK1268" s="1"/>
  <c r="AK1269" s="1"/>
  <c r="AK1270" s="1"/>
  <c r="AK1271" s="1"/>
  <c r="AK1272" s="1"/>
  <c r="AK1273" s="1"/>
  <c r="AK1274" s="1"/>
  <c r="AK1275" s="1"/>
  <c r="AK1276" s="1"/>
  <c r="AK1277" s="1"/>
  <c r="AK1278" s="1"/>
  <c r="AK1279" s="1"/>
  <c r="AK1280" s="1"/>
  <c r="AK1281" s="1"/>
  <c r="AK1282" s="1"/>
  <c r="AK1283" s="1"/>
  <c r="AK1284" s="1"/>
  <c r="AK1285" s="1"/>
  <c r="AK1286" s="1"/>
  <c r="AK1287" s="1"/>
  <c r="AK1288" s="1"/>
  <c r="AK1289" s="1"/>
  <c r="AK1290" s="1"/>
  <c r="AK1291" s="1"/>
  <c r="AK1292" s="1"/>
  <c r="AK1293" s="1"/>
  <c r="AK1294" s="1"/>
  <c r="AK1295" s="1"/>
  <c r="AK1296" s="1"/>
  <c r="AK1297" s="1"/>
  <c r="AK1298" s="1"/>
  <c r="AK1299" s="1"/>
  <c r="AK1300" s="1"/>
  <c r="AK1301" s="1"/>
  <c r="AK1302" s="1"/>
  <c r="AK1303" s="1"/>
  <c r="AK1304" s="1"/>
  <c r="AK1305" s="1"/>
  <c r="AK1306" s="1"/>
  <c r="AK1307" s="1"/>
  <c r="AK1308" s="1"/>
  <c r="AK1309" s="1"/>
  <c r="AK1310" s="1"/>
  <c r="AK1311" s="1"/>
  <c r="AK1312" s="1"/>
  <c r="AK1313" s="1"/>
  <c r="AK1314" s="1"/>
  <c r="AK1315" s="1"/>
  <c r="AK1316" s="1"/>
  <c r="AK1317" s="1"/>
  <c r="AK1117"/>
  <c r="AK1118" s="1"/>
  <c r="AK1119" s="1"/>
  <c r="AK1120" s="1"/>
  <c r="AK1121" s="1"/>
  <c r="AK1122" s="1"/>
  <c r="AK1123" s="1"/>
  <c r="AK1124" s="1"/>
  <c r="AK1125" s="1"/>
  <c r="AK1126" s="1"/>
  <c r="AK1127" s="1"/>
  <c r="AK1128" s="1"/>
  <c r="AK1129" s="1"/>
  <c r="AK1130" s="1"/>
  <c r="AK1131" s="1"/>
  <c r="AK1132" s="1"/>
  <c r="AK1133" s="1"/>
  <c r="AK1134" s="1"/>
  <c r="AK1135" s="1"/>
  <c r="AK1136" s="1"/>
  <c r="AK1137" s="1"/>
  <c r="AK1138" s="1"/>
  <c r="AK1139" s="1"/>
  <c r="AK1140" s="1"/>
  <c r="AK1141" s="1"/>
  <c r="AK1142" s="1"/>
  <c r="AK1143" s="1"/>
  <c r="AK1144" s="1"/>
  <c r="AK1145" s="1"/>
  <c r="AK1146" s="1"/>
  <c r="AK1147" s="1"/>
  <c r="AK1148" s="1"/>
  <c r="AK1149" s="1"/>
  <c r="AK1150" s="1"/>
  <c r="AK1151" s="1"/>
  <c r="AK1152" s="1"/>
  <c r="AK1153" s="1"/>
  <c r="AK1154" s="1"/>
  <c r="AK1155" s="1"/>
  <c r="AK1156" s="1"/>
  <c r="AK1157" s="1"/>
  <c r="AK1158" s="1"/>
  <c r="AK1159" s="1"/>
  <c r="AK1160" s="1"/>
  <c r="AK1161" s="1"/>
  <c r="AK1162" s="1"/>
  <c r="AK1163" s="1"/>
  <c r="AK1164" s="1"/>
  <c r="AK1165" s="1"/>
  <c r="AK1166" s="1"/>
  <c r="AK1167" s="1"/>
  <c r="AK1168" s="1"/>
  <c r="AK1169" s="1"/>
  <c r="AK1170" s="1"/>
  <c r="AK1171" s="1"/>
  <c r="AK1172" s="1"/>
  <c r="AK1173" s="1"/>
  <c r="AK1174" s="1"/>
  <c r="AK1175" s="1"/>
  <c r="AK1176" s="1"/>
  <c r="AK1177" s="1"/>
  <c r="AK1178" s="1"/>
  <c r="AK1179" s="1"/>
  <c r="AK1180" s="1"/>
  <c r="AK1181" s="1"/>
  <c r="AK1182" s="1"/>
  <c r="AK1183" s="1"/>
  <c r="AK1184" s="1"/>
  <c r="AK1185" s="1"/>
  <c r="AK1186" s="1"/>
  <c r="AK1187" s="1"/>
  <c r="AK1188" s="1"/>
  <c r="AK1189" s="1"/>
  <c r="AK1190" s="1"/>
  <c r="AK1191" s="1"/>
  <c r="AK1192" s="1"/>
  <c r="AK1193" s="1"/>
  <c r="AK1194" s="1"/>
  <c r="AK1195" s="1"/>
  <c r="AK1196" s="1"/>
  <c r="AK1197" s="1"/>
  <c r="AK1198" s="1"/>
  <c r="AK1199" s="1"/>
  <c r="AK1200" s="1"/>
  <c r="AK1201" s="1"/>
  <c r="AK1202" s="1"/>
  <c r="AK1203" s="1"/>
  <c r="AK1204" s="1"/>
  <c r="AK1205" s="1"/>
  <c r="AK1206" s="1"/>
  <c r="AK1207" s="1"/>
  <c r="AK1208" s="1"/>
  <c r="AK1209" s="1"/>
  <c r="AK1210" s="1"/>
  <c r="AK1211" s="1"/>
  <c r="AK1212" s="1"/>
  <c r="AK1213" s="1"/>
  <c r="AK1214" s="1"/>
  <c r="AK1215" s="1"/>
  <c r="AK1216" s="1"/>
  <c r="AK1016"/>
  <c r="AK1017" s="1"/>
  <c r="AK1018" s="1"/>
  <c r="AK1019" s="1"/>
  <c r="AK1020" s="1"/>
  <c r="AK1021" s="1"/>
  <c r="AK1022" s="1"/>
  <c r="AK1023" s="1"/>
  <c r="AK1024" s="1"/>
  <c r="AK1025" s="1"/>
  <c r="AK1026" s="1"/>
  <c r="AK1027" s="1"/>
  <c r="AK1028" s="1"/>
  <c r="AK1029" s="1"/>
  <c r="AK1030" s="1"/>
  <c r="AK1031" s="1"/>
  <c r="AK1032" s="1"/>
  <c r="AK1033" s="1"/>
  <c r="AK1034" s="1"/>
  <c r="AK1035" s="1"/>
  <c r="AK1036" s="1"/>
  <c r="AK1037" s="1"/>
  <c r="AK1038" s="1"/>
  <c r="AK1039" s="1"/>
  <c r="AK1040" s="1"/>
  <c r="AK1041" s="1"/>
  <c r="AK1042" s="1"/>
  <c r="AK1043" s="1"/>
  <c r="AK1044" s="1"/>
  <c r="AK1045" s="1"/>
  <c r="AK1046" s="1"/>
  <c r="AK1047" s="1"/>
  <c r="AK1048" s="1"/>
  <c r="AK1049" s="1"/>
  <c r="AK1050" s="1"/>
  <c r="AK1051" s="1"/>
  <c r="AK1052" s="1"/>
  <c r="AK1053" s="1"/>
  <c r="AK1054" s="1"/>
  <c r="AK1055" s="1"/>
  <c r="AK1056" s="1"/>
  <c r="AK1057" s="1"/>
  <c r="AK1058" s="1"/>
  <c r="AK1059" s="1"/>
  <c r="AK1060" s="1"/>
  <c r="AK1061" s="1"/>
  <c r="AK1062" s="1"/>
  <c r="AK1063" s="1"/>
  <c r="AK1064" s="1"/>
  <c r="AK1065" s="1"/>
  <c r="AK1066" s="1"/>
  <c r="AK1067" s="1"/>
  <c r="AK1068" s="1"/>
  <c r="AK1069" s="1"/>
  <c r="AK1070" s="1"/>
  <c r="AK1071" s="1"/>
  <c r="AK1072" s="1"/>
  <c r="AK1073" s="1"/>
  <c r="AK1074" s="1"/>
  <c r="AK1075" s="1"/>
  <c r="AK1076" s="1"/>
  <c r="AK1077" s="1"/>
  <c r="AK1078" s="1"/>
  <c r="AK1079" s="1"/>
  <c r="AK1080" s="1"/>
  <c r="AK1081" s="1"/>
  <c r="AK1082" s="1"/>
  <c r="AK1083" s="1"/>
  <c r="AK1084" s="1"/>
  <c r="AK1085" s="1"/>
  <c r="AK1086" s="1"/>
  <c r="AK1087" s="1"/>
  <c r="AK1088" s="1"/>
  <c r="AK1089" s="1"/>
  <c r="AK1090" s="1"/>
  <c r="AK1091" s="1"/>
  <c r="AK1092" s="1"/>
  <c r="AK1093" s="1"/>
  <c r="AK1094" s="1"/>
  <c r="AK1095" s="1"/>
  <c r="AK1096" s="1"/>
  <c r="AK1097" s="1"/>
  <c r="AK1098" s="1"/>
  <c r="AK1099" s="1"/>
  <c r="AK1100" s="1"/>
  <c r="AK1101" s="1"/>
  <c r="AK1102" s="1"/>
  <c r="AK1103" s="1"/>
  <c r="AK1104" s="1"/>
  <c r="AK1105" s="1"/>
  <c r="AK1106" s="1"/>
  <c r="AK1107" s="1"/>
  <c r="AK1108" s="1"/>
  <c r="AK1109" s="1"/>
  <c r="AK1110" s="1"/>
  <c r="AK1111" s="1"/>
  <c r="AK1112" s="1"/>
  <c r="AK1113" s="1"/>
  <c r="AK1114" s="1"/>
  <c r="AK1115" s="1"/>
  <c r="AK915"/>
  <c r="AK916" s="1"/>
  <c r="AK917" s="1"/>
  <c r="AK918" s="1"/>
  <c r="AK919" s="1"/>
  <c r="AK920" s="1"/>
  <c r="AK921" s="1"/>
  <c r="AK922" s="1"/>
  <c r="AK923" s="1"/>
  <c r="AK924" s="1"/>
  <c r="AK925" s="1"/>
  <c r="AK926" s="1"/>
  <c r="AK927" s="1"/>
  <c r="AK928" s="1"/>
  <c r="AK929" s="1"/>
  <c r="AK930" s="1"/>
  <c r="AK931" s="1"/>
  <c r="AK932" s="1"/>
  <c r="AK933" s="1"/>
  <c r="AK934" s="1"/>
  <c r="AK935" s="1"/>
  <c r="AK936" s="1"/>
  <c r="AK937" s="1"/>
  <c r="AK938" s="1"/>
  <c r="AK939" s="1"/>
  <c r="AK940" s="1"/>
  <c r="AK941" s="1"/>
  <c r="AK942" s="1"/>
  <c r="AK943" s="1"/>
  <c r="AK944" s="1"/>
  <c r="AK945" s="1"/>
  <c r="AK946" s="1"/>
  <c r="AK947" s="1"/>
  <c r="AK948" s="1"/>
  <c r="AK949" s="1"/>
  <c r="AK950" s="1"/>
  <c r="AK951" s="1"/>
  <c r="AK952" s="1"/>
  <c r="AK953" s="1"/>
  <c r="AK954" s="1"/>
  <c r="AK955" s="1"/>
  <c r="AK956" s="1"/>
  <c r="AK957" s="1"/>
  <c r="AK958" s="1"/>
  <c r="AK959" s="1"/>
  <c r="AK960" s="1"/>
  <c r="AK961" s="1"/>
  <c r="AK962" s="1"/>
  <c r="AK963" s="1"/>
  <c r="AK964" s="1"/>
  <c r="AK965" s="1"/>
  <c r="AK966" s="1"/>
  <c r="AK967" s="1"/>
  <c r="AK968" s="1"/>
  <c r="AK969" s="1"/>
  <c r="AK970" s="1"/>
  <c r="AK971" s="1"/>
  <c r="AK972" s="1"/>
  <c r="AK973" s="1"/>
  <c r="AK974" s="1"/>
  <c r="AK975" s="1"/>
  <c r="AK976" s="1"/>
  <c r="AK977" s="1"/>
  <c r="AK978" s="1"/>
  <c r="AK979" s="1"/>
  <c r="AK980" s="1"/>
  <c r="AK981" s="1"/>
  <c r="AK982" s="1"/>
  <c r="AK983" s="1"/>
  <c r="AK984" s="1"/>
  <c r="AK985" s="1"/>
  <c r="AK986" s="1"/>
  <c r="AK987" s="1"/>
  <c r="AK988" s="1"/>
  <c r="AK989" s="1"/>
  <c r="AK990" s="1"/>
  <c r="AK991" s="1"/>
  <c r="AK992" s="1"/>
  <c r="AK993" s="1"/>
  <c r="AK994" s="1"/>
  <c r="AK995" s="1"/>
  <c r="AK996" s="1"/>
  <c r="AK997" s="1"/>
  <c r="AK998" s="1"/>
  <c r="AK999" s="1"/>
  <c r="AK1000" s="1"/>
  <c r="AK1001" s="1"/>
  <c r="AK1002" s="1"/>
  <c r="AK1003" s="1"/>
  <c r="AK1004" s="1"/>
  <c r="AK1005" s="1"/>
  <c r="AK1006" s="1"/>
  <c r="AK1007" s="1"/>
  <c r="AK1008" s="1"/>
  <c r="AK1009" s="1"/>
  <c r="AK1010" s="1"/>
  <c r="AK1011" s="1"/>
  <c r="AK1012" s="1"/>
  <c r="AK1013" s="1"/>
  <c r="AK1014" s="1"/>
  <c r="AK814"/>
  <c r="AK815" s="1"/>
  <c r="AK816" s="1"/>
  <c r="AK817" s="1"/>
  <c r="AK818" s="1"/>
  <c r="AK819" s="1"/>
  <c r="AK820" s="1"/>
  <c r="AK821" s="1"/>
  <c r="AK822" s="1"/>
  <c r="AK823" s="1"/>
  <c r="AK824" s="1"/>
  <c r="AK825" s="1"/>
  <c r="AK826" s="1"/>
  <c r="AK827" s="1"/>
  <c r="AK828" s="1"/>
  <c r="AK829" s="1"/>
  <c r="AK830" s="1"/>
  <c r="AK831" s="1"/>
  <c r="AK832" s="1"/>
  <c r="AK833" s="1"/>
  <c r="AK834" s="1"/>
  <c r="AK835" s="1"/>
  <c r="AK836" s="1"/>
  <c r="AK837" s="1"/>
  <c r="AK838" s="1"/>
  <c r="AK839" s="1"/>
  <c r="AK840" s="1"/>
  <c r="AK841" s="1"/>
  <c r="AK842" s="1"/>
  <c r="AK843" s="1"/>
  <c r="AK844" s="1"/>
  <c r="AK845" s="1"/>
  <c r="AK846" s="1"/>
  <c r="AK847" s="1"/>
  <c r="AK848" s="1"/>
  <c r="AK849" s="1"/>
  <c r="AK850" s="1"/>
  <c r="AK851" s="1"/>
  <c r="AK852" s="1"/>
  <c r="AK853" s="1"/>
  <c r="AK854" s="1"/>
  <c r="AK855" s="1"/>
  <c r="AK856" s="1"/>
  <c r="AK857" s="1"/>
  <c r="AK858" s="1"/>
  <c r="AK859" s="1"/>
  <c r="AK860" s="1"/>
  <c r="AK861" s="1"/>
  <c r="AK862" s="1"/>
  <c r="AK863" s="1"/>
  <c r="AK864" s="1"/>
  <c r="AK865" s="1"/>
  <c r="AK866" s="1"/>
  <c r="AK867" s="1"/>
  <c r="AK868" s="1"/>
  <c r="AK869" s="1"/>
  <c r="AK870" s="1"/>
  <c r="AK871" s="1"/>
  <c r="AK872" s="1"/>
  <c r="AK873" s="1"/>
  <c r="AK874" s="1"/>
  <c r="AK875" s="1"/>
  <c r="AK876" s="1"/>
  <c r="AK877" s="1"/>
  <c r="AK878" s="1"/>
  <c r="AK879" s="1"/>
  <c r="AK880" s="1"/>
  <c r="AK881" s="1"/>
  <c r="AK882" s="1"/>
  <c r="AK883" s="1"/>
  <c r="AK884" s="1"/>
  <c r="AK885" s="1"/>
  <c r="AK886" s="1"/>
  <c r="AK887" s="1"/>
  <c r="AK888" s="1"/>
  <c r="AK889" s="1"/>
  <c r="AK890" s="1"/>
  <c r="AK891" s="1"/>
  <c r="AK892" s="1"/>
  <c r="AK893" s="1"/>
  <c r="AK894" s="1"/>
  <c r="AK895" s="1"/>
  <c r="AK896" s="1"/>
  <c r="AK897" s="1"/>
  <c r="AK898" s="1"/>
  <c r="AK899" s="1"/>
  <c r="AK900" s="1"/>
  <c r="AK901" s="1"/>
  <c r="AK902" s="1"/>
  <c r="AK903" s="1"/>
  <c r="AK904" s="1"/>
  <c r="AK905" s="1"/>
  <c r="AK906" s="1"/>
  <c r="AK907" s="1"/>
  <c r="AK908" s="1"/>
  <c r="AK909" s="1"/>
  <c r="AK910" s="1"/>
  <c r="AK911" s="1"/>
  <c r="AK912" s="1"/>
  <c r="AK913" s="1"/>
  <c r="AK773"/>
  <c r="AK774" s="1"/>
  <c r="AK775" s="1"/>
  <c r="AK776" s="1"/>
  <c r="AK777" s="1"/>
  <c r="AK778" s="1"/>
  <c r="AK779" s="1"/>
  <c r="AK780" s="1"/>
  <c r="AK781" s="1"/>
  <c r="AK782" s="1"/>
  <c r="AK783" s="1"/>
  <c r="AK784" s="1"/>
  <c r="AK785" s="1"/>
  <c r="AK786" s="1"/>
  <c r="AK787" s="1"/>
  <c r="AK788" s="1"/>
  <c r="AK789" s="1"/>
  <c r="AK790" s="1"/>
  <c r="AK791" s="1"/>
  <c r="AK792" s="1"/>
  <c r="AK793" s="1"/>
  <c r="AK794" s="1"/>
  <c r="AK795" s="1"/>
  <c r="AK796" s="1"/>
  <c r="AK797" s="1"/>
  <c r="AK798" s="1"/>
  <c r="AK799" s="1"/>
  <c r="AK800" s="1"/>
  <c r="AK801" s="1"/>
  <c r="AK802" s="1"/>
  <c r="AK803" s="1"/>
  <c r="AK804" s="1"/>
  <c r="AK805" s="1"/>
  <c r="AK806" s="1"/>
  <c r="AK807" s="1"/>
  <c r="AK808" s="1"/>
  <c r="AK809" s="1"/>
  <c r="AK810" s="1"/>
  <c r="AK811" s="1"/>
  <c r="AK812" s="1"/>
  <c r="AK511"/>
  <c r="AK512" s="1"/>
  <c r="AK513" s="1"/>
  <c r="AK514" s="1"/>
  <c r="AK515" s="1"/>
  <c r="AK516" s="1"/>
  <c r="AK517" s="1"/>
  <c r="AK518" s="1"/>
  <c r="AK519" s="1"/>
  <c r="AK520" s="1"/>
  <c r="AK521" s="1"/>
  <c r="AK522" s="1"/>
  <c r="AK523" s="1"/>
  <c r="AK524" s="1"/>
  <c r="AK525" s="1"/>
  <c r="AK526" s="1"/>
  <c r="AK527" s="1"/>
  <c r="AK528" s="1"/>
  <c r="AK529" s="1"/>
  <c r="AK530" s="1"/>
  <c r="AK531" s="1"/>
  <c r="AK532" s="1"/>
  <c r="AK533" s="1"/>
  <c r="AK534" s="1"/>
  <c r="AK535" s="1"/>
  <c r="AK536" s="1"/>
  <c r="AK537" s="1"/>
  <c r="AK538" s="1"/>
  <c r="AK539" s="1"/>
  <c r="AK540" s="1"/>
  <c r="AK541" s="1"/>
  <c r="AK542" s="1"/>
  <c r="AK543" s="1"/>
  <c r="AK544" s="1"/>
  <c r="AK545" s="1"/>
  <c r="AK546" s="1"/>
  <c r="AK547" s="1"/>
  <c r="AK548" s="1"/>
  <c r="AK549" s="1"/>
  <c r="AK550" s="1"/>
  <c r="AK551" s="1"/>
  <c r="AK552" s="1"/>
  <c r="AK553" s="1"/>
  <c r="AK554" s="1"/>
  <c r="AK555" s="1"/>
  <c r="AK556" s="1"/>
  <c r="AK557" s="1"/>
  <c r="AK558" s="1"/>
  <c r="AK559" s="1"/>
  <c r="AK560" s="1"/>
  <c r="AK561" s="1"/>
  <c r="AK562" s="1"/>
  <c r="AK563" s="1"/>
  <c r="AK564" s="1"/>
  <c r="AK565" s="1"/>
  <c r="AK566" s="1"/>
  <c r="AK567" s="1"/>
  <c r="AK568" s="1"/>
  <c r="AK569" s="1"/>
  <c r="AK570" s="1"/>
  <c r="AK571" s="1"/>
  <c r="AK572" s="1"/>
  <c r="AK573" s="1"/>
  <c r="AK574" s="1"/>
  <c r="AK575" s="1"/>
  <c r="AK576" s="1"/>
  <c r="AK577" s="1"/>
  <c r="AK578" s="1"/>
  <c r="AK579" s="1"/>
  <c r="AK580" s="1"/>
  <c r="AK581" s="1"/>
  <c r="AK582" s="1"/>
  <c r="AK583" s="1"/>
  <c r="AK584" s="1"/>
  <c r="AK585" s="1"/>
  <c r="AK586" s="1"/>
  <c r="AK587" s="1"/>
  <c r="AK588" s="1"/>
  <c r="AK589" s="1"/>
  <c r="AK590" s="1"/>
  <c r="AK591" s="1"/>
  <c r="AK592" s="1"/>
  <c r="AK593" s="1"/>
  <c r="AK594" s="1"/>
  <c r="AK595" s="1"/>
  <c r="AK596" s="1"/>
  <c r="AK597" s="1"/>
  <c r="AK598" s="1"/>
  <c r="AK599" s="1"/>
  <c r="AK600" s="1"/>
  <c r="AK601" s="1"/>
  <c r="AK602" s="1"/>
  <c r="AK603" s="1"/>
  <c r="AK604" s="1"/>
  <c r="AK605" s="1"/>
  <c r="AK606" s="1"/>
  <c r="AK607" s="1"/>
  <c r="AK608" s="1"/>
  <c r="AK609" s="1"/>
  <c r="AK610" s="1"/>
  <c r="AK410"/>
  <c r="AK411" s="1"/>
  <c r="AK412" s="1"/>
  <c r="AK413" s="1"/>
  <c r="AK414" s="1"/>
  <c r="AK415" s="1"/>
  <c r="AK416" s="1"/>
  <c r="AK417" s="1"/>
  <c r="AK418" s="1"/>
  <c r="AK419" s="1"/>
  <c r="AK420" s="1"/>
  <c r="AK421" s="1"/>
  <c r="AK422" s="1"/>
  <c r="AK423" s="1"/>
  <c r="AK424" s="1"/>
  <c r="AK425" s="1"/>
  <c r="AK426" s="1"/>
  <c r="AK427" s="1"/>
  <c r="AK428" s="1"/>
  <c r="AK429" s="1"/>
  <c r="AK430" s="1"/>
  <c r="AK431" s="1"/>
  <c r="AK432" s="1"/>
  <c r="AK433" s="1"/>
  <c r="AK434" s="1"/>
  <c r="AK435" s="1"/>
  <c r="AK436" s="1"/>
  <c r="AK437" s="1"/>
  <c r="AK438" s="1"/>
  <c r="AK439" s="1"/>
  <c r="AK440" s="1"/>
  <c r="AK441" s="1"/>
  <c r="AK442" s="1"/>
  <c r="AK443" s="1"/>
  <c r="AK444" s="1"/>
  <c r="AK445" s="1"/>
  <c r="AK446" s="1"/>
  <c r="AK447" s="1"/>
  <c r="AK448" s="1"/>
  <c r="AK449" s="1"/>
  <c r="AK450" s="1"/>
  <c r="AK451" s="1"/>
  <c r="AK452" s="1"/>
  <c r="AK453" s="1"/>
  <c r="AK454" s="1"/>
  <c r="AK455" s="1"/>
  <c r="AK456" s="1"/>
  <c r="AK457" s="1"/>
  <c r="AK458" s="1"/>
  <c r="AK459" s="1"/>
  <c r="AK460" s="1"/>
  <c r="AK461" s="1"/>
  <c r="AK462" s="1"/>
  <c r="AK463" s="1"/>
  <c r="AK464" s="1"/>
  <c r="AK465" s="1"/>
  <c r="AK466" s="1"/>
  <c r="AK467" s="1"/>
  <c r="AK468" s="1"/>
  <c r="AK469" s="1"/>
  <c r="AK470" s="1"/>
  <c r="AK471" s="1"/>
  <c r="AK472" s="1"/>
  <c r="AK473" s="1"/>
  <c r="AK474" s="1"/>
  <c r="AK475" s="1"/>
  <c r="AK476" s="1"/>
  <c r="AK477" s="1"/>
  <c r="AK478" s="1"/>
  <c r="AK479" s="1"/>
  <c r="AK480" s="1"/>
  <c r="AK481" s="1"/>
  <c r="AK482" s="1"/>
  <c r="AK483" s="1"/>
  <c r="AK484" s="1"/>
  <c r="AK485" s="1"/>
  <c r="AK486" s="1"/>
  <c r="AK487" s="1"/>
  <c r="AK488" s="1"/>
  <c r="AK489" s="1"/>
  <c r="AK490" s="1"/>
  <c r="AK491" s="1"/>
  <c r="AK492" s="1"/>
  <c r="AK493" s="1"/>
  <c r="AK494" s="1"/>
  <c r="AK495" s="1"/>
  <c r="AK496" s="1"/>
  <c r="AK497" s="1"/>
  <c r="AK498" s="1"/>
  <c r="AK499" s="1"/>
  <c r="AK500" s="1"/>
  <c r="AK501" s="1"/>
  <c r="AK502" s="1"/>
  <c r="AK503" s="1"/>
  <c r="AK504" s="1"/>
  <c r="AK505" s="1"/>
  <c r="AK506" s="1"/>
  <c r="AK507" s="1"/>
  <c r="AK508" s="1"/>
  <c r="AK509" s="1"/>
  <c r="AF408"/>
  <c r="A24" i="26" l="1"/>
  <c r="AB23"/>
  <c r="AE23" s="1"/>
  <c r="T23"/>
  <c r="W23" s="1"/>
  <c r="L23"/>
  <c r="O23" s="1"/>
  <c r="D23"/>
  <c r="G23" s="1"/>
  <c r="Q24"/>
  <c r="I24"/>
  <c r="Y25"/>
  <c r="AK8" i="18"/>
  <c r="Q118"/>
  <c r="Q117" s="1"/>
  <c r="M119"/>
  <c r="M118" s="1"/>
  <c r="M120" s="1"/>
  <c r="D59"/>
  <c r="E59" s="1"/>
  <c r="G64" s="1"/>
  <c r="I25" i="26" l="1"/>
  <c r="A25"/>
  <c r="AB24"/>
  <c r="AE24" s="1"/>
  <c r="T24"/>
  <c r="W24" s="1"/>
  <c r="L24"/>
  <c r="O24" s="1"/>
  <c r="D24"/>
  <c r="G24" s="1"/>
  <c r="Y26"/>
  <c r="Q25"/>
  <c r="AK9" i="18"/>
  <c r="R118"/>
  <c r="Y27" i="26" l="1"/>
  <c r="I26"/>
  <c r="Q26"/>
  <c r="A26"/>
  <c r="AB25"/>
  <c r="AE25" s="1"/>
  <c r="T25"/>
  <c r="W25" s="1"/>
  <c r="L25"/>
  <c r="O25" s="1"/>
  <c r="D25"/>
  <c r="G25" s="1"/>
  <c r="AK10" i="18"/>
  <c r="U91"/>
  <c r="U92" s="1"/>
  <c r="U93" s="1"/>
  <c r="U94" s="1"/>
  <c r="U95" s="1"/>
  <c r="U96" s="1"/>
  <c r="U97" s="1"/>
  <c r="U83"/>
  <c r="U84" s="1"/>
  <c r="U85" s="1"/>
  <c r="U86" s="1"/>
  <c r="U87" s="1"/>
  <c r="U88" s="1"/>
  <c r="U89" s="1"/>
  <c r="U67"/>
  <c r="U68" s="1"/>
  <c r="U69" s="1"/>
  <c r="U70" s="1"/>
  <c r="U71" s="1"/>
  <c r="U72" s="1"/>
  <c r="U73" s="1"/>
  <c r="Q27" i="26" l="1"/>
  <c r="Y28"/>
  <c r="A27"/>
  <c r="AB26"/>
  <c r="AE26" s="1"/>
  <c r="T26"/>
  <c r="W26" s="1"/>
  <c r="L26"/>
  <c r="O26" s="1"/>
  <c r="D26"/>
  <c r="G26" s="1"/>
  <c r="I27"/>
  <c r="AK11" i="18"/>
  <c r="U75"/>
  <c r="U76" s="1"/>
  <c r="U77" s="1"/>
  <c r="U78" s="1"/>
  <c r="U79" s="1"/>
  <c r="U80" s="1"/>
  <c r="U81" s="1"/>
  <c r="A28" i="26" l="1"/>
  <c r="AB27"/>
  <c r="AE27" s="1"/>
  <c r="T27"/>
  <c r="W27" s="1"/>
  <c r="L27"/>
  <c r="O27" s="1"/>
  <c r="D27"/>
  <c r="G27" s="1"/>
  <c r="Q28"/>
  <c r="I28"/>
  <c r="Y29"/>
  <c r="AK12" i="18"/>
  <c r="I48" i="1"/>
  <c r="I47"/>
  <c r="I50"/>
  <c r="C1" i="18"/>
  <c r="D1" s="1"/>
  <c r="E1" s="1"/>
  <c r="F1" s="1"/>
  <c r="G1" s="1"/>
  <c r="H1" s="1"/>
  <c r="I1" s="1"/>
  <c r="J1" s="1"/>
  <c r="K1" s="1"/>
  <c r="L1" s="1"/>
  <c r="M1" s="1"/>
  <c r="N1" s="1"/>
  <c r="O1" s="1"/>
  <c r="P1" s="1"/>
  <c r="Q1" s="1"/>
  <c r="R1" s="1"/>
  <c r="S1" s="1"/>
  <c r="T1" s="1"/>
  <c r="A29" i="26" l="1"/>
  <c r="AB28"/>
  <c r="AE28" s="1"/>
  <c r="T28"/>
  <c r="W28" s="1"/>
  <c r="L28"/>
  <c r="O28" s="1"/>
  <c r="D28"/>
  <c r="G28" s="1"/>
  <c r="Y30"/>
  <c r="Q29"/>
  <c r="I29"/>
  <c r="AK13" i="18"/>
  <c r="Q30" i="26" l="1"/>
  <c r="A30"/>
  <c r="AB29"/>
  <c r="AE29" s="1"/>
  <c r="T29"/>
  <c r="W29" s="1"/>
  <c r="L29"/>
  <c r="O29" s="1"/>
  <c r="D29"/>
  <c r="G29" s="1"/>
  <c r="Y31"/>
  <c r="I30"/>
  <c r="AK14" i="18"/>
  <c r="E100"/>
  <c r="F101"/>
  <c r="D99"/>
  <c r="Y32" i="26" l="1"/>
  <c r="Q31"/>
  <c r="I31"/>
  <c r="AB30"/>
  <c r="AE30" s="1"/>
  <c r="T30"/>
  <c r="W30" s="1"/>
  <c r="L30"/>
  <c r="O30" s="1"/>
  <c r="A31"/>
  <c r="D30"/>
  <c r="G30" s="1"/>
  <c r="E62" i="18"/>
  <c r="AK15"/>
  <c r="D61"/>
  <c r="F63"/>
  <c r="I32" i="26" l="1"/>
  <c r="AB31"/>
  <c r="AE31" s="1"/>
  <c r="T31"/>
  <c r="W31" s="1"/>
  <c r="L31"/>
  <c r="D31"/>
  <c r="G31" s="1"/>
  <c r="O31"/>
  <c r="A32"/>
  <c r="Y33"/>
  <c r="Q32"/>
  <c r="AK16" i="18"/>
  <c r="D2"/>
  <c r="N61"/>
  <c r="O64"/>
  <c r="O63"/>
  <c r="O62"/>
  <c r="O61"/>
  <c r="AB32" i="26" l="1"/>
  <c r="T32"/>
  <c r="W32" s="1"/>
  <c r="L32"/>
  <c r="O32" s="1"/>
  <c r="D32"/>
  <c r="G32" s="1"/>
  <c r="AE32"/>
  <c r="A33"/>
  <c r="Y34"/>
  <c r="I33"/>
  <c r="Q33"/>
  <c r="AK17" i="18"/>
  <c r="C88" i="10"/>
  <c r="H88"/>
  <c r="Q34" i="26" l="1"/>
  <c r="I34"/>
  <c r="AB33"/>
  <c r="T33"/>
  <c r="W33" s="1"/>
  <c r="L33"/>
  <c r="O33" s="1"/>
  <c r="D33"/>
  <c r="G33" s="1"/>
  <c r="AE33"/>
  <c r="A34"/>
  <c r="Y35"/>
  <c r="AK18" i="18"/>
  <c r="X3"/>
  <c r="F4" i="17"/>
  <c r="F5" s="1"/>
  <c r="F6" s="1"/>
  <c r="F7" s="1"/>
  <c r="F8" s="1"/>
  <c r="F9" s="1"/>
  <c r="F10" s="1"/>
  <c r="F11" s="1"/>
  <c r="F12" s="1"/>
  <c r="F13" s="1"/>
  <c r="F14" s="1"/>
  <c r="F15" s="1"/>
  <c r="F16" s="1"/>
  <c r="F17" s="1"/>
  <c r="F18" s="1"/>
  <c r="F19" s="1"/>
  <c r="F20" s="1"/>
  <c r="F21" s="1"/>
  <c r="F22" s="1"/>
  <c r="F23" s="1"/>
  <c r="F24" s="1"/>
  <c r="F25" s="1"/>
  <c r="F26" s="1"/>
  <c r="F27" s="1"/>
  <c r="F28" s="1"/>
  <c r="F29" s="1"/>
  <c r="F30" s="1"/>
  <c r="F31" s="1"/>
  <c r="F32" s="1"/>
  <c r="F33" s="1"/>
  <c r="F34" s="1"/>
  <c r="F35" s="1"/>
  <c r="F36" s="1"/>
  <c r="F37" s="1"/>
  <c r="F38" s="1"/>
  <c r="F39" s="1"/>
  <c r="F40" s="1"/>
  <c r="F41" s="1"/>
  <c r="F42" s="1"/>
  <c r="F43" s="1"/>
  <c r="F44" s="1"/>
  <c r="F45" s="1"/>
  <c r="F46" s="1"/>
  <c r="F47" s="1"/>
  <c r="F48" s="1"/>
  <c r="F49" s="1"/>
  <c r="F50" s="1"/>
  <c r="F51" s="1"/>
  <c r="F52" s="1"/>
  <c r="F53" s="1"/>
  <c r="F54" s="1"/>
  <c r="F55" s="1"/>
  <c r="F56" s="1"/>
  <c r="F57" s="1"/>
  <c r="F58" s="1"/>
  <c r="F59" s="1"/>
  <c r="F60" s="1"/>
  <c r="F61" s="1"/>
  <c r="F62" s="1"/>
  <c r="F63" s="1"/>
  <c r="F64" s="1"/>
  <c r="F65" s="1"/>
  <c r="F66" s="1"/>
  <c r="F67" s="1"/>
  <c r="F68" s="1"/>
  <c r="F69" s="1"/>
  <c r="F70" s="1"/>
  <c r="F71" s="1"/>
  <c r="F72" s="1"/>
  <c r="F73" s="1"/>
  <c r="F74" s="1"/>
  <c r="F75" s="1"/>
  <c r="F76" s="1"/>
  <c r="F77" s="1"/>
  <c r="F78" s="1"/>
  <c r="F79" s="1"/>
  <c r="F80" s="1"/>
  <c r="F81" s="1"/>
  <c r="F82" s="1"/>
  <c r="F83" s="1"/>
  <c r="F84" s="1"/>
  <c r="F85" s="1"/>
  <c r="F86" s="1"/>
  <c r="F87" s="1"/>
  <c r="F88" s="1"/>
  <c r="F89" s="1"/>
  <c r="F90" s="1"/>
  <c r="F91" s="1"/>
  <c r="F92" s="1"/>
  <c r="F93" s="1"/>
  <c r="F94" s="1"/>
  <c r="F95" s="1"/>
  <c r="F96" s="1"/>
  <c r="F97" s="1"/>
  <c r="F98" s="1"/>
  <c r="F99" s="1"/>
  <c r="F100" s="1"/>
  <c r="F101" s="1"/>
  <c r="F102" s="1"/>
  <c r="F103" s="1"/>
  <c r="F105" s="1"/>
  <c r="F106" s="1"/>
  <c r="F107" s="1"/>
  <c r="F108" s="1"/>
  <c r="F109" s="1"/>
  <c r="F110" s="1"/>
  <c r="F111" s="1"/>
  <c r="F112" s="1"/>
  <c r="F113" s="1"/>
  <c r="F114" s="1"/>
  <c r="F115" s="1"/>
  <c r="F116" s="1"/>
  <c r="F117" s="1"/>
  <c r="F118" s="1"/>
  <c r="F119" s="1"/>
  <c r="F120" s="1"/>
  <c r="F121" s="1"/>
  <c r="F122" s="1"/>
  <c r="F123" s="1"/>
  <c r="F124" s="1"/>
  <c r="F125" s="1"/>
  <c r="F126" s="1"/>
  <c r="F127" s="1"/>
  <c r="F128" s="1"/>
  <c r="F129" s="1"/>
  <c r="F130" s="1"/>
  <c r="F131" s="1"/>
  <c r="F132" s="1"/>
  <c r="F133" s="1"/>
  <c r="F134" s="1"/>
  <c r="F135" s="1"/>
  <c r="F136" s="1"/>
  <c r="F137" s="1"/>
  <c r="F138" s="1"/>
  <c r="F139" s="1"/>
  <c r="F140" s="1"/>
  <c r="F141" s="1"/>
  <c r="F142" s="1"/>
  <c r="F143" s="1"/>
  <c r="F144" s="1"/>
  <c r="F145" s="1"/>
  <c r="F146" s="1"/>
  <c r="F147" s="1"/>
  <c r="F148" s="1"/>
  <c r="F149" s="1"/>
  <c r="F150" s="1"/>
  <c r="F151" s="1"/>
  <c r="F152" s="1"/>
  <c r="F153" s="1"/>
  <c r="F154" s="1"/>
  <c r="F155" s="1"/>
  <c r="F156" s="1"/>
  <c r="F157" s="1"/>
  <c r="F158" s="1"/>
  <c r="F159" s="1"/>
  <c r="F160" s="1"/>
  <c r="F161" s="1"/>
  <c r="F162" s="1"/>
  <c r="F163" s="1"/>
  <c r="F164" s="1"/>
  <c r="F165" s="1"/>
  <c r="F166" s="1"/>
  <c r="F167" s="1"/>
  <c r="F168" s="1"/>
  <c r="F169" s="1"/>
  <c r="F170" s="1"/>
  <c r="F171" s="1"/>
  <c r="F172" s="1"/>
  <c r="F173" s="1"/>
  <c r="F174" s="1"/>
  <c r="F175" s="1"/>
  <c r="F176" s="1"/>
  <c r="F177" s="1"/>
  <c r="F178" s="1"/>
  <c r="F179" s="1"/>
  <c r="F180" s="1"/>
  <c r="F181" s="1"/>
  <c r="F182" s="1"/>
  <c r="F183" s="1"/>
  <c r="F184" s="1"/>
  <c r="F185" s="1"/>
  <c r="F186" s="1"/>
  <c r="F187" s="1"/>
  <c r="F188" s="1"/>
  <c r="F189" s="1"/>
  <c r="F190" s="1"/>
  <c r="F191" s="1"/>
  <c r="F192" s="1"/>
  <c r="F193" s="1"/>
  <c r="F194" s="1"/>
  <c r="F195" s="1"/>
  <c r="F196" s="1"/>
  <c r="F197" s="1"/>
  <c r="F198" s="1"/>
  <c r="F199" s="1"/>
  <c r="F200" s="1"/>
  <c r="F201" s="1"/>
  <c r="F202" s="1"/>
  <c r="F203" s="1"/>
  <c r="F204" s="1"/>
  <c r="F206" s="1"/>
  <c r="F207" s="1"/>
  <c r="F208" s="1"/>
  <c r="F209" s="1"/>
  <c r="F210" s="1"/>
  <c r="F211" s="1"/>
  <c r="F212" s="1"/>
  <c r="F213" s="1"/>
  <c r="F214" s="1"/>
  <c r="F215" s="1"/>
  <c r="F216" s="1"/>
  <c r="F217" s="1"/>
  <c r="F218" s="1"/>
  <c r="F219" s="1"/>
  <c r="F220" s="1"/>
  <c r="F221" s="1"/>
  <c r="F222" s="1"/>
  <c r="F223" s="1"/>
  <c r="F224" s="1"/>
  <c r="F225" s="1"/>
  <c r="F226" s="1"/>
  <c r="F227" s="1"/>
  <c r="F228" s="1"/>
  <c r="F229" s="1"/>
  <c r="F230" s="1"/>
  <c r="F231" s="1"/>
  <c r="F232" s="1"/>
  <c r="F233" s="1"/>
  <c r="F234" s="1"/>
  <c r="F235" s="1"/>
  <c r="F236" s="1"/>
  <c r="F237" s="1"/>
  <c r="F238" s="1"/>
  <c r="F239" s="1"/>
  <c r="F240" s="1"/>
  <c r="F241" s="1"/>
  <c r="F242" s="1"/>
  <c r="F243" s="1"/>
  <c r="F244" s="1"/>
  <c r="F245" s="1"/>
  <c r="F246" s="1"/>
  <c r="F247" s="1"/>
  <c r="F248" s="1"/>
  <c r="F249" s="1"/>
  <c r="F250" s="1"/>
  <c r="F251" s="1"/>
  <c r="F252" s="1"/>
  <c r="F253" s="1"/>
  <c r="F254" s="1"/>
  <c r="F255" s="1"/>
  <c r="F256" s="1"/>
  <c r="F257" s="1"/>
  <c r="F258" s="1"/>
  <c r="F259" s="1"/>
  <c r="F260" s="1"/>
  <c r="F261" s="1"/>
  <c r="F262" s="1"/>
  <c r="F263" s="1"/>
  <c r="F264" s="1"/>
  <c r="F265" s="1"/>
  <c r="F266" s="1"/>
  <c r="F267" s="1"/>
  <c r="F268" s="1"/>
  <c r="F269" s="1"/>
  <c r="F270" s="1"/>
  <c r="F271" s="1"/>
  <c r="F272" s="1"/>
  <c r="F273" s="1"/>
  <c r="F274" s="1"/>
  <c r="F275" s="1"/>
  <c r="F276" s="1"/>
  <c r="F277" s="1"/>
  <c r="F278" s="1"/>
  <c r="F279" s="1"/>
  <c r="F280" s="1"/>
  <c r="F281" s="1"/>
  <c r="F282" s="1"/>
  <c r="F283" s="1"/>
  <c r="F284" s="1"/>
  <c r="F285" s="1"/>
  <c r="F286" s="1"/>
  <c r="F287" s="1"/>
  <c r="F288" s="1"/>
  <c r="F289" s="1"/>
  <c r="F290" s="1"/>
  <c r="F291" s="1"/>
  <c r="F292" s="1"/>
  <c r="F293" s="1"/>
  <c r="F294" s="1"/>
  <c r="F295" s="1"/>
  <c r="F296" s="1"/>
  <c r="F297" s="1"/>
  <c r="F298" s="1"/>
  <c r="F299" s="1"/>
  <c r="F300" s="1"/>
  <c r="F301" s="1"/>
  <c r="F302" s="1"/>
  <c r="F303" s="1"/>
  <c r="F304" s="1"/>
  <c r="F305" s="1"/>
  <c r="F307" s="1"/>
  <c r="F308" s="1"/>
  <c r="F309" s="1"/>
  <c r="F310" s="1"/>
  <c r="F311" s="1"/>
  <c r="F312" s="1"/>
  <c r="F313" s="1"/>
  <c r="F314" s="1"/>
  <c r="F315" s="1"/>
  <c r="F316" s="1"/>
  <c r="F317" s="1"/>
  <c r="F318" s="1"/>
  <c r="F319" s="1"/>
  <c r="F320" s="1"/>
  <c r="F321" s="1"/>
  <c r="F322" s="1"/>
  <c r="F323" s="1"/>
  <c r="F324" s="1"/>
  <c r="F325" s="1"/>
  <c r="F326" s="1"/>
  <c r="F327" s="1"/>
  <c r="F328" s="1"/>
  <c r="F329" s="1"/>
  <c r="F330" s="1"/>
  <c r="F331" s="1"/>
  <c r="F332" s="1"/>
  <c r="F333" s="1"/>
  <c r="F334" s="1"/>
  <c r="F335" s="1"/>
  <c r="F336" s="1"/>
  <c r="F337" s="1"/>
  <c r="F338" s="1"/>
  <c r="F339" s="1"/>
  <c r="F340" s="1"/>
  <c r="F341" s="1"/>
  <c r="F342" s="1"/>
  <c r="F343" s="1"/>
  <c r="F344" s="1"/>
  <c r="F345" s="1"/>
  <c r="F346" s="1"/>
  <c r="F347" s="1"/>
  <c r="F348" s="1"/>
  <c r="F349" s="1"/>
  <c r="F350" s="1"/>
  <c r="F351" s="1"/>
  <c r="F352" s="1"/>
  <c r="F353" s="1"/>
  <c r="F354" s="1"/>
  <c r="F355" s="1"/>
  <c r="F356" s="1"/>
  <c r="F357" s="1"/>
  <c r="F358" s="1"/>
  <c r="F359" s="1"/>
  <c r="F360" s="1"/>
  <c r="F361" s="1"/>
  <c r="F362" s="1"/>
  <c r="F363" s="1"/>
  <c r="F364" s="1"/>
  <c r="F365" s="1"/>
  <c r="F366" s="1"/>
  <c r="F367" s="1"/>
  <c r="F368" s="1"/>
  <c r="F369" s="1"/>
  <c r="F370" s="1"/>
  <c r="F371" s="1"/>
  <c r="F372" s="1"/>
  <c r="F373" s="1"/>
  <c r="F374" s="1"/>
  <c r="F375" s="1"/>
  <c r="F376" s="1"/>
  <c r="F377" s="1"/>
  <c r="F378" s="1"/>
  <c r="F379" s="1"/>
  <c r="F380" s="1"/>
  <c r="F381" s="1"/>
  <c r="F382" s="1"/>
  <c r="F383" s="1"/>
  <c r="F384" s="1"/>
  <c r="F385" s="1"/>
  <c r="F386" s="1"/>
  <c r="F387" s="1"/>
  <c r="F388" s="1"/>
  <c r="F389" s="1"/>
  <c r="F390" s="1"/>
  <c r="F391" s="1"/>
  <c r="F392" s="1"/>
  <c r="F393" s="1"/>
  <c r="F394" s="1"/>
  <c r="F395" s="1"/>
  <c r="F396" s="1"/>
  <c r="F397" s="1"/>
  <c r="F398" s="1"/>
  <c r="F399" s="1"/>
  <c r="F400" s="1"/>
  <c r="F401" s="1"/>
  <c r="F402" s="1"/>
  <c r="F403" s="1"/>
  <c r="F404" s="1"/>
  <c r="F405" s="1"/>
  <c r="F406" s="1"/>
  <c r="AJ85" i="18"/>
  <c r="AB34" i="26" l="1"/>
  <c r="AE34" s="1"/>
  <c r="T34"/>
  <c r="W34" s="1"/>
  <c r="L34"/>
  <c r="O34" s="1"/>
  <c r="D34"/>
  <c r="G34" s="1"/>
  <c r="A35"/>
  <c r="Q35"/>
  <c r="Y36"/>
  <c r="I35"/>
  <c r="AK19" i="18"/>
  <c r="X4"/>
  <c r="Y37" i="26" l="1"/>
  <c r="AB35"/>
  <c r="AE35" s="1"/>
  <c r="T35"/>
  <c r="W35" s="1"/>
  <c r="L35"/>
  <c r="O35" s="1"/>
  <c r="D35"/>
  <c r="G35" s="1"/>
  <c r="A36"/>
  <c r="I36"/>
  <c r="Q36"/>
  <c r="AK20" i="18"/>
  <c r="X5"/>
  <c r="Y38" i="26" l="1"/>
  <c r="I37"/>
  <c r="Q37"/>
  <c r="AB36"/>
  <c r="AE36" s="1"/>
  <c r="T36"/>
  <c r="W36" s="1"/>
  <c r="L36"/>
  <c r="O36" s="1"/>
  <c r="D36"/>
  <c r="G36" s="1"/>
  <c r="A37"/>
  <c r="AK21" i="18"/>
  <c r="X6"/>
  <c r="K406" i="17"/>
  <c r="I406"/>
  <c r="G406"/>
  <c r="K405"/>
  <c r="I405"/>
  <c r="G405"/>
  <c r="K404"/>
  <c r="I404"/>
  <c r="G404"/>
  <c r="K403"/>
  <c r="I403"/>
  <c r="G403"/>
  <c r="K402"/>
  <c r="I402"/>
  <c r="G402"/>
  <c r="K401"/>
  <c r="I401"/>
  <c r="G401"/>
  <c r="K400"/>
  <c r="I400"/>
  <c r="G400"/>
  <c r="K399"/>
  <c r="I399"/>
  <c r="G399"/>
  <c r="K398"/>
  <c r="I398"/>
  <c r="G398"/>
  <c r="K397"/>
  <c r="I397"/>
  <c r="G397"/>
  <c r="K396"/>
  <c r="I396"/>
  <c r="G396"/>
  <c r="K395"/>
  <c r="I395"/>
  <c r="G395"/>
  <c r="K394"/>
  <c r="I394"/>
  <c r="G394"/>
  <c r="K393"/>
  <c r="I393"/>
  <c r="G393"/>
  <c r="K392"/>
  <c r="I392"/>
  <c r="G392"/>
  <c r="K391"/>
  <c r="I391"/>
  <c r="G391"/>
  <c r="K390"/>
  <c r="I390"/>
  <c r="G390"/>
  <c r="K389"/>
  <c r="I389"/>
  <c r="G389"/>
  <c r="K388"/>
  <c r="I388"/>
  <c r="G388"/>
  <c r="K387"/>
  <c r="I387"/>
  <c r="G387"/>
  <c r="K386"/>
  <c r="I386"/>
  <c r="G386"/>
  <c r="K385"/>
  <c r="I385"/>
  <c r="G385"/>
  <c r="K384"/>
  <c r="I384"/>
  <c r="G384"/>
  <c r="K383"/>
  <c r="I383"/>
  <c r="G383"/>
  <c r="K382"/>
  <c r="I382"/>
  <c r="G382"/>
  <c r="K381"/>
  <c r="I381"/>
  <c r="G381"/>
  <c r="K380"/>
  <c r="I380"/>
  <c r="G380"/>
  <c r="K379"/>
  <c r="I379"/>
  <c r="G379"/>
  <c r="K378"/>
  <c r="I378"/>
  <c r="G378"/>
  <c r="K377"/>
  <c r="I377"/>
  <c r="G377"/>
  <c r="K376"/>
  <c r="I376"/>
  <c r="G376"/>
  <c r="K375"/>
  <c r="I375"/>
  <c r="G375"/>
  <c r="K374"/>
  <c r="I374"/>
  <c r="G374"/>
  <c r="K373"/>
  <c r="I373"/>
  <c r="G373"/>
  <c r="K372"/>
  <c r="I372"/>
  <c r="G372"/>
  <c r="K371"/>
  <c r="I371"/>
  <c r="G371"/>
  <c r="K370"/>
  <c r="I370"/>
  <c r="G370"/>
  <c r="K369"/>
  <c r="I369"/>
  <c r="G369"/>
  <c r="K368"/>
  <c r="I368"/>
  <c r="G368"/>
  <c r="K367"/>
  <c r="I367"/>
  <c r="G367"/>
  <c r="K366"/>
  <c r="I366"/>
  <c r="G366"/>
  <c r="K365"/>
  <c r="I365"/>
  <c r="G365"/>
  <c r="K364"/>
  <c r="I364"/>
  <c r="G364"/>
  <c r="K363"/>
  <c r="I363"/>
  <c r="G363"/>
  <c r="K362"/>
  <c r="I362"/>
  <c r="G362"/>
  <c r="K361"/>
  <c r="I361"/>
  <c r="G361"/>
  <c r="K360"/>
  <c r="I360"/>
  <c r="G360"/>
  <c r="K359"/>
  <c r="I359"/>
  <c r="G359"/>
  <c r="K358"/>
  <c r="I358"/>
  <c r="G358"/>
  <c r="K357"/>
  <c r="I357"/>
  <c r="G357"/>
  <c r="K356"/>
  <c r="I356"/>
  <c r="G356"/>
  <c r="K355"/>
  <c r="I355"/>
  <c r="G355"/>
  <c r="K354"/>
  <c r="I354"/>
  <c r="G354"/>
  <c r="K353"/>
  <c r="I353"/>
  <c r="G353"/>
  <c r="K352"/>
  <c r="I352"/>
  <c r="G352"/>
  <c r="K351"/>
  <c r="I351"/>
  <c r="G351"/>
  <c r="K350"/>
  <c r="I350"/>
  <c r="G350"/>
  <c r="K349"/>
  <c r="I349"/>
  <c r="G349"/>
  <c r="K348"/>
  <c r="I348"/>
  <c r="G348"/>
  <c r="K347"/>
  <c r="I347"/>
  <c r="G347"/>
  <c r="K346"/>
  <c r="I346"/>
  <c r="G346"/>
  <c r="K345"/>
  <c r="I345"/>
  <c r="G345"/>
  <c r="K344"/>
  <c r="I344"/>
  <c r="G344"/>
  <c r="K343"/>
  <c r="I343"/>
  <c r="G343"/>
  <c r="K342"/>
  <c r="I342"/>
  <c r="G342"/>
  <c r="K341"/>
  <c r="I341"/>
  <c r="G341"/>
  <c r="K340"/>
  <c r="I340"/>
  <c r="G340"/>
  <c r="K339"/>
  <c r="I339"/>
  <c r="G339"/>
  <c r="K338"/>
  <c r="I338"/>
  <c r="G338"/>
  <c r="K337"/>
  <c r="I337"/>
  <c r="G337"/>
  <c r="K336"/>
  <c r="I336"/>
  <c r="G336"/>
  <c r="K335"/>
  <c r="I335"/>
  <c r="G335"/>
  <c r="K334"/>
  <c r="I334"/>
  <c r="G334"/>
  <c r="K333"/>
  <c r="I333"/>
  <c r="G333"/>
  <c r="K332"/>
  <c r="I332"/>
  <c r="G332"/>
  <c r="K331"/>
  <c r="I331"/>
  <c r="G331"/>
  <c r="K330"/>
  <c r="I330"/>
  <c r="G330"/>
  <c r="K329"/>
  <c r="I329"/>
  <c r="G329"/>
  <c r="K328"/>
  <c r="I328"/>
  <c r="G328"/>
  <c r="K327"/>
  <c r="I327"/>
  <c r="G327"/>
  <c r="K326"/>
  <c r="I326"/>
  <c r="G326"/>
  <c r="K325"/>
  <c r="I325"/>
  <c r="G325"/>
  <c r="K324"/>
  <c r="I324"/>
  <c r="G324"/>
  <c r="K323"/>
  <c r="I323"/>
  <c r="G323"/>
  <c r="K322"/>
  <c r="I322"/>
  <c r="G322"/>
  <c r="K321"/>
  <c r="I321"/>
  <c r="G321"/>
  <c r="K320"/>
  <c r="I320"/>
  <c r="G320"/>
  <c r="K319"/>
  <c r="I319"/>
  <c r="G319"/>
  <c r="K318"/>
  <c r="I318"/>
  <c r="G318"/>
  <c r="K317"/>
  <c r="I317"/>
  <c r="G317"/>
  <c r="K316"/>
  <c r="I316"/>
  <c r="G316"/>
  <c r="K315"/>
  <c r="I315"/>
  <c r="G315"/>
  <c r="K314"/>
  <c r="I314"/>
  <c r="G314"/>
  <c r="K313"/>
  <c r="I313"/>
  <c r="G313"/>
  <c r="K312"/>
  <c r="I312"/>
  <c r="G312"/>
  <c r="K311"/>
  <c r="I311"/>
  <c r="G311"/>
  <c r="K310"/>
  <c r="I310"/>
  <c r="G310"/>
  <c r="K309"/>
  <c r="I309"/>
  <c r="G309"/>
  <c r="K308"/>
  <c r="I308"/>
  <c r="G308"/>
  <c r="K307"/>
  <c r="I307"/>
  <c r="G307"/>
  <c r="K306"/>
  <c r="I306"/>
  <c r="G306"/>
  <c r="K305"/>
  <c r="I305"/>
  <c r="G305"/>
  <c r="K304"/>
  <c r="I304"/>
  <c r="G304"/>
  <c r="K303"/>
  <c r="I303"/>
  <c r="G303"/>
  <c r="K302"/>
  <c r="I302"/>
  <c r="G302"/>
  <c r="K301"/>
  <c r="I301"/>
  <c r="G301"/>
  <c r="K300"/>
  <c r="I300"/>
  <c r="G300"/>
  <c r="K299"/>
  <c r="I299"/>
  <c r="G299"/>
  <c r="K298"/>
  <c r="I298"/>
  <c r="G298"/>
  <c r="K297"/>
  <c r="I297"/>
  <c r="G297"/>
  <c r="K296"/>
  <c r="I296"/>
  <c r="G296"/>
  <c r="K295"/>
  <c r="I295"/>
  <c r="G295"/>
  <c r="K294"/>
  <c r="I294"/>
  <c r="G294"/>
  <c r="K293"/>
  <c r="I293"/>
  <c r="G293"/>
  <c r="K292"/>
  <c r="I292"/>
  <c r="G292"/>
  <c r="K291"/>
  <c r="I291"/>
  <c r="G291"/>
  <c r="K290"/>
  <c r="I290"/>
  <c r="G290"/>
  <c r="K289"/>
  <c r="I289"/>
  <c r="G289"/>
  <c r="K288"/>
  <c r="I288"/>
  <c r="G288"/>
  <c r="K287"/>
  <c r="I287"/>
  <c r="G287"/>
  <c r="K286"/>
  <c r="I286"/>
  <c r="G286"/>
  <c r="K285"/>
  <c r="I285"/>
  <c r="G285"/>
  <c r="K284"/>
  <c r="I284"/>
  <c r="G284"/>
  <c r="K283"/>
  <c r="I283"/>
  <c r="G283"/>
  <c r="K282"/>
  <c r="I282"/>
  <c r="G282"/>
  <c r="K281"/>
  <c r="I281"/>
  <c r="G281"/>
  <c r="K280"/>
  <c r="I280"/>
  <c r="G280"/>
  <c r="K279"/>
  <c r="I279"/>
  <c r="G279"/>
  <c r="K278"/>
  <c r="I278"/>
  <c r="G278"/>
  <c r="K277"/>
  <c r="I277"/>
  <c r="G277"/>
  <c r="K276"/>
  <c r="I276"/>
  <c r="G276"/>
  <c r="K275"/>
  <c r="I275"/>
  <c r="G275"/>
  <c r="K274"/>
  <c r="I274"/>
  <c r="G274"/>
  <c r="K273"/>
  <c r="I273"/>
  <c r="G273"/>
  <c r="K272"/>
  <c r="I272"/>
  <c r="G272"/>
  <c r="K271"/>
  <c r="I271"/>
  <c r="G271"/>
  <c r="K270"/>
  <c r="I270"/>
  <c r="G270"/>
  <c r="K269"/>
  <c r="I269"/>
  <c r="G269"/>
  <c r="K268"/>
  <c r="I268"/>
  <c r="G268"/>
  <c r="K267"/>
  <c r="I267"/>
  <c r="G267"/>
  <c r="K266"/>
  <c r="I266"/>
  <c r="G266"/>
  <c r="K265"/>
  <c r="I265"/>
  <c r="G265"/>
  <c r="K264"/>
  <c r="I264"/>
  <c r="G264"/>
  <c r="K263"/>
  <c r="I263"/>
  <c r="G263"/>
  <c r="K262"/>
  <c r="I262"/>
  <c r="G262"/>
  <c r="K261"/>
  <c r="I261"/>
  <c r="G261"/>
  <c r="K260"/>
  <c r="I260"/>
  <c r="G260"/>
  <c r="K259"/>
  <c r="I259"/>
  <c r="G259"/>
  <c r="K258"/>
  <c r="I258"/>
  <c r="G258"/>
  <c r="K257"/>
  <c r="I257"/>
  <c r="G257"/>
  <c r="K256"/>
  <c r="I256"/>
  <c r="G256"/>
  <c r="K255"/>
  <c r="I255"/>
  <c r="G255"/>
  <c r="K254"/>
  <c r="I254"/>
  <c r="G254"/>
  <c r="K253"/>
  <c r="I253"/>
  <c r="G253"/>
  <c r="K252"/>
  <c r="I252"/>
  <c r="G252"/>
  <c r="K251"/>
  <c r="I251"/>
  <c r="G251"/>
  <c r="K250"/>
  <c r="I250"/>
  <c r="G250"/>
  <c r="K249"/>
  <c r="I249"/>
  <c r="G249"/>
  <c r="K248"/>
  <c r="I248"/>
  <c r="G248"/>
  <c r="K247"/>
  <c r="I247"/>
  <c r="G247"/>
  <c r="K246"/>
  <c r="I246"/>
  <c r="G246"/>
  <c r="K245"/>
  <c r="I245"/>
  <c r="G245"/>
  <c r="K244"/>
  <c r="I244"/>
  <c r="G244"/>
  <c r="K243"/>
  <c r="I243"/>
  <c r="G243"/>
  <c r="K242"/>
  <c r="I242"/>
  <c r="G242"/>
  <c r="K241"/>
  <c r="I241"/>
  <c r="G241"/>
  <c r="K240"/>
  <c r="I240"/>
  <c r="G240"/>
  <c r="K239"/>
  <c r="I239"/>
  <c r="G239"/>
  <c r="K238"/>
  <c r="I238"/>
  <c r="G238"/>
  <c r="K237"/>
  <c r="I237"/>
  <c r="G237"/>
  <c r="K236"/>
  <c r="I236"/>
  <c r="G236"/>
  <c r="K235"/>
  <c r="I235"/>
  <c r="G235"/>
  <c r="K234"/>
  <c r="I234"/>
  <c r="G234"/>
  <c r="K233"/>
  <c r="I233"/>
  <c r="G233"/>
  <c r="K232"/>
  <c r="I232"/>
  <c r="G232"/>
  <c r="K231"/>
  <c r="I231"/>
  <c r="G231"/>
  <c r="K230"/>
  <c r="I230"/>
  <c r="G230"/>
  <c r="K229"/>
  <c r="I229"/>
  <c r="G229"/>
  <c r="K228"/>
  <c r="I228"/>
  <c r="G228"/>
  <c r="K227"/>
  <c r="I227"/>
  <c r="G227"/>
  <c r="K226"/>
  <c r="I226"/>
  <c r="G226"/>
  <c r="K225"/>
  <c r="I225"/>
  <c r="G225"/>
  <c r="K224"/>
  <c r="I224"/>
  <c r="G224"/>
  <c r="K223"/>
  <c r="I223"/>
  <c r="G223"/>
  <c r="K222"/>
  <c r="I222"/>
  <c r="G222"/>
  <c r="K221"/>
  <c r="I221"/>
  <c r="G221"/>
  <c r="K220"/>
  <c r="I220"/>
  <c r="G220"/>
  <c r="K219"/>
  <c r="I219"/>
  <c r="G219"/>
  <c r="K218"/>
  <c r="I218"/>
  <c r="G218"/>
  <c r="K217"/>
  <c r="I217"/>
  <c r="G217"/>
  <c r="K216"/>
  <c r="I216"/>
  <c r="G216"/>
  <c r="K215"/>
  <c r="I215"/>
  <c r="G215"/>
  <c r="K214"/>
  <c r="I214"/>
  <c r="G214"/>
  <c r="K213"/>
  <c r="I213"/>
  <c r="G213"/>
  <c r="K212"/>
  <c r="I212"/>
  <c r="G212"/>
  <c r="K211"/>
  <c r="I211"/>
  <c r="G211"/>
  <c r="K210"/>
  <c r="I210"/>
  <c r="G210"/>
  <c r="K209"/>
  <c r="I209"/>
  <c r="G209"/>
  <c r="K208"/>
  <c r="I208"/>
  <c r="G208"/>
  <c r="K207"/>
  <c r="I207"/>
  <c r="G207"/>
  <c r="K206"/>
  <c r="I206"/>
  <c r="G206"/>
  <c r="K205"/>
  <c r="I205"/>
  <c r="G205"/>
  <c r="K204"/>
  <c r="I204"/>
  <c r="G204"/>
  <c r="K203"/>
  <c r="I203"/>
  <c r="G203"/>
  <c r="K202"/>
  <c r="I202"/>
  <c r="G202"/>
  <c r="K201"/>
  <c r="I201"/>
  <c r="G201"/>
  <c r="K200"/>
  <c r="I200"/>
  <c r="G200"/>
  <c r="K199"/>
  <c r="I199"/>
  <c r="G199"/>
  <c r="K198"/>
  <c r="I198"/>
  <c r="G198"/>
  <c r="K197"/>
  <c r="I197"/>
  <c r="G197"/>
  <c r="K196"/>
  <c r="I196"/>
  <c r="G196"/>
  <c r="K195"/>
  <c r="I195"/>
  <c r="G195"/>
  <c r="K194"/>
  <c r="I194"/>
  <c r="G194"/>
  <c r="K193"/>
  <c r="I193"/>
  <c r="G193"/>
  <c r="K192"/>
  <c r="I192"/>
  <c r="G192"/>
  <c r="K191"/>
  <c r="I191"/>
  <c r="G191"/>
  <c r="K190"/>
  <c r="I190"/>
  <c r="G190"/>
  <c r="K189"/>
  <c r="I189"/>
  <c r="G189"/>
  <c r="K188"/>
  <c r="I188"/>
  <c r="G188"/>
  <c r="K187"/>
  <c r="I187"/>
  <c r="G187"/>
  <c r="K186"/>
  <c r="I186"/>
  <c r="G186"/>
  <c r="K185"/>
  <c r="I185"/>
  <c r="G185"/>
  <c r="K184"/>
  <c r="I184"/>
  <c r="G184"/>
  <c r="K183"/>
  <c r="I183"/>
  <c r="G183"/>
  <c r="K182"/>
  <c r="I182"/>
  <c r="G182"/>
  <c r="K181"/>
  <c r="I181"/>
  <c r="G181"/>
  <c r="K180"/>
  <c r="I180"/>
  <c r="G180"/>
  <c r="K179"/>
  <c r="I179"/>
  <c r="G179"/>
  <c r="K178"/>
  <c r="I178"/>
  <c r="G178"/>
  <c r="K177"/>
  <c r="I177"/>
  <c r="G177"/>
  <c r="K176"/>
  <c r="I176"/>
  <c r="G176"/>
  <c r="K175"/>
  <c r="I175"/>
  <c r="G175"/>
  <c r="K174"/>
  <c r="I174"/>
  <c r="G174"/>
  <c r="K173"/>
  <c r="I173"/>
  <c r="G173"/>
  <c r="K172"/>
  <c r="I172"/>
  <c r="G172"/>
  <c r="K171"/>
  <c r="I171"/>
  <c r="G171"/>
  <c r="K170"/>
  <c r="I170"/>
  <c r="G170"/>
  <c r="K169"/>
  <c r="I169"/>
  <c r="G169"/>
  <c r="K168"/>
  <c r="I168"/>
  <c r="G168"/>
  <c r="K167"/>
  <c r="I167"/>
  <c r="G167"/>
  <c r="K166"/>
  <c r="I166"/>
  <c r="G166"/>
  <c r="K165"/>
  <c r="I165"/>
  <c r="G165"/>
  <c r="K164"/>
  <c r="I164"/>
  <c r="G164"/>
  <c r="K163"/>
  <c r="I163"/>
  <c r="G163"/>
  <c r="K162"/>
  <c r="I162"/>
  <c r="G162"/>
  <c r="K161"/>
  <c r="I161"/>
  <c r="G161"/>
  <c r="K160"/>
  <c r="I160"/>
  <c r="G160"/>
  <c r="K159"/>
  <c r="I159"/>
  <c r="G159"/>
  <c r="K158"/>
  <c r="I158"/>
  <c r="G158"/>
  <c r="K157"/>
  <c r="I157"/>
  <c r="G157"/>
  <c r="K156"/>
  <c r="I156"/>
  <c r="G156"/>
  <c r="K155"/>
  <c r="I155"/>
  <c r="G155"/>
  <c r="K154"/>
  <c r="I154"/>
  <c r="G154"/>
  <c r="K153"/>
  <c r="I153"/>
  <c r="G153"/>
  <c r="K152"/>
  <c r="I152"/>
  <c r="G152"/>
  <c r="K151"/>
  <c r="I151"/>
  <c r="G151"/>
  <c r="K150"/>
  <c r="I150"/>
  <c r="G150"/>
  <c r="K149"/>
  <c r="I149"/>
  <c r="G149"/>
  <c r="K148"/>
  <c r="I148"/>
  <c r="G148"/>
  <c r="K147"/>
  <c r="I147"/>
  <c r="G147"/>
  <c r="K146"/>
  <c r="I146"/>
  <c r="G146"/>
  <c r="K145"/>
  <c r="I145"/>
  <c r="G145"/>
  <c r="K144"/>
  <c r="I144"/>
  <c r="G144"/>
  <c r="K143"/>
  <c r="I143"/>
  <c r="G143"/>
  <c r="K142"/>
  <c r="I142"/>
  <c r="G142"/>
  <c r="K141"/>
  <c r="I141"/>
  <c r="G141"/>
  <c r="K140"/>
  <c r="I140"/>
  <c r="G140"/>
  <c r="K139"/>
  <c r="I139"/>
  <c r="G139"/>
  <c r="K138"/>
  <c r="I138"/>
  <c r="G138"/>
  <c r="K137"/>
  <c r="I137"/>
  <c r="G137"/>
  <c r="K136"/>
  <c r="I136"/>
  <c r="G136"/>
  <c r="K135"/>
  <c r="I135"/>
  <c r="G135"/>
  <c r="K134"/>
  <c r="I134"/>
  <c r="G134"/>
  <c r="K133"/>
  <c r="I133"/>
  <c r="G133"/>
  <c r="K132"/>
  <c r="I132"/>
  <c r="G132"/>
  <c r="K131"/>
  <c r="I131"/>
  <c r="G131"/>
  <c r="K130"/>
  <c r="I130"/>
  <c r="G130"/>
  <c r="K129"/>
  <c r="I129"/>
  <c r="G129"/>
  <c r="K128"/>
  <c r="I128"/>
  <c r="G128"/>
  <c r="K127"/>
  <c r="I127"/>
  <c r="G127"/>
  <c r="K126"/>
  <c r="I126"/>
  <c r="G126"/>
  <c r="K125"/>
  <c r="I125"/>
  <c r="G125"/>
  <c r="K124"/>
  <c r="I124"/>
  <c r="G124"/>
  <c r="K123"/>
  <c r="I123"/>
  <c r="G123"/>
  <c r="K122"/>
  <c r="I122"/>
  <c r="G122"/>
  <c r="K121"/>
  <c r="I121"/>
  <c r="G121"/>
  <c r="K120"/>
  <c r="I120"/>
  <c r="G120"/>
  <c r="K119"/>
  <c r="I119"/>
  <c r="G119"/>
  <c r="K118"/>
  <c r="I118"/>
  <c r="G118"/>
  <c r="K117"/>
  <c r="I117"/>
  <c r="G117"/>
  <c r="K116"/>
  <c r="I116"/>
  <c r="G116"/>
  <c r="K115"/>
  <c r="I115"/>
  <c r="G115"/>
  <c r="K114"/>
  <c r="I114"/>
  <c r="G114"/>
  <c r="K113"/>
  <c r="I113"/>
  <c r="G113"/>
  <c r="K112"/>
  <c r="I112"/>
  <c r="G112"/>
  <c r="K111"/>
  <c r="I111"/>
  <c r="G111"/>
  <c r="K110"/>
  <c r="I110"/>
  <c r="G110"/>
  <c r="K109"/>
  <c r="I109"/>
  <c r="G109"/>
  <c r="K108"/>
  <c r="I108"/>
  <c r="G108"/>
  <c r="K107"/>
  <c r="I107"/>
  <c r="G107"/>
  <c r="K106"/>
  <c r="I106"/>
  <c r="G106"/>
  <c r="K105"/>
  <c r="I105"/>
  <c r="G105"/>
  <c r="K104"/>
  <c r="I104"/>
  <c r="G104"/>
  <c r="K103"/>
  <c r="I103"/>
  <c r="G103"/>
  <c r="K102"/>
  <c r="I102"/>
  <c r="G102"/>
  <c r="K101"/>
  <c r="I101"/>
  <c r="G101"/>
  <c r="K100"/>
  <c r="I100"/>
  <c r="G100"/>
  <c r="K99"/>
  <c r="I99"/>
  <c r="G99"/>
  <c r="K98"/>
  <c r="I98"/>
  <c r="G98"/>
  <c r="K97"/>
  <c r="I97"/>
  <c r="G97"/>
  <c r="K96"/>
  <c r="I96"/>
  <c r="G96"/>
  <c r="K95"/>
  <c r="I95"/>
  <c r="G95"/>
  <c r="K94"/>
  <c r="I94"/>
  <c r="G94"/>
  <c r="K93"/>
  <c r="I93"/>
  <c r="G93"/>
  <c r="K92"/>
  <c r="I92"/>
  <c r="G92"/>
  <c r="K91"/>
  <c r="I91"/>
  <c r="G91"/>
  <c r="K90"/>
  <c r="I90"/>
  <c r="G90"/>
  <c r="K89"/>
  <c r="I89"/>
  <c r="G89"/>
  <c r="K88"/>
  <c r="I88"/>
  <c r="G88"/>
  <c r="K87"/>
  <c r="I87"/>
  <c r="G87"/>
  <c r="K86"/>
  <c r="I86"/>
  <c r="G86"/>
  <c r="K85"/>
  <c r="I85"/>
  <c r="G85"/>
  <c r="K84"/>
  <c r="I84"/>
  <c r="G84"/>
  <c r="K83"/>
  <c r="I83"/>
  <c r="G83"/>
  <c r="K82"/>
  <c r="I82"/>
  <c r="G82"/>
  <c r="K81"/>
  <c r="I81"/>
  <c r="G81"/>
  <c r="K80"/>
  <c r="I80"/>
  <c r="G80"/>
  <c r="K79"/>
  <c r="I79"/>
  <c r="G79"/>
  <c r="K78"/>
  <c r="I78"/>
  <c r="G78"/>
  <c r="K77"/>
  <c r="I77"/>
  <c r="G77"/>
  <c r="K76"/>
  <c r="I76"/>
  <c r="G76"/>
  <c r="K75"/>
  <c r="I75"/>
  <c r="G75"/>
  <c r="K74"/>
  <c r="I74"/>
  <c r="G74"/>
  <c r="K73"/>
  <c r="I73"/>
  <c r="G73"/>
  <c r="K72"/>
  <c r="I72"/>
  <c r="G72"/>
  <c r="K71"/>
  <c r="I71"/>
  <c r="G71"/>
  <c r="K70"/>
  <c r="I70"/>
  <c r="G70"/>
  <c r="K69"/>
  <c r="I69"/>
  <c r="G69"/>
  <c r="K68"/>
  <c r="I68"/>
  <c r="G68"/>
  <c r="K67"/>
  <c r="I67"/>
  <c r="G67"/>
  <c r="K66"/>
  <c r="I66"/>
  <c r="G66"/>
  <c r="K65"/>
  <c r="I65"/>
  <c r="G65"/>
  <c r="K64"/>
  <c r="I64"/>
  <c r="G64"/>
  <c r="K63"/>
  <c r="I63"/>
  <c r="G63"/>
  <c r="K62"/>
  <c r="I62"/>
  <c r="G62"/>
  <c r="K61"/>
  <c r="I61"/>
  <c r="G61"/>
  <c r="K60"/>
  <c r="I60"/>
  <c r="G60"/>
  <c r="K59"/>
  <c r="I59"/>
  <c r="G59"/>
  <c r="K58"/>
  <c r="I58"/>
  <c r="G58"/>
  <c r="K57"/>
  <c r="I57"/>
  <c r="G57"/>
  <c r="K56"/>
  <c r="I56"/>
  <c r="G56"/>
  <c r="K55"/>
  <c r="I55"/>
  <c r="G55"/>
  <c r="K54"/>
  <c r="I54"/>
  <c r="G54"/>
  <c r="K53"/>
  <c r="I53"/>
  <c r="G53"/>
  <c r="K52"/>
  <c r="I52"/>
  <c r="G52"/>
  <c r="K51"/>
  <c r="I51"/>
  <c r="G51"/>
  <c r="K50"/>
  <c r="I50"/>
  <c r="G50"/>
  <c r="K49"/>
  <c r="I49"/>
  <c r="G49"/>
  <c r="K48"/>
  <c r="I48"/>
  <c r="G48"/>
  <c r="K47"/>
  <c r="I47"/>
  <c r="G47"/>
  <c r="K46"/>
  <c r="I46"/>
  <c r="G46"/>
  <c r="K45"/>
  <c r="I45"/>
  <c r="G45"/>
  <c r="K44"/>
  <c r="I44"/>
  <c r="G44"/>
  <c r="K43"/>
  <c r="I43"/>
  <c r="G43"/>
  <c r="K42"/>
  <c r="I42"/>
  <c r="G42"/>
  <c r="K41"/>
  <c r="I41"/>
  <c r="G41"/>
  <c r="K40"/>
  <c r="I40"/>
  <c r="G40"/>
  <c r="K39"/>
  <c r="I39"/>
  <c r="G39"/>
  <c r="K38"/>
  <c r="I38"/>
  <c r="G38"/>
  <c r="K37"/>
  <c r="I37"/>
  <c r="G37"/>
  <c r="K36"/>
  <c r="I36"/>
  <c r="G36"/>
  <c r="K35"/>
  <c r="I35"/>
  <c r="G35"/>
  <c r="K34"/>
  <c r="I34"/>
  <c r="G34"/>
  <c r="K33"/>
  <c r="I33"/>
  <c r="G33"/>
  <c r="K32"/>
  <c r="I32"/>
  <c r="G32"/>
  <c r="K31"/>
  <c r="I31"/>
  <c r="G31"/>
  <c r="K30"/>
  <c r="I30"/>
  <c r="G30"/>
  <c r="K29"/>
  <c r="I29"/>
  <c r="G29"/>
  <c r="K28"/>
  <c r="I28"/>
  <c r="G28"/>
  <c r="K27"/>
  <c r="I27"/>
  <c r="G27"/>
  <c r="K26"/>
  <c r="I26"/>
  <c r="G26"/>
  <c r="K25"/>
  <c r="I25"/>
  <c r="G25"/>
  <c r="K24"/>
  <c r="I24"/>
  <c r="G24"/>
  <c r="K23"/>
  <c r="I23"/>
  <c r="G23"/>
  <c r="K22"/>
  <c r="I22"/>
  <c r="G22"/>
  <c r="K21"/>
  <c r="I21"/>
  <c r="G21"/>
  <c r="K20"/>
  <c r="I20"/>
  <c r="G20"/>
  <c r="K19"/>
  <c r="I19"/>
  <c r="G19"/>
  <c r="K18"/>
  <c r="I18"/>
  <c r="G18"/>
  <c r="K17"/>
  <c r="I17"/>
  <c r="G17"/>
  <c r="K16"/>
  <c r="I16"/>
  <c r="G16"/>
  <c r="K15"/>
  <c r="I15"/>
  <c r="G15"/>
  <c r="K14"/>
  <c r="I14"/>
  <c r="G14"/>
  <c r="K13"/>
  <c r="I13"/>
  <c r="G13"/>
  <c r="K12"/>
  <c r="I12"/>
  <c r="G12"/>
  <c r="K11"/>
  <c r="I11"/>
  <c r="G11"/>
  <c r="K10"/>
  <c r="I10"/>
  <c r="G10"/>
  <c r="K9"/>
  <c r="I9"/>
  <c r="G9"/>
  <c r="K8"/>
  <c r="I8"/>
  <c r="G8"/>
  <c r="K7"/>
  <c r="I7"/>
  <c r="G7"/>
  <c r="K6"/>
  <c r="I6"/>
  <c r="G6"/>
  <c r="K5"/>
  <c r="I5"/>
  <c r="G5"/>
  <c r="K4"/>
  <c r="I4"/>
  <c r="G4"/>
  <c r="K3"/>
  <c r="J3"/>
  <c r="J4" s="1"/>
  <c r="J5" s="1"/>
  <c r="J6" s="1"/>
  <c r="J7" s="1"/>
  <c r="J8" s="1"/>
  <c r="J9" s="1"/>
  <c r="J10" s="1"/>
  <c r="J11" s="1"/>
  <c r="J12" s="1"/>
  <c r="J13" s="1"/>
  <c r="J14" s="1"/>
  <c r="J15" s="1"/>
  <c r="J16" s="1"/>
  <c r="J17" s="1"/>
  <c r="J18" s="1"/>
  <c r="J19" s="1"/>
  <c r="J20" s="1"/>
  <c r="J21" s="1"/>
  <c r="J22" s="1"/>
  <c r="J23" s="1"/>
  <c r="J24" s="1"/>
  <c r="J25" s="1"/>
  <c r="J26" s="1"/>
  <c r="J27" s="1"/>
  <c r="J28" s="1"/>
  <c r="J29" s="1"/>
  <c r="J30" s="1"/>
  <c r="J31" s="1"/>
  <c r="J32" s="1"/>
  <c r="J33" s="1"/>
  <c r="J34" s="1"/>
  <c r="J35" s="1"/>
  <c r="J36" s="1"/>
  <c r="J37" s="1"/>
  <c r="J38" s="1"/>
  <c r="J39" s="1"/>
  <c r="J40" s="1"/>
  <c r="J41" s="1"/>
  <c r="J42" s="1"/>
  <c r="J43" s="1"/>
  <c r="J44" s="1"/>
  <c r="J45" s="1"/>
  <c r="J46" s="1"/>
  <c r="J47" s="1"/>
  <c r="J48" s="1"/>
  <c r="J49" s="1"/>
  <c r="J50" s="1"/>
  <c r="J51" s="1"/>
  <c r="J52" s="1"/>
  <c r="J53" s="1"/>
  <c r="J54" s="1"/>
  <c r="J55" s="1"/>
  <c r="J56" s="1"/>
  <c r="J57" s="1"/>
  <c r="J58" s="1"/>
  <c r="J59" s="1"/>
  <c r="J60" s="1"/>
  <c r="J61" s="1"/>
  <c r="J62" s="1"/>
  <c r="J63" s="1"/>
  <c r="J64" s="1"/>
  <c r="J65" s="1"/>
  <c r="J66" s="1"/>
  <c r="J67" s="1"/>
  <c r="J68" s="1"/>
  <c r="J69" s="1"/>
  <c r="J70" s="1"/>
  <c r="J71" s="1"/>
  <c r="J72" s="1"/>
  <c r="J73" s="1"/>
  <c r="J74" s="1"/>
  <c r="J75" s="1"/>
  <c r="J76" s="1"/>
  <c r="J77" s="1"/>
  <c r="J78" s="1"/>
  <c r="J79" s="1"/>
  <c r="J80" s="1"/>
  <c r="J81" s="1"/>
  <c r="J82" s="1"/>
  <c r="J83" s="1"/>
  <c r="J84" s="1"/>
  <c r="J85" s="1"/>
  <c r="J86" s="1"/>
  <c r="J87" s="1"/>
  <c r="J88" s="1"/>
  <c r="J89" s="1"/>
  <c r="J90" s="1"/>
  <c r="J91" s="1"/>
  <c r="J92" s="1"/>
  <c r="J93" s="1"/>
  <c r="J94" s="1"/>
  <c r="J95" s="1"/>
  <c r="J96" s="1"/>
  <c r="J97" s="1"/>
  <c r="J98" s="1"/>
  <c r="J99" s="1"/>
  <c r="J100" s="1"/>
  <c r="J101" s="1"/>
  <c r="J102" s="1"/>
  <c r="J103" s="1"/>
  <c r="J104" s="1"/>
  <c r="J105" s="1"/>
  <c r="J106" s="1"/>
  <c r="J107" s="1"/>
  <c r="J108" s="1"/>
  <c r="J109" s="1"/>
  <c r="J110" s="1"/>
  <c r="J111" s="1"/>
  <c r="J112" s="1"/>
  <c r="J113" s="1"/>
  <c r="J114" s="1"/>
  <c r="J115" s="1"/>
  <c r="J116" s="1"/>
  <c r="J117" s="1"/>
  <c r="J118" s="1"/>
  <c r="J119" s="1"/>
  <c r="J120" s="1"/>
  <c r="J121" s="1"/>
  <c r="J122" s="1"/>
  <c r="J123" s="1"/>
  <c r="J124" s="1"/>
  <c r="J125" s="1"/>
  <c r="J126" s="1"/>
  <c r="J127" s="1"/>
  <c r="J128" s="1"/>
  <c r="J129" s="1"/>
  <c r="J130" s="1"/>
  <c r="J131" s="1"/>
  <c r="J132" s="1"/>
  <c r="J133" s="1"/>
  <c r="J134" s="1"/>
  <c r="J135" s="1"/>
  <c r="J136" s="1"/>
  <c r="J137" s="1"/>
  <c r="J138" s="1"/>
  <c r="J139" s="1"/>
  <c r="J140" s="1"/>
  <c r="J141" s="1"/>
  <c r="J142" s="1"/>
  <c r="J143" s="1"/>
  <c r="J144" s="1"/>
  <c r="J145" s="1"/>
  <c r="J146" s="1"/>
  <c r="J147" s="1"/>
  <c r="J148" s="1"/>
  <c r="J149" s="1"/>
  <c r="J150" s="1"/>
  <c r="J151" s="1"/>
  <c r="J152" s="1"/>
  <c r="J153" s="1"/>
  <c r="J154" s="1"/>
  <c r="J155" s="1"/>
  <c r="J156" s="1"/>
  <c r="J157" s="1"/>
  <c r="J158" s="1"/>
  <c r="J159" s="1"/>
  <c r="J160" s="1"/>
  <c r="J161" s="1"/>
  <c r="J162" s="1"/>
  <c r="J163" s="1"/>
  <c r="J164" s="1"/>
  <c r="J165" s="1"/>
  <c r="J166" s="1"/>
  <c r="J167" s="1"/>
  <c r="J168" s="1"/>
  <c r="J169" s="1"/>
  <c r="J170" s="1"/>
  <c r="J171" s="1"/>
  <c r="J172" s="1"/>
  <c r="J173" s="1"/>
  <c r="J174" s="1"/>
  <c r="J175" s="1"/>
  <c r="J176" s="1"/>
  <c r="J177" s="1"/>
  <c r="J178" s="1"/>
  <c r="J179" s="1"/>
  <c r="J180" s="1"/>
  <c r="J181" s="1"/>
  <c r="J182" s="1"/>
  <c r="J183" s="1"/>
  <c r="J184" s="1"/>
  <c r="J185" s="1"/>
  <c r="J186" s="1"/>
  <c r="J187" s="1"/>
  <c r="J188" s="1"/>
  <c r="J189" s="1"/>
  <c r="J190" s="1"/>
  <c r="J191" s="1"/>
  <c r="J192" s="1"/>
  <c r="J193" s="1"/>
  <c r="J194" s="1"/>
  <c r="J195" s="1"/>
  <c r="J196" s="1"/>
  <c r="J197" s="1"/>
  <c r="J198" s="1"/>
  <c r="J199" s="1"/>
  <c r="J200" s="1"/>
  <c r="J201" s="1"/>
  <c r="J202" s="1"/>
  <c r="J203" s="1"/>
  <c r="J204" s="1"/>
  <c r="J205" s="1"/>
  <c r="J206" s="1"/>
  <c r="J207" s="1"/>
  <c r="J208" s="1"/>
  <c r="J209" s="1"/>
  <c r="J210" s="1"/>
  <c r="J211" s="1"/>
  <c r="J212" s="1"/>
  <c r="J213" s="1"/>
  <c r="J214" s="1"/>
  <c r="J215" s="1"/>
  <c r="J216" s="1"/>
  <c r="J217" s="1"/>
  <c r="J218" s="1"/>
  <c r="J219" s="1"/>
  <c r="J220" s="1"/>
  <c r="J221" s="1"/>
  <c r="J222" s="1"/>
  <c r="J223" s="1"/>
  <c r="J224" s="1"/>
  <c r="J225" s="1"/>
  <c r="J226" s="1"/>
  <c r="J227" s="1"/>
  <c r="J228" s="1"/>
  <c r="J229" s="1"/>
  <c r="J230" s="1"/>
  <c r="J231" s="1"/>
  <c r="J232" s="1"/>
  <c r="J233" s="1"/>
  <c r="J234" s="1"/>
  <c r="J235" s="1"/>
  <c r="J236" s="1"/>
  <c r="J237" s="1"/>
  <c r="J238" s="1"/>
  <c r="J239" s="1"/>
  <c r="J240" s="1"/>
  <c r="J241" s="1"/>
  <c r="J242" s="1"/>
  <c r="J243" s="1"/>
  <c r="J244" s="1"/>
  <c r="J245" s="1"/>
  <c r="J246" s="1"/>
  <c r="J247" s="1"/>
  <c r="J248" s="1"/>
  <c r="J249" s="1"/>
  <c r="J250" s="1"/>
  <c r="J251" s="1"/>
  <c r="J252" s="1"/>
  <c r="J253" s="1"/>
  <c r="J254" s="1"/>
  <c r="J255" s="1"/>
  <c r="J256" s="1"/>
  <c r="J257" s="1"/>
  <c r="J258" s="1"/>
  <c r="J259" s="1"/>
  <c r="J260" s="1"/>
  <c r="J261" s="1"/>
  <c r="J262" s="1"/>
  <c r="J263" s="1"/>
  <c r="J264" s="1"/>
  <c r="J265" s="1"/>
  <c r="J266" s="1"/>
  <c r="J267" s="1"/>
  <c r="J268" s="1"/>
  <c r="J269" s="1"/>
  <c r="J270" s="1"/>
  <c r="J271" s="1"/>
  <c r="J272" s="1"/>
  <c r="J273" s="1"/>
  <c r="J274" s="1"/>
  <c r="J275" s="1"/>
  <c r="J276" s="1"/>
  <c r="J277" s="1"/>
  <c r="J278" s="1"/>
  <c r="J279" s="1"/>
  <c r="J280" s="1"/>
  <c r="J281" s="1"/>
  <c r="J282" s="1"/>
  <c r="J283" s="1"/>
  <c r="J284" s="1"/>
  <c r="J285" s="1"/>
  <c r="J286" s="1"/>
  <c r="J287" s="1"/>
  <c r="J288" s="1"/>
  <c r="J289" s="1"/>
  <c r="J290" s="1"/>
  <c r="J291" s="1"/>
  <c r="J292" s="1"/>
  <c r="J293" s="1"/>
  <c r="J294" s="1"/>
  <c r="J295" s="1"/>
  <c r="J296" s="1"/>
  <c r="J297" s="1"/>
  <c r="J298" s="1"/>
  <c r="J299" s="1"/>
  <c r="J300" s="1"/>
  <c r="J301" s="1"/>
  <c r="J302" s="1"/>
  <c r="J303" s="1"/>
  <c r="J304" s="1"/>
  <c r="J305" s="1"/>
  <c r="J306" s="1"/>
  <c r="J307" s="1"/>
  <c r="J308" s="1"/>
  <c r="J309" s="1"/>
  <c r="J310" s="1"/>
  <c r="J311" s="1"/>
  <c r="J312" s="1"/>
  <c r="J313" s="1"/>
  <c r="J314" s="1"/>
  <c r="J315" s="1"/>
  <c r="J316" s="1"/>
  <c r="J317" s="1"/>
  <c r="J318" s="1"/>
  <c r="J319" s="1"/>
  <c r="J320" s="1"/>
  <c r="J321" s="1"/>
  <c r="J322" s="1"/>
  <c r="J323" s="1"/>
  <c r="J324" s="1"/>
  <c r="J325" s="1"/>
  <c r="J326" s="1"/>
  <c r="J327" s="1"/>
  <c r="J328" s="1"/>
  <c r="J329" s="1"/>
  <c r="J330" s="1"/>
  <c r="J331" s="1"/>
  <c r="J332" s="1"/>
  <c r="J333" s="1"/>
  <c r="J334" s="1"/>
  <c r="J335" s="1"/>
  <c r="J336" s="1"/>
  <c r="J337" s="1"/>
  <c r="J338" s="1"/>
  <c r="J339" s="1"/>
  <c r="J340" s="1"/>
  <c r="J341" s="1"/>
  <c r="J342" s="1"/>
  <c r="J343" s="1"/>
  <c r="J344" s="1"/>
  <c r="J345" s="1"/>
  <c r="J346" s="1"/>
  <c r="J347" s="1"/>
  <c r="J348" s="1"/>
  <c r="J349" s="1"/>
  <c r="J350" s="1"/>
  <c r="J351" s="1"/>
  <c r="J352" s="1"/>
  <c r="J353" s="1"/>
  <c r="J354" s="1"/>
  <c r="J355" s="1"/>
  <c r="J356" s="1"/>
  <c r="J357" s="1"/>
  <c r="J358" s="1"/>
  <c r="J359" s="1"/>
  <c r="J360" s="1"/>
  <c r="J361" s="1"/>
  <c r="J362" s="1"/>
  <c r="J363" s="1"/>
  <c r="J364" s="1"/>
  <c r="J365" s="1"/>
  <c r="J366" s="1"/>
  <c r="J367" s="1"/>
  <c r="J368" s="1"/>
  <c r="J369" s="1"/>
  <c r="J370" s="1"/>
  <c r="J371" s="1"/>
  <c r="J372" s="1"/>
  <c r="J373" s="1"/>
  <c r="J374" s="1"/>
  <c r="J375" s="1"/>
  <c r="J376" s="1"/>
  <c r="J377" s="1"/>
  <c r="J378" s="1"/>
  <c r="J379" s="1"/>
  <c r="J380" s="1"/>
  <c r="J381" s="1"/>
  <c r="J382" s="1"/>
  <c r="J383" s="1"/>
  <c r="J384" s="1"/>
  <c r="J385" s="1"/>
  <c r="J386" s="1"/>
  <c r="J387" s="1"/>
  <c r="J388" s="1"/>
  <c r="J389" s="1"/>
  <c r="J390" s="1"/>
  <c r="J391" s="1"/>
  <c r="J392" s="1"/>
  <c r="J393" s="1"/>
  <c r="J394" s="1"/>
  <c r="J395" s="1"/>
  <c r="J396" s="1"/>
  <c r="J397" s="1"/>
  <c r="J398" s="1"/>
  <c r="J399" s="1"/>
  <c r="J400" s="1"/>
  <c r="J401" s="1"/>
  <c r="J402" s="1"/>
  <c r="J403" s="1"/>
  <c r="J404" s="1"/>
  <c r="J405" s="1"/>
  <c r="J406" s="1"/>
  <c r="I3"/>
  <c r="G3"/>
  <c r="E3"/>
  <c r="E4" s="1"/>
  <c r="E5" s="1"/>
  <c r="E6" s="1"/>
  <c r="E7" s="1"/>
  <c r="E8" s="1"/>
  <c r="E9" s="1"/>
  <c r="E10" s="1"/>
  <c r="E11" s="1"/>
  <c r="E12" s="1"/>
  <c r="E13" s="1"/>
  <c r="E14" s="1"/>
  <c r="E15" s="1"/>
  <c r="E16" s="1"/>
  <c r="E17" s="1"/>
  <c r="E18" s="1"/>
  <c r="E19" s="1"/>
  <c r="E20" s="1"/>
  <c r="E21" s="1"/>
  <c r="E22" s="1"/>
  <c r="E23" s="1"/>
  <c r="E24" s="1"/>
  <c r="E25" s="1"/>
  <c r="E26" s="1"/>
  <c r="E27" s="1"/>
  <c r="E28" s="1"/>
  <c r="E29" s="1"/>
  <c r="E30" s="1"/>
  <c r="E31" s="1"/>
  <c r="E32" s="1"/>
  <c r="E33" s="1"/>
  <c r="E34" s="1"/>
  <c r="E35" s="1"/>
  <c r="E36" s="1"/>
  <c r="E37" s="1"/>
  <c r="E38" s="1"/>
  <c r="E39" s="1"/>
  <c r="E40" s="1"/>
  <c r="E41" s="1"/>
  <c r="E42" s="1"/>
  <c r="E43" s="1"/>
  <c r="E44" s="1"/>
  <c r="E45" s="1"/>
  <c r="E46" s="1"/>
  <c r="E47" s="1"/>
  <c r="E48" s="1"/>
  <c r="E49" s="1"/>
  <c r="E50" s="1"/>
  <c r="E51" s="1"/>
  <c r="E52" s="1"/>
  <c r="E53" s="1"/>
  <c r="E54" s="1"/>
  <c r="E55" s="1"/>
  <c r="E56" s="1"/>
  <c r="E57" s="1"/>
  <c r="E58" s="1"/>
  <c r="E59" s="1"/>
  <c r="E60" s="1"/>
  <c r="E61" s="1"/>
  <c r="E62" s="1"/>
  <c r="E63" s="1"/>
  <c r="E64" s="1"/>
  <c r="E65" s="1"/>
  <c r="E66" s="1"/>
  <c r="E67" s="1"/>
  <c r="E68" s="1"/>
  <c r="E69" s="1"/>
  <c r="E70" s="1"/>
  <c r="E71" s="1"/>
  <c r="E72" s="1"/>
  <c r="E73" s="1"/>
  <c r="E74" s="1"/>
  <c r="E75" s="1"/>
  <c r="E76" s="1"/>
  <c r="E77" s="1"/>
  <c r="E78" s="1"/>
  <c r="E79" s="1"/>
  <c r="E80" s="1"/>
  <c r="E81" s="1"/>
  <c r="E82" s="1"/>
  <c r="E83" s="1"/>
  <c r="E84" s="1"/>
  <c r="E85" s="1"/>
  <c r="E86" s="1"/>
  <c r="E87" s="1"/>
  <c r="E88" s="1"/>
  <c r="E89" s="1"/>
  <c r="E90" s="1"/>
  <c r="E91" s="1"/>
  <c r="E92" s="1"/>
  <c r="E93" s="1"/>
  <c r="E94" s="1"/>
  <c r="E95" s="1"/>
  <c r="E96" s="1"/>
  <c r="E97" s="1"/>
  <c r="E98" s="1"/>
  <c r="E99" s="1"/>
  <c r="E100" s="1"/>
  <c r="E101" s="1"/>
  <c r="E102" s="1"/>
  <c r="E103" s="1"/>
  <c r="E104" s="1"/>
  <c r="E105" s="1"/>
  <c r="E106" s="1"/>
  <c r="E107" s="1"/>
  <c r="E108" s="1"/>
  <c r="E109" s="1"/>
  <c r="E110" s="1"/>
  <c r="E111" s="1"/>
  <c r="E112" s="1"/>
  <c r="E113" s="1"/>
  <c r="E114" s="1"/>
  <c r="E115" s="1"/>
  <c r="E116" s="1"/>
  <c r="E117" s="1"/>
  <c r="E118" s="1"/>
  <c r="E119" s="1"/>
  <c r="E120" s="1"/>
  <c r="E121" s="1"/>
  <c r="E122" s="1"/>
  <c r="E123" s="1"/>
  <c r="E124" s="1"/>
  <c r="E125" s="1"/>
  <c r="E126" s="1"/>
  <c r="E127" s="1"/>
  <c r="E128" s="1"/>
  <c r="E129" s="1"/>
  <c r="E130" s="1"/>
  <c r="E131" s="1"/>
  <c r="E132" s="1"/>
  <c r="E133" s="1"/>
  <c r="E134" s="1"/>
  <c r="E135" s="1"/>
  <c r="E136" s="1"/>
  <c r="E137" s="1"/>
  <c r="E138" s="1"/>
  <c r="E139" s="1"/>
  <c r="E140" s="1"/>
  <c r="E141" s="1"/>
  <c r="E142" s="1"/>
  <c r="E143" s="1"/>
  <c r="E144" s="1"/>
  <c r="E145" s="1"/>
  <c r="E146" s="1"/>
  <c r="E147" s="1"/>
  <c r="E148" s="1"/>
  <c r="E149" s="1"/>
  <c r="E150" s="1"/>
  <c r="E151" s="1"/>
  <c r="E152" s="1"/>
  <c r="E153" s="1"/>
  <c r="E154" s="1"/>
  <c r="E155" s="1"/>
  <c r="E156" s="1"/>
  <c r="E157" s="1"/>
  <c r="E158" s="1"/>
  <c r="E159" s="1"/>
  <c r="E160" s="1"/>
  <c r="E161" s="1"/>
  <c r="E162" s="1"/>
  <c r="E163" s="1"/>
  <c r="E164" s="1"/>
  <c r="E165" s="1"/>
  <c r="E166" s="1"/>
  <c r="E167" s="1"/>
  <c r="E168" s="1"/>
  <c r="E169" s="1"/>
  <c r="E170" s="1"/>
  <c r="E171" s="1"/>
  <c r="E172" s="1"/>
  <c r="E173" s="1"/>
  <c r="E174" s="1"/>
  <c r="E175" s="1"/>
  <c r="E176" s="1"/>
  <c r="E177" s="1"/>
  <c r="E178" s="1"/>
  <c r="E179" s="1"/>
  <c r="E180" s="1"/>
  <c r="E181" s="1"/>
  <c r="E182" s="1"/>
  <c r="E183" s="1"/>
  <c r="E184" s="1"/>
  <c r="E185" s="1"/>
  <c r="E186" s="1"/>
  <c r="E187" s="1"/>
  <c r="E188" s="1"/>
  <c r="E189" s="1"/>
  <c r="E190" s="1"/>
  <c r="E191" s="1"/>
  <c r="E192" s="1"/>
  <c r="E193" s="1"/>
  <c r="E194" s="1"/>
  <c r="E195" s="1"/>
  <c r="E196" s="1"/>
  <c r="E197" s="1"/>
  <c r="E198" s="1"/>
  <c r="E199" s="1"/>
  <c r="E200" s="1"/>
  <c r="E201" s="1"/>
  <c r="E202" s="1"/>
  <c r="E203" s="1"/>
  <c r="E204" s="1"/>
  <c r="E205" s="1"/>
  <c r="E206" s="1"/>
  <c r="E207" s="1"/>
  <c r="E208" s="1"/>
  <c r="E209" s="1"/>
  <c r="E210" s="1"/>
  <c r="E211" s="1"/>
  <c r="E212" s="1"/>
  <c r="E213" s="1"/>
  <c r="E214" s="1"/>
  <c r="E215" s="1"/>
  <c r="E216" s="1"/>
  <c r="E217" s="1"/>
  <c r="E218" s="1"/>
  <c r="E219" s="1"/>
  <c r="E220" s="1"/>
  <c r="E221" s="1"/>
  <c r="E222" s="1"/>
  <c r="E223" s="1"/>
  <c r="E224" s="1"/>
  <c r="E225" s="1"/>
  <c r="E226" s="1"/>
  <c r="E227" s="1"/>
  <c r="E228" s="1"/>
  <c r="E229" s="1"/>
  <c r="E230" s="1"/>
  <c r="E231" s="1"/>
  <c r="E232" s="1"/>
  <c r="E233" s="1"/>
  <c r="E234" s="1"/>
  <c r="E235" s="1"/>
  <c r="E236" s="1"/>
  <c r="E237" s="1"/>
  <c r="E238" s="1"/>
  <c r="E239" s="1"/>
  <c r="E240" s="1"/>
  <c r="E241" s="1"/>
  <c r="E242" s="1"/>
  <c r="E243" s="1"/>
  <c r="E244" s="1"/>
  <c r="E245" s="1"/>
  <c r="E246" s="1"/>
  <c r="E247" s="1"/>
  <c r="E248" s="1"/>
  <c r="E249" s="1"/>
  <c r="E250" s="1"/>
  <c r="E251" s="1"/>
  <c r="E252" s="1"/>
  <c r="E253" s="1"/>
  <c r="E254" s="1"/>
  <c r="E255" s="1"/>
  <c r="E256" s="1"/>
  <c r="E257" s="1"/>
  <c r="E258" s="1"/>
  <c r="E259" s="1"/>
  <c r="E260" s="1"/>
  <c r="E261" s="1"/>
  <c r="E262" s="1"/>
  <c r="E263" s="1"/>
  <c r="E264" s="1"/>
  <c r="E265" s="1"/>
  <c r="E266" s="1"/>
  <c r="E267" s="1"/>
  <c r="E268" s="1"/>
  <c r="E269" s="1"/>
  <c r="E270" s="1"/>
  <c r="E271" s="1"/>
  <c r="E272" s="1"/>
  <c r="E273" s="1"/>
  <c r="E274" s="1"/>
  <c r="E275" s="1"/>
  <c r="E276" s="1"/>
  <c r="E277" s="1"/>
  <c r="E278" s="1"/>
  <c r="E279" s="1"/>
  <c r="E280" s="1"/>
  <c r="E281" s="1"/>
  <c r="E282" s="1"/>
  <c r="E283" s="1"/>
  <c r="E284" s="1"/>
  <c r="E285" s="1"/>
  <c r="E286" s="1"/>
  <c r="E287" s="1"/>
  <c r="E288" s="1"/>
  <c r="E289" s="1"/>
  <c r="E290" s="1"/>
  <c r="E291" s="1"/>
  <c r="E292" s="1"/>
  <c r="E293" s="1"/>
  <c r="E294" s="1"/>
  <c r="E295" s="1"/>
  <c r="E296" s="1"/>
  <c r="E297" s="1"/>
  <c r="E298" s="1"/>
  <c r="E299" s="1"/>
  <c r="E300" s="1"/>
  <c r="E301" s="1"/>
  <c r="E302" s="1"/>
  <c r="E303" s="1"/>
  <c r="E304" s="1"/>
  <c r="E305" s="1"/>
  <c r="E306" s="1"/>
  <c r="E307" s="1"/>
  <c r="E308" s="1"/>
  <c r="E309" s="1"/>
  <c r="E310" s="1"/>
  <c r="E311" s="1"/>
  <c r="E312" s="1"/>
  <c r="E313" s="1"/>
  <c r="E314" s="1"/>
  <c r="E315" s="1"/>
  <c r="E316" s="1"/>
  <c r="E317" s="1"/>
  <c r="E318" s="1"/>
  <c r="E319" s="1"/>
  <c r="E320" s="1"/>
  <c r="E321" s="1"/>
  <c r="E322" s="1"/>
  <c r="E323" s="1"/>
  <c r="E324" s="1"/>
  <c r="E325" s="1"/>
  <c r="E326" s="1"/>
  <c r="E327" s="1"/>
  <c r="E328" s="1"/>
  <c r="E329" s="1"/>
  <c r="E330" s="1"/>
  <c r="E331" s="1"/>
  <c r="E332" s="1"/>
  <c r="E333" s="1"/>
  <c r="E334" s="1"/>
  <c r="E335" s="1"/>
  <c r="E336" s="1"/>
  <c r="E337" s="1"/>
  <c r="E338" s="1"/>
  <c r="E339" s="1"/>
  <c r="E340" s="1"/>
  <c r="E341" s="1"/>
  <c r="E342" s="1"/>
  <c r="E343" s="1"/>
  <c r="E344" s="1"/>
  <c r="E345" s="1"/>
  <c r="E346" s="1"/>
  <c r="E347" s="1"/>
  <c r="E348" s="1"/>
  <c r="E349" s="1"/>
  <c r="E350" s="1"/>
  <c r="E351" s="1"/>
  <c r="E352" s="1"/>
  <c r="E353" s="1"/>
  <c r="E354" s="1"/>
  <c r="E355" s="1"/>
  <c r="E356" s="1"/>
  <c r="E357" s="1"/>
  <c r="E358" s="1"/>
  <c r="E359" s="1"/>
  <c r="E360" s="1"/>
  <c r="E361" s="1"/>
  <c r="E362" s="1"/>
  <c r="E363" s="1"/>
  <c r="E364" s="1"/>
  <c r="E365" s="1"/>
  <c r="E366" s="1"/>
  <c r="E367" s="1"/>
  <c r="E368" s="1"/>
  <c r="E369" s="1"/>
  <c r="E370" s="1"/>
  <c r="E371" s="1"/>
  <c r="E372" s="1"/>
  <c r="E373" s="1"/>
  <c r="E374" s="1"/>
  <c r="E375" s="1"/>
  <c r="E376" s="1"/>
  <c r="E377" s="1"/>
  <c r="E378" s="1"/>
  <c r="E379" s="1"/>
  <c r="E380" s="1"/>
  <c r="E381" s="1"/>
  <c r="E382" s="1"/>
  <c r="E383" s="1"/>
  <c r="E384" s="1"/>
  <c r="E385" s="1"/>
  <c r="E386" s="1"/>
  <c r="E387" s="1"/>
  <c r="E388" s="1"/>
  <c r="E389" s="1"/>
  <c r="E390" s="1"/>
  <c r="E391" s="1"/>
  <c r="E392" s="1"/>
  <c r="E393" s="1"/>
  <c r="E394" s="1"/>
  <c r="E395" s="1"/>
  <c r="E396" s="1"/>
  <c r="E397" s="1"/>
  <c r="E398" s="1"/>
  <c r="E399" s="1"/>
  <c r="E400" s="1"/>
  <c r="E401" s="1"/>
  <c r="E402" s="1"/>
  <c r="E403" s="1"/>
  <c r="E404" s="1"/>
  <c r="E405" s="1"/>
  <c r="E406" s="1"/>
  <c r="D3"/>
  <c r="D4" s="1"/>
  <c r="D5" s="1"/>
  <c r="D6" s="1"/>
  <c r="D7" s="1"/>
  <c r="D8" s="1"/>
  <c r="D9" s="1"/>
  <c r="D10" s="1"/>
  <c r="D11" s="1"/>
  <c r="D12" s="1"/>
  <c r="D13" s="1"/>
  <c r="D14" s="1"/>
  <c r="D15" s="1"/>
  <c r="D16" s="1"/>
  <c r="D17" s="1"/>
  <c r="D18" s="1"/>
  <c r="D19" s="1"/>
  <c r="D20" s="1"/>
  <c r="D21" s="1"/>
  <c r="D22" s="1"/>
  <c r="D23" s="1"/>
  <c r="D24" s="1"/>
  <c r="D25" s="1"/>
  <c r="D26" s="1"/>
  <c r="D27" s="1"/>
  <c r="D28" s="1"/>
  <c r="D29" s="1"/>
  <c r="D30" s="1"/>
  <c r="D31" s="1"/>
  <c r="D32" s="1"/>
  <c r="D33" s="1"/>
  <c r="D34" s="1"/>
  <c r="D35" s="1"/>
  <c r="D36" s="1"/>
  <c r="D37" s="1"/>
  <c r="D38" s="1"/>
  <c r="D39" s="1"/>
  <c r="D40" s="1"/>
  <c r="D41" s="1"/>
  <c r="D42" s="1"/>
  <c r="D43" s="1"/>
  <c r="D44" s="1"/>
  <c r="D45" s="1"/>
  <c r="D46" s="1"/>
  <c r="D47" s="1"/>
  <c r="D48" s="1"/>
  <c r="D49" s="1"/>
  <c r="D50" s="1"/>
  <c r="D51" s="1"/>
  <c r="D52" s="1"/>
  <c r="D53" s="1"/>
  <c r="D54" s="1"/>
  <c r="D55" s="1"/>
  <c r="D56" s="1"/>
  <c r="D57" s="1"/>
  <c r="D58" s="1"/>
  <c r="D59" s="1"/>
  <c r="D60" s="1"/>
  <c r="D61" s="1"/>
  <c r="D62" s="1"/>
  <c r="D63" s="1"/>
  <c r="D64" s="1"/>
  <c r="D65" s="1"/>
  <c r="D66" s="1"/>
  <c r="D67" s="1"/>
  <c r="D68" s="1"/>
  <c r="D69" s="1"/>
  <c r="D70" s="1"/>
  <c r="D71" s="1"/>
  <c r="D72" s="1"/>
  <c r="D73" s="1"/>
  <c r="D74" s="1"/>
  <c r="D75" s="1"/>
  <c r="D76" s="1"/>
  <c r="D77" s="1"/>
  <c r="D78" s="1"/>
  <c r="D79" s="1"/>
  <c r="D80" s="1"/>
  <c r="D81" s="1"/>
  <c r="D82" s="1"/>
  <c r="D83" s="1"/>
  <c r="D84" s="1"/>
  <c r="D85" s="1"/>
  <c r="D86" s="1"/>
  <c r="D87" s="1"/>
  <c r="D88" s="1"/>
  <c r="D89" s="1"/>
  <c r="D90" s="1"/>
  <c r="D91" s="1"/>
  <c r="D92" s="1"/>
  <c r="D93" s="1"/>
  <c r="D94" s="1"/>
  <c r="D95" s="1"/>
  <c r="D96" s="1"/>
  <c r="D97" s="1"/>
  <c r="D98" s="1"/>
  <c r="D99" s="1"/>
  <c r="D100" s="1"/>
  <c r="D101" s="1"/>
  <c r="D102" s="1"/>
  <c r="D103" s="1"/>
  <c r="D104" s="1"/>
  <c r="D105" s="1"/>
  <c r="D106" s="1"/>
  <c r="D107" s="1"/>
  <c r="D108" s="1"/>
  <c r="D109" s="1"/>
  <c r="D110" s="1"/>
  <c r="D111" s="1"/>
  <c r="D112" s="1"/>
  <c r="D113" s="1"/>
  <c r="D114" s="1"/>
  <c r="D115" s="1"/>
  <c r="D116" s="1"/>
  <c r="D117" s="1"/>
  <c r="D118" s="1"/>
  <c r="D119" s="1"/>
  <c r="D120" s="1"/>
  <c r="D121" s="1"/>
  <c r="D122" s="1"/>
  <c r="D123" s="1"/>
  <c r="D124" s="1"/>
  <c r="D125" s="1"/>
  <c r="D126" s="1"/>
  <c r="D127" s="1"/>
  <c r="D128" s="1"/>
  <c r="D129" s="1"/>
  <c r="D130" s="1"/>
  <c r="D131" s="1"/>
  <c r="D132" s="1"/>
  <c r="D133" s="1"/>
  <c r="D134" s="1"/>
  <c r="D135" s="1"/>
  <c r="D136" s="1"/>
  <c r="D137" s="1"/>
  <c r="D138" s="1"/>
  <c r="D139" s="1"/>
  <c r="D140" s="1"/>
  <c r="D141" s="1"/>
  <c r="D142" s="1"/>
  <c r="D143" s="1"/>
  <c r="D144" s="1"/>
  <c r="D145" s="1"/>
  <c r="D146" s="1"/>
  <c r="D147" s="1"/>
  <c r="D148" s="1"/>
  <c r="D149" s="1"/>
  <c r="D150" s="1"/>
  <c r="D151" s="1"/>
  <c r="D152" s="1"/>
  <c r="D153" s="1"/>
  <c r="D154" s="1"/>
  <c r="D155" s="1"/>
  <c r="D156" s="1"/>
  <c r="D157" s="1"/>
  <c r="D158" s="1"/>
  <c r="D159" s="1"/>
  <c r="D160" s="1"/>
  <c r="D161" s="1"/>
  <c r="D162" s="1"/>
  <c r="D163" s="1"/>
  <c r="D164" s="1"/>
  <c r="D165" s="1"/>
  <c r="D166" s="1"/>
  <c r="D167" s="1"/>
  <c r="D168" s="1"/>
  <c r="D169" s="1"/>
  <c r="D170" s="1"/>
  <c r="D171" s="1"/>
  <c r="D172" s="1"/>
  <c r="D173" s="1"/>
  <c r="D174" s="1"/>
  <c r="D175" s="1"/>
  <c r="D176" s="1"/>
  <c r="D177" s="1"/>
  <c r="D178" s="1"/>
  <c r="D179" s="1"/>
  <c r="D180" s="1"/>
  <c r="D181" s="1"/>
  <c r="D182" s="1"/>
  <c r="D183" s="1"/>
  <c r="D184" s="1"/>
  <c r="D185" s="1"/>
  <c r="D186" s="1"/>
  <c r="D187" s="1"/>
  <c r="D188" s="1"/>
  <c r="D189" s="1"/>
  <c r="D190" s="1"/>
  <c r="D191" s="1"/>
  <c r="D192" s="1"/>
  <c r="D193" s="1"/>
  <c r="D194" s="1"/>
  <c r="D195" s="1"/>
  <c r="D196" s="1"/>
  <c r="D197" s="1"/>
  <c r="D198" s="1"/>
  <c r="D199" s="1"/>
  <c r="D200" s="1"/>
  <c r="D201" s="1"/>
  <c r="D202" s="1"/>
  <c r="D203" s="1"/>
  <c r="D204" s="1"/>
  <c r="D205" s="1"/>
  <c r="D206" s="1"/>
  <c r="D207" s="1"/>
  <c r="D208" s="1"/>
  <c r="D209" s="1"/>
  <c r="D210" s="1"/>
  <c r="D211" s="1"/>
  <c r="D212" s="1"/>
  <c r="D213" s="1"/>
  <c r="D214" s="1"/>
  <c r="D215" s="1"/>
  <c r="D216" s="1"/>
  <c r="D217" s="1"/>
  <c r="D218" s="1"/>
  <c r="D219" s="1"/>
  <c r="D220" s="1"/>
  <c r="D221" s="1"/>
  <c r="D222" s="1"/>
  <c r="D223" s="1"/>
  <c r="D224" s="1"/>
  <c r="D225" s="1"/>
  <c r="D226" s="1"/>
  <c r="D227" s="1"/>
  <c r="D228" s="1"/>
  <c r="D229" s="1"/>
  <c r="D230" s="1"/>
  <c r="D231" s="1"/>
  <c r="D232" s="1"/>
  <c r="D233" s="1"/>
  <c r="D234" s="1"/>
  <c r="D235" s="1"/>
  <c r="D236" s="1"/>
  <c r="D237" s="1"/>
  <c r="D238" s="1"/>
  <c r="D239" s="1"/>
  <c r="D240" s="1"/>
  <c r="D241" s="1"/>
  <c r="D242" s="1"/>
  <c r="D243" s="1"/>
  <c r="D244" s="1"/>
  <c r="D245" s="1"/>
  <c r="D246" s="1"/>
  <c r="D247" s="1"/>
  <c r="D248" s="1"/>
  <c r="D249" s="1"/>
  <c r="D250" s="1"/>
  <c r="D251" s="1"/>
  <c r="D252" s="1"/>
  <c r="D253" s="1"/>
  <c r="D254" s="1"/>
  <c r="D255" s="1"/>
  <c r="D256" s="1"/>
  <c r="D257" s="1"/>
  <c r="D258" s="1"/>
  <c r="D259" s="1"/>
  <c r="D260" s="1"/>
  <c r="D261" s="1"/>
  <c r="D262" s="1"/>
  <c r="D263" s="1"/>
  <c r="D264" s="1"/>
  <c r="D265" s="1"/>
  <c r="D266" s="1"/>
  <c r="D267" s="1"/>
  <c r="D268" s="1"/>
  <c r="D269" s="1"/>
  <c r="D270" s="1"/>
  <c r="D271" s="1"/>
  <c r="D272" s="1"/>
  <c r="D273" s="1"/>
  <c r="D274" s="1"/>
  <c r="D275" s="1"/>
  <c r="D276" s="1"/>
  <c r="D277" s="1"/>
  <c r="D278" s="1"/>
  <c r="D279" s="1"/>
  <c r="D280" s="1"/>
  <c r="D281" s="1"/>
  <c r="D282" s="1"/>
  <c r="D283" s="1"/>
  <c r="D284" s="1"/>
  <c r="D285" s="1"/>
  <c r="D286" s="1"/>
  <c r="D287" s="1"/>
  <c r="D288" s="1"/>
  <c r="D289" s="1"/>
  <c r="D290" s="1"/>
  <c r="D291" s="1"/>
  <c r="D292" s="1"/>
  <c r="D293" s="1"/>
  <c r="D294" s="1"/>
  <c r="D295" s="1"/>
  <c r="D296" s="1"/>
  <c r="D297" s="1"/>
  <c r="D298" s="1"/>
  <c r="D299" s="1"/>
  <c r="D300" s="1"/>
  <c r="D301" s="1"/>
  <c r="D302" s="1"/>
  <c r="D303" s="1"/>
  <c r="D304" s="1"/>
  <c r="D305" s="1"/>
  <c r="D306" s="1"/>
  <c r="D307" s="1"/>
  <c r="D308" s="1"/>
  <c r="D309" s="1"/>
  <c r="D310" s="1"/>
  <c r="D311" s="1"/>
  <c r="D312" s="1"/>
  <c r="D313" s="1"/>
  <c r="D314" s="1"/>
  <c r="D315" s="1"/>
  <c r="D316" s="1"/>
  <c r="D317" s="1"/>
  <c r="D318" s="1"/>
  <c r="D319" s="1"/>
  <c r="D320" s="1"/>
  <c r="D321" s="1"/>
  <c r="D322" s="1"/>
  <c r="D323" s="1"/>
  <c r="D324" s="1"/>
  <c r="D325" s="1"/>
  <c r="D326" s="1"/>
  <c r="D327" s="1"/>
  <c r="D328" s="1"/>
  <c r="D329" s="1"/>
  <c r="D330" s="1"/>
  <c r="D331" s="1"/>
  <c r="D332" s="1"/>
  <c r="D333" s="1"/>
  <c r="D334" s="1"/>
  <c r="D335" s="1"/>
  <c r="D336" s="1"/>
  <c r="D337" s="1"/>
  <c r="D338" s="1"/>
  <c r="D339" s="1"/>
  <c r="D340" s="1"/>
  <c r="D341" s="1"/>
  <c r="D342" s="1"/>
  <c r="D343" s="1"/>
  <c r="D344" s="1"/>
  <c r="D345" s="1"/>
  <c r="D346" s="1"/>
  <c r="D347" s="1"/>
  <c r="D348" s="1"/>
  <c r="D349" s="1"/>
  <c r="D350" s="1"/>
  <c r="D351" s="1"/>
  <c r="D352" s="1"/>
  <c r="D353" s="1"/>
  <c r="D354" s="1"/>
  <c r="D355" s="1"/>
  <c r="D356" s="1"/>
  <c r="D357" s="1"/>
  <c r="D358" s="1"/>
  <c r="D359" s="1"/>
  <c r="D360" s="1"/>
  <c r="D361" s="1"/>
  <c r="D362" s="1"/>
  <c r="D363" s="1"/>
  <c r="D364" s="1"/>
  <c r="D365" s="1"/>
  <c r="D366" s="1"/>
  <c r="D367" s="1"/>
  <c r="D368" s="1"/>
  <c r="D369" s="1"/>
  <c r="D370" s="1"/>
  <c r="D371" s="1"/>
  <c r="D372" s="1"/>
  <c r="D373" s="1"/>
  <c r="D374" s="1"/>
  <c r="D375" s="1"/>
  <c r="D376" s="1"/>
  <c r="D377" s="1"/>
  <c r="D378" s="1"/>
  <c r="D379" s="1"/>
  <c r="D380" s="1"/>
  <c r="D381" s="1"/>
  <c r="D382" s="1"/>
  <c r="D383" s="1"/>
  <c r="D384" s="1"/>
  <c r="D385" s="1"/>
  <c r="D386" s="1"/>
  <c r="D387" s="1"/>
  <c r="D388" s="1"/>
  <c r="D389" s="1"/>
  <c r="D390" s="1"/>
  <c r="D391" s="1"/>
  <c r="D392" s="1"/>
  <c r="D393" s="1"/>
  <c r="D394" s="1"/>
  <c r="D395" s="1"/>
  <c r="D396" s="1"/>
  <c r="D397" s="1"/>
  <c r="D398" s="1"/>
  <c r="D399" s="1"/>
  <c r="D400" s="1"/>
  <c r="D401" s="1"/>
  <c r="D402" s="1"/>
  <c r="D403" s="1"/>
  <c r="D404" s="1"/>
  <c r="D405" s="1"/>
  <c r="D406" s="1"/>
  <c r="C3"/>
  <c r="C4" s="1"/>
  <c r="A4"/>
  <c r="Q38" i="26" l="1"/>
  <c r="Y39"/>
  <c r="AB37"/>
  <c r="AE37" s="1"/>
  <c r="T37"/>
  <c r="W37" s="1"/>
  <c r="L37"/>
  <c r="O37" s="1"/>
  <c r="D37"/>
  <c r="G37" s="1"/>
  <c r="A38"/>
  <c r="I38"/>
  <c r="AK22" i="18"/>
  <c r="X7"/>
  <c r="N3" i="17"/>
  <c r="N6"/>
  <c r="N10"/>
  <c r="N7"/>
  <c r="N9"/>
  <c r="C5"/>
  <c r="M4"/>
  <c r="N4"/>
  <c r="A5"/>
  <c r="B4"/>
  <c r="L4" s="1"/>
  <c r="N5"/>
  <c r="L3"/>
  <c r="M3"/>
  <c r="AD16" i="1"/>
  <c r="AD15"/>
  <c r="U16"/>
  <c r="U15"/>
  <c r="U14"/>
  <c r="AB38" i="26" l="1"/>
  <c r="AE38" s="1"/>
  <c r="T38"/>
  <c r="W38" s="1"/>
  <c r="L38"/>
  <c r="O38" s="1"/>
  <c r="D38"/>
  <c r="G38" s="1"/>
  <c r="A39"/>
  <c r="Q39"/>
  <c r="I39"/>
  <c r="Y40"/>
  <c r="AK23" i="18"/>
  <c r="X8"/>
  <c r="O3" i="17"/>
  <c r="P3" s="1"/>
  <c r="Y2" i="18" s="1"/>
  <c r="O4" i="17"/>
  <c r="P4" s="1"/>
  <c r="Y3" i="18" s="1"/>
  <c r="N11" i="17"/>
  <c r="N8"/>
  <c r="A6"/>
  <c r="B5"/>
  <c r="L5" s="1"/>
  <c r="C6"/>
  <c r="M5"/>
  <c r="V16" i="1"/>
  <c r="V15"/>
  <c r="B122" i="10"/>
  <c r="G122"/>
  <c r="J123"/>
  <c r="B124"/>
  <c r="B125"/>
  <c r="B126"/>
  <c r="B127"/>
  <c r="B128"/>
  <c r="B129"/>
  <c r="B130"/>
  <c r="B131"/>
  <c r="B132"/>
  <c r="B133"/>
  <c r="B134"/>
  <c r="G15" i="11"/>
  <c r="I15"/>
  <c r="M15" s="1"/>
  <c r="I3"/>
  <c r="G5"/>
  <c r="K15"/>
  <c r="K4"/>
  <c r="W23" i="1"/>
  <c r="I40" i="26" l="1"/>
  <c r="AB39"/>
  <c r="AE39" s="1"/>
  <c r="T39"/>
  <c r="W39" s="1"/>
  <c r="L39"/>
  <c r="O39" s="1"/>
  <c r="D39"/>
  <c r="G39" s="1"/>
  <c r="A40"/>
  <c r="Y41"/>
  <c r="Q40"/>
  <c r="C131" i="10"/>
  <c r="D131" s="1"/>
  <c r="C127"/>
  <c r="D127" s="1"/>
  <c r="C132"/>
  <c r="D132" s="1"/>
  <c r="C128"/>
  <c r="D128" s="1"/>
  <c r="C124"/>
  <c r="D124" s="1"/>
  <c r="C133"/>
  <c r="D133" s="1"/>
  <c r="C129"/>
  <c r="D129" s="1"/>
  <c r="C134"/>
  <c r="D134" s="1"/>
  <c r="C130"/>
  <c r="D130" s="1"/>
  <c r="C126"/>
  <c r="D126" s="1"/>
  <c r="C125"/>
  <c r="D125" s="1"/>
  <c r="AK24" i="18"/>
  <c r="X9"/>
  <c r="M6" i="17"/>
  <c r="C7"/>
  <c r="B6"/>
  <c r="L6" s="1"/>
  <c r="A7"/>
  <c r="N12"/>
  <c r="O5"/>
  <c r="P5" s="1"/>
  <c r="N15" i="11"/>
  <c r="O15"/>
  <c r="Y42" i="26" l="1"/>
  <c r="I41"/>
  <c r="Q41"/>
  <c r="AB40"/>
  <c r="AE40" s="1"/>
  <c r="T40"/>
  <c r="W40" s="1"/>
  <c r="L40"/>
  <c r="O40" s="1"/>
  <c r="D40"/>
  <c r="G40" s="1"/>
  <c r="A41"/>
  <c r="AK25" i="18"/>
  <c r="X10"/>
  <c r="B7" i="17"/>
  <c r="L7" s="1"/>
  <c r="A8"/>
  <c r="C8"/>
  <c r="M7"/>
  <c r="Y4" i="18"/>
  <c r="AA4" s="1"/>
  <c r="AL512" s="1"/>
  <c r="O6" i="17"/>
  <c r="P6" s="1"/>
  <c r="Y5" i="18" s="1"/>
  <c r="N13" i="17"/>
  <c r="P15" i="11"/>
  <c r="Q42" i="26" l="1"/>
  <c r="Y43"/>
  <c r="AB41"/>
  <c r="AE41" s="1"/>
  <c r="T41"/>
  <c r="W41" s="1"/>
  <c r="L41"/>
  <c r="O41" s="1"/>
  <c r="D41"/>
  <c r="G41" s="1"/>
  <c r="A42"/>
  <c r="I42"/>
  <c r="AK26" i="18"/>
  <c r="X11"/>
  <c r="O7" i="17"/>
  <c r="P7" s="1"/>
  <c r="Y6" i="18" s="1"/>
  <c r="B8" i="17"/>
  <c r="L8" s="1"/>
  <c r="A9"/>
  <c r="C9"/>
  <c r="M8"/>
  <c r="N14"/>
  <c r="I37" i="1"/>
  <c r="AB42" i="26" l="1"/>
  <c r="AE42" s="1"/>
  <c r="T42"/>
  <c r="W42" s="1"/>
  <c r="L42"/>
  <c r="O42" s="1"/>
  <c r="D42"/>
  <c r="G42" s="1"/>
  <c r="A43"/>
  <c r="Q43"/>
  <c r="I43"/>
  <c r="Y44"/>
  <c r="AK27" i="18"/>
  <c r="X12"/>
  <c r="B9" i="17"/>
  <c r="L9" s="1"/>
  <c r="A10"/>
  <c r="C10"/>
  <c r="M9"/>
  <c r="O8"/>
  <c r="P8" s="1"/>
  <c r="Y7" i="18" s="1"/>
  <c r="Z7" s="1"/>
  <c r="AL414" s="1"/>
  <c r="AC2"/>
  <c r="AL712" s="1"/>
  <c r="AA2"/>
  <c r="AL510" s="1"/>
  <c r="AB2"/>
  <c r="AL611" s="1"/>
  <c r="Z2"/>
  <c r="AL409" s="1"/>
  <c r="AC4"/>
  <c r="AL714" s="1"/>
  <c r="AB4"/>
  <c r="AL613" s="1"/>
  <c r="Z4"/>
  <c r="AL411" s="1"/>
  <c r="AC6"/>
  <c r="AL716" s="1"/>
  <c r="AA6"/>
  <c r="AL514" s="1"/>
  <c r="AB6"/>
  <c r="AL615" s="1"/>
  <c r="Z6"/>
  <c r="AL413" s="1"/>
  <c r="AC3"/>
  <c r="AL713" s="1"/>
  <c r="AA3"/>
  <c r="AL511" s="1"/>
  <c r="AB3"/>
  <c r="AL612" s="1"/>
  <c r="Z3"/>
  <c r="AL410" s="1"/>
  <c r="AC5"/>
  <c r="AL715" s="1"/>
  <c r="AA5"/>
  <c r="AL513" s="1"/>
  <c r="AB5"/>
  <c r="AL614" s="1"/>
  <c r="Z5"/>
  <c r="AL412" s="1"/>
  <c r="N15" i="17"/>
  <c r="H54" i="1"/>
  <c r="I6"/>
  <c r="I5"/>
  <c r="N57" s="1"/>
  <c r="E103" s="1"/>
  <c r="I4"/>
  <c r="D22"/>
  <c r="J3" i="25" s="1"/>
  <c r="AB43" i="26" l="1"/>
  <c r="AE43" s="1"/>
  <c r="T43"/>
  <c r="W43" s="1"/>
  <c r="L43"/>
  <c r="O43" s="1"/>
  <c r="D43"/>
  <c r="G43" s="1"/>
  <c r="A44"/>
  <c r="I44"/>
  <c r="Q44"/>
  <c r="Y45"/>
  <c r="H62" i="25"/>
  <c r="I62"/>
  <c r="O53"/>
  <c r="O62"/>
  <c r="I55"/>
  <c r="H60"/>
  <c r="I57"/>
  <c r="I59"/>
  <c r="O54"/>
  <c r="H58"/>
  <c r="I56"/>
  <c r="P54"/>
  <c r="H55"/>
  <c r="P62"/>
  <c r="P53"/>
  <c r="H56"/>
  <c r="I52"/>
  <c r="H59"/>
  <c r="H53"/>
  <c r="O59"/>
  <c r="O55"/>
  <c r="O61"/>
  <c r="H57"/>
  <c r="P59"/>
  <c r="P57"/>
  <c r="P55"/>
  <c r="O58"/>
  <c r="I60"/>
  <c r="P61"/>
  <c r="O60"/>
  <c r="I61"/>
  <c r="P58"/>
  <c r="O52"/>
  <c r="O56"/>
  <c r="H61"/>
  <c r="J61" s="1"/>
  <c r="J15" s="1"/>
  <c r="P52"/>
  <c r="I58"/>
  <c r="P60"/>
  <c r="I53"/>
  <c r="H52"/>
  <c r="O57"/>
  <c r="H54"/>
  <c r="P56"/>
  <c r="I54"/>
  <c r="AB7" i="18"/>
  <c r="AL616" s="1"/>
  <c r="AP2"/>
  <c r="AK28"/>
  <c r="BK305"/>
  <c r="BK103"/>
  <c r="BK11"/>
  <c r="BK9"/>
  <c r="BK7"/>
  <c r="BK5"/>
  <c r="BK3"/>
  <c r="BD2"/>
  <c r="BK10"/>
  <c r="BK6"/>
  <c r="BK2"/>
  <c r="BK204"/>
  <c r="BK12"/>
  <c r="BK8"/>
  <c r="BK4"/>
  <c r="BD305"/>
  <c r="BD103"/>
  <c r="BD11"/>
  <c r="BD9"/>
  <c r="BD7"/>
  <c r="BD5"/>
  <c r="BD3"/>
  <c r="BD204"/>
  <c r="BD12"/>
  <c r="BD10"/>
  <c r="BD8"/>
  <c r="BD6"/>
  <c r="BD4"/>
  <c r="AW2"/>
  <c r="AW305"/>
  <c r="AW103"/>
  <c r="AW11"/>
  <c r="AW9"/>
  <c r="AW7"/>
  <c r="AW5"/>
  <c r="AW3"/>
  <c r="AP305"/>
  <c r="AP103"/>
  <c r="AW204"/>
  <c r="AW12"/>
  <c r="AW10"/>
  <c r="AW8"/>
  <c r="AW6"/>
  <c r="AW4"/>
  <c r="AP204"/>
  <c r="AP3"/>
  <c r="AP4"/>
  <c r="AP5"/>
  <c r="AP6"/>
  <c r="AP7"/>
  <c r="AP8"/>
  <c r="AP9"/>
  <c r="AP10"/>
  <c r="AP11"/>
  <c r="BI404"/>
  <c r="BI402"/>
  <c r="BI400"/>
  <c r="BI398"/>
  <c r="BI396"/>
  <c r="BI394"/>
  <c r="BI392"/>
  <c r="BI390"/>
  <c r="BI403"/>
  <c r="BI399"/>
  <c r="BI395"/>
  <c r="BI391"/>
  <c r="BI388"/>
  <c r="BI386"/>
  <c r="BI384"/>
  <c r="BI382"/>
  <c r="BI380"/>
  <c r="BI378"/>
  <c r="BI376"/>
  <c r="BI374"/>
  <c r="BI372"/>
  <c r="BI370"/>
  <c r="BI368"/>
  <c r="BI366"/>
  <c r="BI364"/>
  <c r="BI362"/>
  <c r="BI360"/>
  <c r="BI358"/>
  <c r="BI356"/>
  <c r="BI354"/>
  <c r="BI352"/>
  <c r="BI350"/>
  <c r="BI348"/>
  <c r="BI346"/>
  <c r="BI344"/>
  <c r="BI342"/>
  <c r="BI340"/>
  <c r="BI338"/>
  <c r="BI336"/>
  <c r="BI334"/>
  <c r="BI332"/>
  <c r="BI330"/>
  <c r="BI328"/>
  <c r="BI326"/>
  <c r="BI324"/>
  <c r="BI322"/>
  <c r="BI320"/>
  <c r="BI318"/>
  <c r="BI316"/>
  <c r="BI314"/>
  <c r="BI312"/>
  <c r="BI310"/>
  <c r="BI308"/>
  <c r="BI306"/>
  <c r="BI304"/>
  <c r="BI302"/>
  <c r="BI300"/>
  <c r="BI298"/>
  <c r="BI296"/>
  <c r="BI294"/>
  <c r="BI292"/>
  <c r="BI290"/>
  <c r="BI288"/>
  <c r="BI286"/>
  <c r="BI284"/>
  <c r="BI282"/>
  <c r="BI280"/>
  <c r="BI278"/>
  <c r="BI276"/>
  <c r="BI274"/>
  <c r="BI272"/>
  <c r="BI270"/>
  <c r="BI268"/>
  <c r="BI266"/>
  <c r="BI264"/>
  <c r="BI262"/>
  <c r="BI260"/>
  <c r="BI258"/>
  <c r="BI256"/>
  <c r="BI254"/>
  <c r="BI252"/>
  <c r="BI250"/>
  <c r="BI248"/>
  <c r="BI246"/>
  <c r="BI244"/>
  <c r="BI242"/>
  <c r="BI240"/>
  <c r="BI238"/>
  <c r="BI236"/>
  <c r="BI234"/>
  <c r="BI232"/>
  <c r="BI230"/>
  <c r="BI228"/>
  <c r="BI226"/>
  <c r="BI224"/>
  <c r="BI222"/>
  <c r="BI220"/>
  <c r="BI218"/>
  <c r="BI216"/>
  <c r="BI214"/>
  <c r="BI212"/>
  <c r="BI210"/>
  <c r="BI208"/>
  <c r="BI206"/>
  <c r="BI204"/>
  <c r="BI202"/>
  <c r="BI200"/>
  <c r="BI198"/>
  <c r="BI196"/>
  <c r="BI194"/>
  <c r="BI192"/>
  <c r="BI190"/>
  <c r="BI188"/>
  <c r="BI186"/>
  <c r="BI184"/>
  <c r="BI182"/>
  <c r="BI180"/>
  <c r="BI178"/>
  <c r="BI176"/>
  <c r="BI174"/>
  <c r="BI172"/>
  <c r="BI170"/>
  <c r="BI168"/>
  <c r="BI166"/>
  <c r="BI164"/>
  <c r="BI162"/>
  <c r="BI160"/>
  <c r="BI158"/>
  <c r="BI156"/>
  <c r="BI154"/>
  <c r="BI152"/>
  <c r="BI150"/>
  <c r="BI148"/>
  <c r="BI146"/>
  <c r="BI144"/>
  <c r="BI142"/>
  <c r="BI140"/>
  <c r="BI138"/>
  <c r="BI136"/>
  <c r="BI134"/>
  <c r="BI132"/>
  <c r="BI130"/>
  <c r="BI128"/>
  <c r="BI126"/>
  <c r="BI124"/>
  <c r="BI122"/>
  <c r="BI120"/>
  <c r="BI118"/>
  <c r="BI116"/>
  <c r="BI114"/>
  <c r="BI112"/>
  <c r="BI110"/>
  <c r="BI108"/>
  <c r="BI106"/>
  <c r="BI104"/>
  <c r="BI102"/>
  <c r="BI100"/>
  <c r="BI98"/>
  <c r="BI96"/>
  <c r="BI94"/>
  <c r="BI92"/>
  <c r="BI90"/>
  <c r="BI88"/>
  <c r="BI86"/>
  <c r="BI84"/>
  <c r="BI82"/>
  <c r="BI80"/>
  <c r="BI78"/>
  <c r="BI76"/>
  <c r="BI74"/>
  <c r="BI72"/>
  <c r="BI70"/>
  <c r="BI68"/>
  <c r="BI66"/>
  <c r="BI64"/>
  <c r="BI62"/>
  <c r="BI60"/>
  <c r="BI58"/>
  <c r="BI56"/>
  <c r="BI54"/>
  <c r="BI52"/>
  <c r="BI50"/>
  <c r="BI48"/>
  <c r="BI46"/>
  <c r="BI44"/>
  <c r="BI42"/>
  <c r="BI40"/>
  <c r="BI38"/>
  <c r="BI36"/>
  <c r="BI34"/>
  <c r="BI32"/>
  <c r="BI30"/>
  <c r="BI28"/>
  <c r="BI26"/>
  <c r="BI24"/>
  <c r="BI22"/>
  <c r="BI20"/>
  <c r="BI18"/>
  <c r="BI16"/>
  <c r="BI14"/>
  <c r="BI12"/>
  <c r="BI10"/>
  <c r="BI8"/>
  <c r="BI6"/>
  <c r="BI4"/>
  <c r="BI2"/>
  <c r="BI405"/>
  <c r="BI401"/>
  <c r="BI397"/>
  <c r="BI393"/>
  <c r="BI389"/>
  <c r="BI387"/>
  <c r="BI385"/>
  <c r="BI383"/>
  <c r="BI381"/>
  <c r="BI379"/>
  <c r="BI377"/>
  <c r="BI375"/>
  <c r="BI373"/>
  <c r="BI371"/>
  <c r="BI369"/>
  <c r="BI367"/>
  <c r="BI365"/>
  <c r="BI363"/>
  <c r="BI361"/>
  <c r="BI359"/>
  <c r="BI357"/>
  <c r="BI355"/>
  <c r="BI353"/>
  <c r="BI351"/>
  <c r="BI349"/>
  <c r="BI347"/>
  <c r="BI345"/>
  <c r="BI343"/>
  <c r="BI341"/>
  <c r="BI339"/>
  <c r="BI337"/>
  <c r="BI335"/>
  <c r="BI333"/>
  <c r="BI331"/>
  <c r="BI329"/>
  <c r="BI327"/>
  <c r="BI325"/>
  <c r="BI323"/>
  <c r="BI321"/>
  <c r="BI319"/>
  <c r="BI317"/>
  <c r="BI315"/>
  <c r="BI313"/>
  <c r="BI311"/>
  <c r="BI309"/>
  <c r="BI307"/>
  <c r="BI305"/>
  <c r="BI303"/>
  <c r="BI301"/>
  <c r="BI299"/>
  <c r="BI297"/>
  <c r="BI295"/>
  <c r="BI293"/>
  <c r="BI291"/>
  <c r="BI289"/>
  <c r="BI287"/>
  <c r="BI285"/>
  <c r="BI283"/>
  <c r="BI281"/>
  <c r="BI279"/>
  <c r="BI277"/>
  <c r="BI275"/>
  <c r="BI273"/>
  <c r="BI271"/>
  <c r="BI269"/>
  <c r="BI267"/>
  <c r="BI265"/>
  <c r="BI263"/>
  <c r="BI261"/>
  <c r="BI259"/>
  <c r="BI257"/>
  <c r="BI255"/>
  <c r="BI253"/>
  <c r="BI251"/>
  <c r="BI249"/>
  <c r="BI247"/>
  <c r="BI245"/>
  <c r="BI243"/>
  <c r="BI241"/>
  <c r="BI239"/>
  <c r="BI237"/>
  <c r="BI235"/>
  <c r="BI233"/>
  <c r="BI231"/>
  <c r="BI229"/>
  <c r="BI227"/>
  <c r="BI225"/>
  <c r="BI223"/>
  <c r="BI221"/>
  <c r="BI219"/>
  <c r="BI217"/>
  <c r="BI215"/>
  <c r="BI213"/>
  <c r="BI211"/>
  <c r="BI209"/>
  <c r="BI207"/>
  <c r="BI205"/>
  <c r="BI203"/>
  <c r="BI201"/>
  <c r="BI199"/>
  <c r="BI197"/>
  <c r="BI195"/>
  <c r="BI193"/>
  <c r="BI191"/>
  <c r="BI189"/>
  <c r="BI187"/>
  <c r="BI185"/>
  <c r="BI183"/>
  <c r="BI181"/>
  <c r="BI179"/>
  <c r="BI177"/>
  <c r="BI175"/>
  <c r="BI173"/>
  <c r="BI171"/>
  <c r="BI169"/>
  <c r="BI167"/>
  <c r="BI165"/>
  <c r="BI163"/>
  <c r="BI161"/>
  <c r="BI159"/>
  <c r="BI157"/>
  <c r="BI155"/>
  <c r="BI153"/>
  <c r="BI151"/>
  <c r="BI149"/>
  <c r="BI147"/>
  <c r="BI145"/>
  <c r="BI143"/>
  <c r="BI141"/>
  <c r="BI139"/>
  <c r="BI137"/>
  <c r="BI135"/>
  <c r="BI133"/>
  <c r="BI131"/>
  <c r="BI129"/>
  <c r="BI127"/>
  <c r="BI125"/>
  <c r="BI123"/>
  <c r="BI121"/>
  <c r="BI119"/>
  <c r="BI117"/>
  <c r="BI115"/>
  <c r="BI113"/>
  <c r="BI111"/>
  <c r="BI109"/>
  <c r="BI107"/>
  <c r="BI105"/>
  <c r="BI103"/>
  <c r="BI101"/>
  <c r="BI99"/>
  <c r="BI97"/>
  <c r="BI95"/>
  <c r="BI93"/>
  <c r="BI91"/>
  <c r="BI89"/>
  <c r="BI87"/>
  <c r="BI85"/>
  <c r="BI83"/>
  <c r="BI81"/>
  <c r="BI79"/>
  <c r="BI77"/>
  <c r="BI75"/>
  <c r="BI73"/>
  <c r="BI71"/>
  <c r="BI69"/>
  <c r="BI67"/>
  <c r="BI65"/>
  <c r="BI63"/>
  <c r="BI61"/>
  <c r="BI59"/>
  <c r="BI57"/>
  <c r="BI55"/>
  <c r="BI53"/>
  <c r="BI51"/>
  <c r="BI49"/>
  <c r="BI47"/>
  <c r="BI45"/>
  <c r="BI43"/>
  <c r="BI41"/>
  <c r="BI39"/>
  <c r="BI37"/>
  <c r="BI35"/>
  <c r="BI33"/>
  <c r="BI31"/>
  <c r="BI29"/>
  <c r="BI27"/>
  <c r="BI25"/>
  <c r="BI23"/>
  <c r="BI21"/>
  <c r="BI19"/>
  <c r="BI17"/>
  <c r="BI15"/>
  <c r="BI13"/>
  <c r="BI11"/>
  <c r="BI9"/>
  <c r="BI7"/>
  <c r="BI5"/>
  <c r="BI3"/>
  <c r="BB405"/>
  <c r="BB403"/>
  <c r="BB401"/>
  <c r="BB399"/>
  <c r="BB397"/>
  <c r="BB395"/>
  <c r="BB393"/>
  <c r="BB391"/>
  <c r="BB389"/>
  <c r="BB387"/>
  <c r="BB385"/>
  <c r="BB383"/>
  <c r="BB381"/>
  <c r="BB379"/>
  <c r="BB377"/>
  <c r="BB375"/>
  <c r="BB373"/>
  <c r="BB371"/>
  <c r="BB369"/>
  <c r="BB367"/>
  <c r="BB365"/>
  <c r="BB363"/>
  <c r="BB361"/>
  <c r="BB359"/>
  <c r="BB357"/>
  <c r="BB355"/>
  <c r="BB353"/>
  <c r="BB351"/>
  <c r="BB349"/>
  <c r="BB347"/>
  <c r="BB345"/>
  <c r="BB343"/>
  <c r="BB341"/>
  <c r="BB339"/>
  <c r="BB337"/>
  <c r="BB335"/>
  <c r="BB333"/>
  <c r="BB331"/>
  <c r="BB329"/>
  <c r="BB327"/>
  <c r="BB325"/>
  <c r="BB323"/>
  <c r="BB321"/>
  <c r="BB319"/>
  <c r="BB317"/>
  <c r="BB315"/>
  <c r="BB313"/>
  <c r="BB311"/>
  <c r="BB309"/>
  <c r="BB307"/>
  <c r="BB305"/>
  <c r="BB303"/>
  <c r="BB301"/>
  <c r="BB299"/>
  <c r="BB297"/>
  <c r="BB295"/>
  <c r="BB293"/>
  <c r="BB291"/>
  <c r="BB289"/>
  <c r="BB287"/>
  <c r="BB285"/>
  <c r="BB283"/>
  <c r="BB281"/>
  <c r="BB279"/>
  <c r="BB277"/>
  <c r="BB275"/>
  <c r="BB273"/>
  <c r="BB271"/>
  <c r="BB269"/>
  <c r="BB267"/>
  <c r="BB265"/>
  <c r="BB263"/>
  <c r="BB261"/>
  <c r="BB259"/>
  <c r="BB257"/>
  <c r="BB255"/>
  <c r="BB253"/>
  <c r="BB251"/>
  <c r="BB249"/>
  <c r="BB247"/>
  <c r="BB245"/>
  <c r="BB243"/>
  <c r="BB241"/>
  <c r="BB239"/>
  <c r="BB237"/>
  <c r="BB235"/>
  <c r="BB233"/>
  <c r="BB231"/>
  <c r="BB229"/>
  <c r="BB227"/>
  <c r="BB225"/>
  <c r="BB223"/>
  <c r="BB221"/>
  <c r="BB219"/>
  <c r="BB217"/>
  <c r="BB215"/>
  <c r="BB213"/>
  <c r="BB211"/>
  <c r="BB209"/>
  <c r="BB207"/>
  <c r="BB205"/>
  <c r="BB203"/>
  <c r="BB201"/>
  <c r="BB199"/>
  <c r="BB197"/>
  <c r="BB195"/>
  <c r="BB193"/>
  <c r="BB191"/>
  <c r="BB189"/>
  <c r="BB187"/>
  <c r="BB185"/>
  <c r="BB183"/>
  <c r="BB181"/>
  <c r="BB179"/>
  <c r="BB177"/>
  <c r="BB175"/>
  <c r="BB173"/>
  <c r="BB171"/>
  <c r="BB169"/>
  <c r="BB167"/>
  <c r="BB165"/>
  <c r="BB163"/>
  <c r="BB161"/>
  <c r="BB159"/>
  <c r="BB157"/>
  <c r="BB155"/>
  <c r="BB153"/>
  <c r="BB151"/>
  <c r="BB149"/>
  <c r="BB147"/>
  <c r="BB145"/>
  <c r="BB143"/>
  <c r="BB141"/>
  <c r="BB139"/>
  <c r="BB137"/>
  <c r="BB135"/>
  <c r="BB133"/>
  <c r="BB131"/>
  <c r="BB129"/>
  <c r="BB127"/>
  <c r="BB125"/>
  <c r="BB123"/>
  <c r="BB121"/>
  <c r="BB119"/>
  <c r="BB117"/>
  <c r="BB115"/>
  <c r="BB113"/>
  <c r="BB111"/>
  <c r="BB109"/>
  <c r="BB107"/>
  <c r="BB105"/>
  <c r="BB103"/>
  <c r="BB101"/>
  <c r="BB99"/>
  <c r="BB97"/>
  <c r="BB95"/>
  <c r="BB93"/>
  <c r="BB91"/>
  <c r="BB89"/>
  <c r="BB87"/>
  <c r="BB85"/>
  <c r="BB83"/>
  <c r="BB81"/>
  <c r="BB79"/>
  <c r="BB77"/>
  <c r="BB75"/>
  <c r="BB73"/>
  <c r="BB71"/>
  <c r="BB69"/>
  <c r="BB67"/>
  <c r="BB65"/>
  <c r="BB63"/>
  <c r="BB61"/>
  <c r="BB59"/>
  <c r="BB57"/>
  <c r="BB55"/>
  <c r="BB53"/>
  <c r="BB51"/>
  <c r="BB49"/>
  <c r="BB47"/>
  <c r="BB45"/>
  <c r="BB43"/>
  <c r="BB41"/>
  <c r="BB39"/>
  <c r="BB37"/>
  <c r="BB35"/>
  <c r="BB33"/>
  <c r="BB31"/>
  <c r="BB29"/>
  <c r="BB27"/>
  <c r="BB404"/>
  <c r="BB402"/>
  <c r="BB400"/>
  <c r="BB398"/>
  <c r="BB396"/>
  <c r="BB394"/>
  <c r="BB392"/>
  <c r="BB390"/>
  <c r="BB388"/>
  <c r="BB386"/>
  <c r="BB384"/>
  <c r="BB382"/>
  <c r="BB380"/>
  <c r="BB378"/>
  <c r="BB376"/>
  <c r="BB374"/>
  <c r="BB372"/>
  <c r="BB370"/>
  <c r="BB368"/>
  <c r="BB366"/>
  <c r="BB364"/>
  <c r="BB362"/>
  <c r="BB360"/>
  <c r="BB358"/>
  <c r="BB356"/>
  <c r="BB354"/>
  <c r="BB352"/>
  <c r="BB350"/>
  <c r="BB348"/>
  <c r="BB346"/>
  <c r="BB344"/>
  <c r="BB342"/>
  <c r="BB340"/>
  <c r="BB338"/>
  <c r="BB336"/>
  <c r="BB334"/>
  <c r="BB332"/>
  <c r="BB330"/>
  <c r="BB328"/>
  <c r="BB326"/>
  <c r="BB324"/>
  <c r="BB322"/>
  <c r="BB320"/>
  <c r="BB318"/>
  <c r="BB316"/>
  <c r="BB314"/>
  <c r="BB312"/>
  <c r="BB310"/>
  <c r="BB308"/>
  <c r="BB306"/>
  <c r="BB304"/>
  <c r="BB302"/>
  <c r="BB300"/>
  <c r="BB298"/>
  <c r="BB296"/>
  <c r="BB294"/>
  <c r="BB292"/>
  <c r="BB290"/>
  <c r="BB288"/>
  <c r="BB286"/>
  <c r="BB284"/>
  <c r="BB282"/>
  <c r="BB280"/>
  <c r="BB278"/>
  <c r="BB276"/>
  <c r="BB274"/>
  <c r="BB272"/>
  <c r="BB270"/>
  <c r="BB268"/>
  <c r="BB266"/>
  <c r="BB264"/>
  <c r="BB262"/>
  <c r="BB260"/>
  <c r="BB258"/>
  <c r="BB256"/>
  <c r="BB254"/>
  <c r="BB252"/>
  <c r="BB250"/>
  <c r="BB248"/>
  <c r="BB246"/>
  <c r="BB244"/>
  <c r="BB242"/>
  <c r="BB240"/>
  <c r="BB238"/>
  <c r="BB236"/>
  <c r="BB234"/>
  <c r="BB232"/>
  <c r="BB230"/>
  <c r="BB228"/>
  <c r="BB226"/>
  <c r="BB224"/>
  <c r="BB222"/>
  <c r="BB220"/>
  <c r="BB218"/>
  <c r="BB216"/>
  <c r="BB214"/>
  <c r="BB212"/>
  <c r="BB210"/>
  <c r="BB208"/>
  <c r="BB206"/>
  <c r="BB204"/>
  <c r="BB202"/>
  <c r="BB200"/>
  <c r="BB198"/>
  <c r="BB196"/>
  <c r="BB194"/>
  <c r="BB192"/>
  <c r="BB190"/>
  <c r="BB188"/>
  <c r="BB186"/>
  <c r="BB184"/>
  <c r="BB182"/>
  <c r="BB180"/>
  <c r="BB178"/>
  <c r="BB176"/>
  <c r="BB174"/>
  <c r="BB172"/>
  <c r="BB170"/>
  <c r="BB168"/>
  <c r="BB166"/>
  <c r="BB164"/>
  <c r="BB162"/>
  <c r="BB160"/>
  <c r="BB158"/>
  <c r="BB156"/>
  <c r="BB154"/>
  <c r="BB152"/>
  <c r="BB150"/>
  <c r="BB148"/>
  <c r="BB146"/>
  <c r="BB144"/>
  <c r="BB142"/>
  <c r="BB140"/>
  <c r="BB138"/>
  <c r="BB136"/>
  <c r="BB134"/>
  <c r="BB132"/>
  <c r="BB130"/>
  <c r="BB128"/>
  <c r="BB126"/>
  <c r="BB124"/>
  <c r="BB122"/>
  <c r="BB120"/>
  <c r="BB118"/>
  <c r="BB116"/>
  <c r="BB114"/>
  <c r="BB112"/>
  <c r="BB108"/>
  <c r="BB104"/>
  <c r="BB100"/>
  <c r="BB96"/>
  <c r="BB92"/>
  <c r="BB88"/>
  <c r="BB84"/>
  <c r="BB80"/>
  <c r="BB76"/>
  <c r="BB72"/>
  <c r="BB68"/>
  <c r="BB64"/>
  <c r="BB60"/>
  <c r="BB56"/>
  <c r="BB52"/>
  <c r="BB48"/>
  <c r="BB44"/>
  <c r="BB40"/>
  <c r="BB36"/>
  <c r="BB32"/>
  <c r="BB28"/>
  <c r="BB25"/>
  <c r="BB23"/>
  <c r="BB21"/>
  <c r="BB19"/>
  <c r="BB17"/>
  <c r="BB15"/>
  <c r="BB13"/>
  <c r="BB11"/>
  <c r="BB9"/>
  <c r="BB7"/>
  <c r="BB5"/>
  <c r="BB3"/>
  <c r="AU405"/>
  <c r="AU403"/>
  <c r="AU401"/>
  <c r="AU399"/>
  <c r="AU397"/>
  <c r="AU395"/>
  <c r="AU393"/>
  <c r="AU391"/>
  <c r="AU389"/>
  <c r="AU387"/>
  <c r="AU385"/>
  <c r="AU383"/>
  <c r="AU381"/>
  <c r="AU379"/>
  <c r="AU377"/>
  <c r="AU375"/>
  <c r="AU373"/>
  <c r="AU371"/>
  <c r="AU369"/>
  <c r="AU367"/>
  <c r="AU365"/>
  <c r="AU363"/>
  <c r="AU361"/>
  <c r="AU359"/>
  <c r="AU357"/>
  <c r="AU355"/>
  <c r="AU353"/>
  <c r="AU351"/>
  <c r="AU349"/>
  <c r="AU347"/>
  <c r="AU345"/>
  <c r="AU343"/>
  <c r="AU341"/>
  <c r="AU339"/>
  <c r="AU337"/>
  <c r="AU335"/>
  <c r="AU333"/>
  <c r="AU331"/>
  <c r="AU329"/>
  <c r="AU327"/>
  <c r="AU325"/>
  <c r="AU323"/>
  <c r="AU321"/>
  <c r="AU319"/>
  <c r="AU317"/>
  <c r="AU315"/>
  <c r="AU313"/>
  <c r="AU311"/>
  <c r="AU309"/>
  <c r="AU307"/>
  <c r="AU305"/>
  <c r="AU303"/>
  <c r="AU301"/>
  <c r="AU299"/>
  <c r="AU297"/>
  <c r="AU295"/>
  <c r="AU293"/>
  <c r="AU291"/>
  <c r="AU289"/>
  <c r="AU287"/>
  <c r="AU285"/>
  <c r="AU283"/>
  <c r="AU281"/>
  <c r="AU279"/>
  <c r="AU277"/>
  <c r="AU275"/>
  <c r="AU273"/>
  <c r="AU271"/>
  <c r="AU269"/>
  <c r="AU267"/>
  <c r="AU265"/>
  <c r="AU263"/>
  <c r="AU261"/>
  <c r="AU259"/>
  <c r="AU257"/>
  <c r="AU255"/>
  <c r="AU253"/>
  <c r="AU251"/>
  <c r="AU249"/>
  <c r="AU247"/>
  <c r="AU245"/>
  <c r="AU243"/>
  <c r="AU241"/>
  <c r="AU239"/>
  <c r="AU237"/>
  <c r="AU235"/>
  <c r="AU233"/>
  <c r="AU231"/>
  <c r="AU229"/>
  <c r="AU227"/>
  <c r="AU225"/>
  <c r="AU223"/>
  <c r="AU221"/>
  <c r="AU219"/>
  <c r="AU217"/>
  <c r="AU215"/>
  <c r="AU213"/>
  <c r="AU211"/>
  <c r="AU209"/>
  <c r="AU207"/>
  <c r="AU205"/>
  <c r="AU203"/>
  <c r="AU201"/>
  <c r="AU199"/>
  <c r="AU197"/>
  <c r="AU195"/>
  <c r="AU193"/>
  <c r="AU191"/>
  <c r="AU189"/>
  <c r="AU187"/>
  <c r="AU185"/>
  <c r="AU183"/>
  <c r="AU181"/>
  <c r="AU179"/>
  <c r="AU177"/>
  <c r="AU175"/>
  <c r="AU173"/>
  <c r="AU171"/>
  <c r="AU169"/>
  <c r="AU167"/>
  <c r="AU165"/>
  <c r="AU163"/>
  <c r="AU161"/>
  <c r="AU159"/>
  <c r="AU157"/>
  <c r="AU155"/>
  <c r="AU153"/>
  <c r="AU151"/>
  <c r="AU149"/>
  <c r="AU147"/>
  <c r="AU145"/>
  <c r="AU143"/>
  <c r="AU141"/>
  <c r="AU139"/>
  <c r="AU137"/>
  <c r="AU135"/>
  <c r="AU133"/>
  <c r="AU131"/>
  <c r="AU129"/>
  <c r="AU127"/>
  <c r="AU125"/>
  <c r="AU123"/>
  <c r="AU121"/>
  <c r="AU119"/>
  <c r="AU117"/>
  <c r="AU115"/>
  <c r="AU113"/>
  <c r="AU111"/>
  <c r="AU109"/>
  <c r="AU107"/>
  <c r="AU105"/>
  <c r="AU103"/>
  <c r="AU101"/>
  <c r="AU99"/>
  <c r="AU97"/>
  <c r="AU95"/>
  <c r="AU93"/>
  <c r="AU91"/>
  <c r="AU89"/>
  <c r="AU87"/>
  <c r="AU85"/>
  <c r="AU83"/>
  <c r="AU81"/>
  <c r="AU79"/>
  <c r="AU77"/>
  <c r="AU75"/>
  <c r="AU73"/>
  <c r="AU71"/>
  <c r="AU69"/>
  <c r="AU67"/>
  <c r="AU65"/>
  <c r="AU63"/>
  <c r="AU61"/>
  <c r="AU59"/>
  <c r="AU57"/>
  <c r="AU55"/>
  <c r="AU53"/>
  <c r="AU51"/>
  <c r="AU49"/>
  <c r="AU47"/>
  <c r="AU45"/>
  <c r="AU43"/>
  <c r="AU41"/>
  <c r="AU39"/>
  <c r="AU37"/>
  <c r="AU35"/>
  <c r="AU33"/>
  <c r="AU31"/>
  <c r="AU29"/>
  <c r="AU27"/>
  <c r="AU25"/>
  <c r="AU23"/>
  <c r="AU21"/>
  <c r="AU19"/>
  <c r="AU17"/>
  <c r="AU15"/>
  <c r="AU13"/>
  <c r="AU11"/>
  <c r="AU9"/>
  <c r="AU7"/>
  <c r="AU5"/>
  <c r="AU3"/>
  <c r="AN405"/>
  <c r="AN403"/>
  <c r="AN401"/>
  <c r="AN399"/>
  <c r="AN397"/>
  <c r="AN395"/>
  <c r="AN393"/>
  <c r="AN391"/>
  <c r="AN389"/>
  <c r="AN387"/>
  <c r="AN385"/>
  <c r="AN383"/>
  <c r="AN381"/>
  <c r="AN379"/>
  <c r="AN377"/>
  <c r="AN375"/>
  <c r="AN373"/>
  <c r="AN371"/>
  <c r="AN369"/>
  <c r="AN367"/>
  <c r="AN365"/>
  <c r="AN363"/>
  <c r="AN361"/>
  <c r="AN359"/>
  <c r="AN357"/>
  <c r="AN355"/>
  <c r="AN353"/>
  <c r="AN351"/>
  <c r="AN349"/>
  <c r="AN347"/>
  <c r="AN345"/>
  <c r="AN343"/>
  <c r="AN341"/>
  <c r="AN339"/>
  <c r="AN337"/>
  <c r="AN335"/>
  <c r="AN333"/>
  <c r="AN331"/>
  <c r="AN329"/>
  <c r="AN327"/>
  <c r="AN325"/>
  <c r="AN323"/>
  <c r="AN321"/>
  <c r="AN319"/>
  <c r="AN317"/>
  <c r="AN315"/>
  <c r="AN313"/>
  <c r="AN311"/>
  <c r="AN309"/>
  <c r="AN307"/>
  <c r="AN305"/>
  <c r="AN303"/>
  <c r="AN301"/>
  <c r="AN299"/>
  <c r="AN297"/>
  <c r="AN295"/>
  <c r="AN293"/>
  <c r="AN291"/>
  <c r="AN289"/>
  <c r="AN287"/>
  <c r="AN285"/>
  <c r="AN283"/>
  <c r="AN281"/>
  <c r="AN279"/>
  <c r="AN277"/>
  <c r="AN275"/>
  <c r="AN273"/>
  <c r="AN271"/>
  <c r="AN269"/>
  <c r="AN267"/>
  <c r="AN265"/>
  <c r="AN263"/>
  <c r="AN261"/>
  <c r="AN259"/>
  <c r="AN257"/>
  <c r="AN255"/>
  <c r="AN253"/>
  <c r="AN251"/>
  <c r="AN249"/>
  <c r="AN247"/>
  <c r="AN245"/>
  <c r="AN243"/>
  <c r="AN241"/>
  <c r="AN239"/>
  <c r="AN237"/>
  <c r="AN235"/>
  <c r="AN233"/>
  <c r="AN231"/>
  <c r="AN229"/>
  <c r="AN227"/>
  <c r="AN225"/>
  <c r="AN223"/>
  <c r="AN221"/>
  <c r="AN219"/>
  <c r="AN217"/>
  <c r="AN215"/>
  <c r="AN213"/>
  <c r="AN211"/>
  <c r="AN209"/>
  <c r="AN207"/>
  <c r="AN205"/>
  <c r="AN203"/>
  <c r="AN201"/>
  <c r="AN199"/>
  <c r="AN197"/>
  <c r="AN195"/>
  <c r="AN193"/>
  <c r="AN191"/>
  <c r="AN189"/>
  <c r="AN187"/>
  <c r="AN185"/>
  <c r="AN183"/>
  <c r="AN181"/>
  <c r="AN179"/>
  <c r="AN177"/>
  <c r="AN175"/>
  <c r="AN173"/>
  <c r="AN171"/>
  <c r="AN169"/>
  <c r="AN167"/>
  <c r="AN165"/>
  <c r="AN163"/>
  <c r="AN161"/>
  <c r="AN159"/>
  <c r="AN157"/>
  <c r="AN155"/>
  <c r="AN153"/>
  <c r="AN151"/>
  <c r="AN149"/>
  <c r="AN147"/>
  <c r="AN145"/>
  <c r="AN143"/>
  <c r="AN141"/>
  <c r="AN139"/>
  <c r="AN137"/>
  <c r="AN135"/>
  <c r="AN133"/>
  <c r="AN131"/>
  <c r="AN129"/>
  <c r="AN127"/>
  <c r="AN125"/>
  <c r="AN123"/>
  <c r="AN121"/>
  <c r="AN119"/>
  <c r="AN117"/>
  <c r="AN115"/>
  <c r="AN113"/>
  <c r="AN111"/>
  <c r="AN109"/>
  <c r="AN107"/>
  <c r="AN105"/>
  <c r="AN103"/>
  <c r="AN101"/>
  <c r="AN99"/>
  <c r="AN97"/>
  <c r="AN95"/>
  <c r="AN93"/>
  <c r="AN91"/>
  <c r="AN89"/>
  <c r="AN87"/>
  <c r="AN85"/>
  <c r="AN83"/>
  <c r="AN81"/>
  <c r="AN79"/>
  <c r="AN77"/>
  <c r="AN75"/>
  <c r="AN73"/>
  <c r="AN71"/>
  <c r="AN69"/>
  <c r="AN67"/>
  <c r="AN65"/>
  <c r="AN63"/>
  <c r="AN61"/>
  <c r="AN59"/>
  <c r="AN57"/>
  <c r="AN55"/>
  <c r="AN53"/>
  <c r="AN51"/>
  <c r="AN49"/>
  <c r="AN47"/>
  <c r="AN45"/>
  <c r="AN43"/>
  <c r="AN41"/>
  <c r="AN39"/>
  <c r="AN37"/>
  <c r="AN35"/>
  <c r="AN33"/>
  <c r="AN31"/>
  <c r="AN29"/>
  <c r="AN27"/>
  <c r="AN25"/>
  <c r="AN23"/>
  <c r="AN21"/>
  <c r="AN19"/>
  <c r="AN17"/>
  <c r="AN15"/>
  <c r="AN13"/>
  <c r="AN11"/>
  <c r="AN9"/>
  <c r="AN7"/>
  <c r="AN5"/>
  <c r="AN3"/>
  <c r="BB110"/>
  <c r="BB106"/>
  <c r="BB102"/>
  <c r="BB98"/>
  <c r="BB94"/>
  <c r="BB90"/>
  <c r="BB86"/>
  <c r="BB82"/>
  <c r="BB78"/>
  <c r="BB74"/>
  <c r="BB70"/>
  <c r="BB66"/>
  <c r="BB62"/>
  <c r="BB58"/>
  <c r="BB54"/>
  <c r="BB50"/>
  <c r="BB46"/>
  <c r="BB42"/>
  <c r="BB38"/>
  <c r="BB34"/>
  <c r="BB30"/>
  <c r="BB26"/>
  <c r="BB24"/>
  <c r="BB22"/>
  <c r="BB20"/>
  <c r="BB18"/>
  <c r="BB16"/>
  <c r="BB14"/>
  <c r="BB12"/>
  <c r="BB10"/>
  <c r="BB8"/>
  <c r="BB6"/>
  <c r="BB4"/>
  <c r="BB2"/>
  <c r="AU404"/>
  <c r="AU402"/>
  <c r="AU400"/>
  <c r="AU398"/>
  <c r="AU396"/>
  <c r="AU394"/>
  <c r="AU392"/>
  <c r="AU390"/>
  <c r="AU388"/>
  <c r="AU386"/>
  <c r="AU384"/>
  <c r="AU382"/>
  <c r="AU380"/>
  <c r="AU378"/>
  <c r="AU376"/>
  <c r="AU374"/>
  <c r="AU372"/>
  <c r="AU370"/>
  <c r="AU368"/>
  <c r="AU366"/>
  <c r="AU364"/>
  <c r="AU362"/>
  <c r="AU360"/>
  <c r="AU358"/>
  <c r="AU356"/>
  <c r="AU354"/>
  <c r="AU352"/>
  <c r="AU350"/>
  <c r="AU348"/>
  <c r="AU346"/>
  <c r="AU344"/>
  <c r="AU342"/>
  <c r="AU340"/>
  <c r="AU338"/>
  <c r="AU336"/>
  <c r="AU334"/>
  <c r="AU332"/>
  <c r="AU330"/>
  <c r="AU328"/>
  <c r="AU326"/>
  <c r="AU324"/>
  <c r="AU322"/>
  <c r="AU320"/>
  <c r="AU318"/>
  <c r="AU316"/>
  <c r="AU314"/>
  <c r="AU312"/>
  <c r="AU310"/>
  <c r="AU308"/>
  <c r="AU306"/>
  <c r="AU304"/>
  <c r="AU302"/>
  <c r="AU300"/>
  <c r="AU298"/>
  <c r="AU296"/>
  <c r="AU294"/>
  <c r="AU292"/>
  <c r="AU290"/>
  <c r="AU288"/>
  <c r="AU286"/>
  <c r="AU284"/>
  <c r="AU282"/>
  <c r="AU280"/>
  <c r="AU278"/>
  <c r="AU276"/>
  <c r="AU274"/>
  <c r="AU272"/>
  <c r="AU270"/>
  <c r="AU268"/>
  <c r="AU266"/>
  <c r="AU264"/>
  <c r="AU262"/>
  <c r="AU260"/>
  <c r="AU258"/>
  <c r="AU256"/>
  <c r="AU254"/>
  <c r="AU252"/>
  <c r="AU250"/>
  <c r="AU248"/>
  <c r="AU246"/>
  <c r="AU244"/>
  <c r="AU242"/>
  <c r="AU240"/>
  <c r="AU238"/>
  <c r="AU236"/>
  <c r="AU234"/>
  <c r="AU232"/>
  <c r="AU230"/>
  <c r="AU228"/>
  <c r="AU226"/>
  <c r="AU224"/>
  <c r="AU222"/>
  <c r="AU220"/>
  <c r="AU218"/>
  <c r="AU216"/>
  <c r="AU214"/>
  <c r="AU212"/>
  <c r="AU210"/>
  <c r="AU208"/>
  <c r="AU206"/>
  <c r="AU204"/>
  <c r="AU202"/>
  <c r="AU200"/>
  <c r="AU198"/>
  <c r="AU196"/>
  <c r="AU194"/>
  <c r="AU192"/>
  <c r="AU190"/>
  <c r="AU188"/>
  <c r="AU186"/>
  <c r="AU184"/>
  <c r="AU182"/>
  <c r="AU180"/>
  <c r="AU178"/>
  <c r="AU176"/>
  <c r="AU174"/>
  <c r="AU172"/>
  <c r="AU170"/>
  <c r="AU168"/>
  <c r="AU166"/>
  <c r="AU164"/>
  <c r="AU162"/>
  <c r="AU160"/>
  <c r="AU158"/>
  <c r="AU156"/>
  <c r="AU154"/>
  <c r="AU152"/>
  <c r="AU150"/>
  <c r="AU148"/>
  <c r="AU146"/>
  <c r="AU144"/>
  <c r="AU142"/>
  <c r="AU140"/>
  <c r="AU138"/>
  <c r="AU136"/>
  <c r="AU134"/>
  <c r="AU132"/>
  <c r="AU130"/>
  <c r="AU128"/>
  <c r="AU126"/>
  <c r="AU124"/>
  <c r="AU122"/>
  <c r="AU120"/>
  <c r="AU118"/>
  <c r="AU116"/>
  <c r="AU114"/>
  <c r="AU112"/>
  <c r="AU110"/>
  <c r="AU108"/>
  <c r="AU106"/>
  <c r="AU104"/>
  <c r="AU102"/>
  <c r="AU100"/>
  <c r="AU98"/>
  <c r="AU96"/>
  <c r="AU94"/>
  <c r="AU92"/>
  <c r="AU90"/>
  <c r="AU88"/>
  <c r="AU86"/>
  <c r="AU84"/>
  <c r="AU82"/>
  <c r="AU80"/>
  <c r="AU78"/>
  <c r="AU76"/>
  <c r="AU74"/>
  <c r="AU72"/>
  <c r="AU70"/>
  <c r="AU68"/>
  <c r="AU66"/>
  <c r="AU64"/>
  <c r="AU62"/>
  <c r="AU60"/>
  <c r="AU58"/>
  <c r="AU56"/>
  <c r="AU54"/>
  <c r="AU52"/>
  <c r="AU50"/>
  <c r="AU48"/>
  <c r="AU46"/>
  <c r="AU44"/>
  <c r="AU42"/>
  <c r="AU40"/>
  <c r="AU38"/>
  <c r="AU36"/>
  <c r="AU34"/>
  <c r="AU32"/>
  <c r="AU30"/>
  <c r="AU28"/>
  <c r="AU26"/>
  <c r="AU24"/>
  <c r="AU22"/>
  <c r="AU20"/>
  <c r="AU18"/>
  <c r="AU16"/>
  <c r="AU14"/>
  <c r="AU12"/>
  <c r="AU10"/>
  <c r="AU8"/>
  <c r="AU6"/>
  <c r="AU4"/>
  <c r="AU2"/>
  <c r="AN404"/>
  <c r="AN402"/>
  <c r="AN400"/>
  <c r="AN398"/>
  <c r="AN396"/>
  <c r="AN394"/>
  <c r="AN392"/>
  <c r="AN390"/>
  <c r="AN388"/>
  <c r="AN386"/>
  <c r="AN384"/>
  <c r="AN382"/>
  <c r="AN380"/>
  <c r="AN378"/>
  <c r="AN376"/>
  <c r="AN374"/>
  <c r="AN372"/>
  <c r="AN370"/>
  <c r="AN368"/>
  <c r="AN366"/>
  <c r="AN364"/>
  <c r="AN362"/>
  <c r="AN360"/>
  <c r="AN358"/>
  <c r="AN356"/>
  <c r="AN354"/>
  <c r="AN352"/>
  <c r="AN350"/>
  <c r="AN348"/>
  <c r="AN346"/>
  <c r="AN344"/>
  <c r="AN342"/>
  <c r="AN340"/>
  <c r="AN338"/>
  <c r="AN336"/>
  <c r="AN334"/>
  <c r="AN332"/>
  <c r="AN330"/>
  <c r="AN328"/>
  <c r="AN326"/>
  <c r="AN324"/>
  <c r="AN322"/>
  <c r="AN320"/>
  <c r="AN318"/>
  <c r="AN316"/>
  <c r="AN314"/>
  <c r="AN312"/>
  <c r="AN310"/>
  <c r="AN308"/>
  <c r="AN306"/>
  <c r="AN304"/>
  <c r="AN302"/>
  <c r="AN300"/>
  <c r="AN298"/>
  <c r="AN296"/>
  <c r="AN294"/>
  <c r="AN292"/>
  <c r="AN290"/>
  <c r="AN288"/>
  <c r="AN286"/>
  <c r="AN284"/>
  <c r="AN282"/>
  <c r="AN280"/>
  <c r="AN278"/>
  <c r="AN276"/>
  <c r="AN274"/>
  <c r="AN272"/>
  <c r="AN270"/>
  <c r="AN268"/>
  <c r="AN266"/>
  <c r="AN264"/>
  <c r="AN262"/>
  <c r="AN260"/>
  <c r="AN258"/>
  <c r="AN256"/>
  <c r="AN254"/>
  <c r="AN252"/>
  <c r="AN250"/>
  <c r="AN248"/>
  <c r="AN246"/>
  <c r="AN244"/>
  <c r="AN242"/>
  <c r="AN240"/>
  <c r="AN238"/>
  <c r="AN236"/>
  <c r="AN234"/>
  <c r="AN232"/>
  <c r="AN230"/>
  <c r="AN228"/>
  <c r="AN226"/>
  <c r="AN224"/>
  <c r="AN222"/>
  <c r="AN220"/>
  <c r="AN218"/>
  <c r="AN216"/>
  <c r="AN214"/>
  <c r="AN212"/>
  <c r="AN210"/>
  <c r="AN208"/>
  <c r="AN206"/>
  <c r="AN204"/>
  <c r="AN202"/>
  <c r="AN200"/>
  <c r="AN198"/>
  <c r="AN196"/>
  <c r="AN194"/>
  <c r="AN192"/>
  <c r="AN190"/>
  <c r="AN188"/>
  <c r="AN186"/>
  <c r="AN184"/>
  <c r="AN182"/>
  <c r="AN180"/>
  <c r="AN178"/>
  <c r="AN176"/>
  <c r="AN174"/>
  <c r="AN172"/>
  <c r="AN170"/>
  <c r="AN168"/>
  <c r="AN166"/>
  <c r="AN164"/>
  <c r="AN162"/>
  <c r="AN160"/>
  <c r="AN158"/>
  <c r="AN156"/>
  <c r="AN154"/>
  <c r="AN152"/>
  <c r="AN150"/>
  <c r="AN148"/>
  <c r="AN146"/>
  <c r="AN144"/>
  <c r="AN142"/>
  <c r="AN140"/>
  <c r="AN138"/>
  <c r="AN136"/>
  <c r="AN134"/>
  <c r="AN132"/>
  <c r="AN130"/>
  <c r="AN128"/>
  <c r="AN126"/>
  <c r="AN124"/>
  <c r="AN122"/>
  <c r="AN120"/>
  <c r="AN118"/>
  <c r="AN116"/>
  <c r="AN114"/>
  <c r="AN112"/>
  <c r="AN110"/>
  <c r="AN108"/>
  <c r="AN106"/>
  <c r="AN104"/>
  <c r="AN102"/>
  <c r="AN100"/>
  <c r="AN98"/>
  <c r="AN96"/>
  <c r="AN94"/>
  <c r="AN92"/>
  <c r="AN90"/>
  <c r="AN88"/>
  <c r="AN86"/>
  <c r="AN84"/>
  <c r="AN82"/>
  <c r="AN80"/>
  <c r="AN78"/>
  <c r="AN76"/>
  <c r="AN74"/>
  <c r="AN72"/>
  <c r="AN70"/>
  <c r="AN68"/>
  <c r="AN66"/>
  <c r="AN64"/>
  <c r="AN62"/>
  <c r="AN60"/>
  <c r="AN58"/>
  <c r="AN56"/>
  <c r="AN54"/>
  <c r="AN52"/>
  <c r="AN50"/>
  <c r="AN48"/>
  <c r="AN46"/>
  <c r="AN44"/>
  <c r="AN42"/>
  <c r="AN40"/>
  <c r="AN38"/>
  <c r="AN36"/>
  <c r="AN34"/>
  <c r="AN32"/>
  <c r="AN30"/>
  <c r="AN28"/>
  <c r="AN26"/>
  <c r="AN24"/>
  <c r="AN22"/>
  <c r="AN20"/>
  <c r="AN18"/>
  <c r="AN16"/>
  <c r="AN14"/>
  <c r="AN12"/>
  <c r="AN10"/>
  <c r="AN8"/>
  <c r="AN6"/>
  <c r="AN4"/>
  <c r="AN2"/>
  <c r="C98"/>
  <c r="G101" s="1"/>
  <c r="G100" s="1"/>
  <c r="C60"/>
  <c r="X13"/>
  <c r="AW13" s="1"/>
  <c r="AP12"/>
  <c r="D4"/>
  <c r="D5"/>
  <c r="D3"/>
  <c r="AC7"/>
  <c r="AL717" s="1"/>
  <c r="AA7"/>
  <c r="AL515" s="1"/>
  <c r="B10" i="17"/>
  <c r="L10" s="1"/>
  <c r="A11"/>
  <c r="C11"/>
  <c r="M10"/>
  <c r="O9"/>
  <c r="P9" s="1"/>
  <c r="Y8" i="18" s="1"/>
  <c r="N16" i="17"/>
  <c r="F126" i="10"/>
  <c r="J39" i="1"/>
  <c r="G44"/>
  <c r="G42"/>
  <c r="G45"/>
  <c r="G43"/>
  <c r="F43"/>
  <c r="N62" i="18" s="1"/>
  <c r="N64" s="1"/>
  <c r="W24" i="1"/>
  <c r="W22"/>
  <c r="Q53" i="25" l="1"/>
  <c r="M7" s="1"/>
  <c r="N7" s="1"/>
  <c r="J59"/>
  <c r="J13" s="1"/>
  <c r="L13" s="1"/>
  <c r="Q60"/>
  <c r="M14" s="1"/>
  <c r="N14" s="1"/>
  <c r="Q62"/>
  <c r="M16" s="1"/>
  <c r="N16" s="1"/>
  <c r="Q57"/>
  <c r="M11" s="1"/>
  <c r="N11" s="1"/>
  <c r="Q45" i="26"/>
  <c r="AB44"/>
  <c r="AE44" s="1"/>
  <c r="T44"/>
  <c r="W44" s="1"/>
  <c r="L44"/>
  <c r="O44" s="1"/>
  <c r="D44"/>
  <c r="G44" s="1"/>
  <c r="A45"/>
  <c r="Y46"/>
  <c r="I45"/>
  <c r="J55" i="25"/>
  <c r="J9" s="1"/>
  <c r="K9" s="1"/>
  <c r="Q61"/>
  <c r="M15" s="1"/>
  <c r="O15" s="1"/>
  <c r="J52"/>
  <c r="J6" s="1"/>
  <c r="K6" s="1"/>
  <c r="Q54"/>
  <c r="M8" s="1"/>
  <c r="N8" s="1"/>
  <c r="J62"/>
  <c r="J16" s="1"/>
  <c r="Q58"/>
  <c r="M12" s="1"/>
  <c r="O12" s="1"/>
  <c r="J56"/>
  <c r="J10" s="1"/>
  <c r="L10" s="1"/>
  <c r="Q56"/>
  <c r="M10" s="1"/>
  <c r="Q55"/>
  <c r="M9" s="1"/>
  <c r="J58"/>
  <c r="J12" s="1"/>
  <c r="K15"/>
  <c r="L15"/>
  <c r="J53"/>
  <c r="J7" s="1"/>
  <c r="J57"/>
  <c r="J11" s="1"/>
  <c r="J54"/>
  <c r="J8" s="1"/>
  <c r="Q52"/>
  <c r="M6" s="1"/>
  <c r="J60"/>
  <c r="J14" s="1"/>
  <c r="Q59"/>
  <c r="M13" s="1"/>
  <c r="E132" i="10"/>
  <c r="F133"/>
  <c r="F125"/>
  <c r="E125"/>
  <c r="F132"/>
  <c r="F124"/>
  <c r="E129"/>
  <c r="F131"/>
  <c r="E133"/>
  <c r="F130"/>
  <c r="E127"/>
  <c r="E126"/>
  <c r="G126" s="1"/>
  <c r="F129"/>
  <c r="E131"/>
  <c r="E130"/>
  <c r="F128"/>
  <c r="E124"/>
  <c r="E134"/>
  <c r="F127"/>
  <c r="E128"/>
  <c r="F134"/>
  <c r="F102" i="18"/>
  <c r="F64" s="1"/>
  <c r="F100"/>
  <c r="D100"/>
  <c r="D101" s="1"/>
  <c r="D102" s="1"/>
  <c r="E99"/>
  <c r="E61" s="1"/>
  <c r="E101"/>
  <c r="G63"/>
  <c r="G62" s="1"/>
  <c r="BK13"/>
  <c r="BD13"/>
  <c r="AK29"/>
  <c r="X14"/>
  <c r="AP13"/>
  <c r="G99"/>
  <c r="D6"/>
  <c r="A12" i="17"/>
  <c r="B11"/>
  <c r="L11" s="1"/>
  <c r="AC8" i="18"/>
  <c r="AL718" s="1"/>
  <c r="AB8"/>
  <c r="AL617" s="1"/>
  <c r="AA8"/>
  <c r="AL516" s="1"/>
  <c r="Z8"/>
  <c r="AL415" s="1"/>
  <c r="C12" i="17"/>
  <c r="M11"/>
  <c r="O10"/>
  <c r="P10" s="1"/>
  <c r="Y9" i="18" s="1"/>
  <c r="N17" i="17"/>
  <c r="F44" i="1"/>
  <c r="N63" i="18" s="1"/>
  <c r="F45" i="1"/>
  <c r="O7" i="25" l="1"/>
  <c r="K13"/>
  <c r="O14"/>
  <c r="O16"/>
  <c r="P16"/>
  <c r="O11"/>
  <c r="L9"/>
  <c r="Y47" i="26"/>
  <c r="Q46"/>
  <c r="I46"/>
  <c r="AB45"/>
  <c r="AE45" s="1"/>
  <c r="T45"/>
  <c r="W45" s="1"/>
  <c r="L45"/>
  <c r="O45" s="1"/>
  <c r="D45"/>
  <c r="G45" s="1"/>
  <c r="A46"/>
  <c r="P8" i="25"/>
  <c r="O8"/>
  <c r="P15"/>
  <c r="K16"/>
  <c r="K10"/>
  <c r="N15"/>
  <c r="N12"/>
  <c r="P10"/>
  <c r="L6"/>
  <c r="P6"/>
  <c r="L16"/>
  <c r="L14"/>
  <c r="K14"/>
  <c r="P14"/>
  <c r="O13"/>
  <c r="N13"/>
  <c r="L7"/>
  <c r="P7"/>
  <c r="K7"/>
  <c r="N10"/>
  <c r="O10"/>
  <c r="P13"/>
  <c r="L8"/>
  <c r="K8"/>
  <c r="L11"/>
  <c r="P11"/>
  <c r="K11"/>
  <c r="O9"/>
  <c r="N9"/>
  <c r="O6"/>
  <c r="N6"/>
  <c r="P12"/>
  <c r="L12"/>
  <c r="K12"/>
  <c r="P9"/>
  <c r="G132" i="10"/>
  <c r="F31" i="1" s="1"/>
  <c r="G31" s="1"/>
  <c r="G130" i="10"/>
  <c r="F29" i="1" s="1"/>
  <c r="G29" s="1"/>
  <c r="G124" i="10"/>
  <c r="F23" i="1" s="1"/>
  <c r="G23" s="1"/>
  <c r="G133" i="10"/>
  <c r="E32" i="1" s="1"/>
  <c r="G134" i="10"/>
  <c r="F33" i="1" s="1"/>
  <c r="G33" s="1"/>
  <c r="G129" i="10"/>
  <c r="G125"/>
  <c r="E24" i="1" s="1"/>
  <c r="G131" i="10"/>
  <c r="F30" i="1" s="1"/>
  <c r="G30" s="1"/>
  <c r="G127" i="10"/>
  <c r="E26" i="1" s="1"/>
  <c r="G128" i="10"/>
  <c r="F27" i="1" s="1"/>
  <c r="G27" s="1"/>
  <c r="F62" i="18"/>
  <c r="F99"/>
  <c r="H99" s="1"/>
  <c r="H101"/>
  <c r="H100"/>
  <c r="D62"/>
  <c r="E102"/>
  <c r="H102" s="1"/>
  <c r="E63"/>
  <c r="BK14"/>
  <c r="BD14"/>
  <c r="AW14"/>
  <c r="AK30"/>
  <c r="X15"/>
  <c r="AP14"/>
  <c r="G61"/>
  <c r="AJ8"/>
  <c r="AJ7" s="1"/>
  <c r="AJ4"/>
  <c r="AJ3" s="1"/>
  <c r="AJ2"/>
  <c r="AJ1" s="1"/>
  <c r="AJ10"/>
  <c r="AJ9" s="1"/>
  <c r="AJ6"/>
  <c r="AJ5" s="1"/>
  <c r="O11" i="17"/>
  <c r="P11" s="1"/>
  <c r="Y10" i="18" s="1"/>
  <c r="Z9"/>
  <c r="AL416" s="1"/>
  <c r="AA9"/>
  <c r="AL517" s="1"/>
  <c r="AB9"/>
  <c r="AL618" s="1"/>
  <c r="AC9"/>
  <c r="AL719" s="1"/>
  <c r="M12" i="17"/>
  <c r="C13"/>
  <c r="A13"/>
  <c r="B12"/>
  <c r="L12" s="1"/>
  <c r="N18"/>
  <c r="E25" i="1"/>
  <c r="F25"/>
  <c r="G25" s="1"/>
  <c r="I47" i="26" l="1"/>
  <c r="Y48"/>
  <c r="AB46"/>
  <c r="AE46" s="1"/>
  <c r="T46"/>
  <c r="W46" s="1"/>
  <c r="L46"/>
  <c r="O46" s="1"/>
  <c r="D46"/>
  <c r="G46" s="1"/>
  <c r="A47"/>
  <c r="Q47"/>
  <c r="E29" i="1"/>
  <c r="E31"/>
  <c r="E23"/>
  <c r="E33"/>
  <c r="F26"/>
  <c r="G26" s="1"/>
  <c r="E30"/>
  <c r="E27"/>
  <c r="H62" i="18"/>
  <c r="I100" s="1"/>
  <c r="Q213" i="26" s="1"/>
  <c r="Q214" s="1"/>
  <c r="Q215" s="1"/>
  <c r="Q216" s="1"/>
  <c r="Q217" s="1"/>
  <c r="Q218" s="1"/>
  <c r="Q219" s="1"/>
  <c r="Q220" s="1"/>
  <c r="Q221" s="1"/>
  <c r="F61" i="18"/>
  <c r="H61" s="1"/>
  <c r="BG10" s="1"/>
  <c r="D63"/>
  <c r="E64"/>
  <c r="BD15"/>
  <c r="BK15"/>
  <c r="AW15"/>
  <c r="AK31"/>
  <c r="X16"/>
  <c r="AP15"/>
  <c r="A14" i="17"/>
  <c r="B13"/>
  <c r="L13" s="1"/>
  <c r="O12"/>
  <c r="P12" s="1"/>
  <c r="M13"/>
  <c r="C14"/>
  <c r="AC10" i="18"/>
  <c r="AL720" s="1"/>
  <c r="AB10"/>
  <c r="AL619" s="1"/>
  <c r="AA10"/>
  <c r="AL518" s="1"/>
  <c r="Z10"/>
  <c r="AL417" s="1"/>
  <c r="N19" i="17"/>
  <c r="F32" i="1"/>
  <c r="G32" s="1"/>
  <c r="F24"/>
  <c r="G24" s="1"/>
  <c r="F28"/>
  <c r="G28" s="1"/>
  <c r="E28"/>
  <c r="F13"/>
  <c r="AB47" i="26" l="1"/>
  <c r="AE47" s="1"/>
  <c r="T47"/>
  <c r="W47" s="1"/>
  <c r="L47"/>
  <c r="O47" s="1"/>
  <c r="D47"/>
  <c r="G47" s="1"/>
  <c r="A48"/>
  <c r="I48"/>
  <c r="Q48"/>
  <c r="Y49"/>
  <c r="AL6" i="18"/>
  <c r="AL46"/>
  <c r="BG142"/>
  <c r="AS2"/>
  <c r="AL24"/>
  <c r="AZ93"/>
  <c r="AZ177"/>
  <c r="AL14"/>
  <c r="AZ128"/>
  <c r="AZ117"/>
  <c r="AL56"/>
  <c r="AL71"/>
  <c r="AS96"/>
  <c r="AL32"/>
  <c r="AL42"/>
  <c r="AL12"/>
  <c r="AL74"/>
  <c r="AS85"/>
  <c r="BG135"/>
  <c r="AL20"/>
  <c r="AL19"/>
  <c r="AZ28"/>
  <c r="AZ203"/>
  <c r="AL44"/>
  <c r="AL31"/>
  <c r="AS47"/>
  <c r="BG166"/>
  <c r="BG149"/>
  <c r="AL92"/>
  <c r="AL63"/>
  <c r="AZ27"/>
  <c r="AZ112"/>
  <c r="AL15"/>
  <c r="AL55"/>
  <c r="AL99"/>
  <c r="AS73"/>
  <c r="AS15"/>
  <c r="AS64"/>
  <c r="BG126"/>
  <c r="AZ165"/>
  <c r="AZ132"/>
  <c r="AL48"/>
  <c r="AL28"/>
  <c r="AL10"/>
  <c r="AL66"/>
  <c r="AL23"/>
  <c r="AL67"/>
  <c r="AZ12"/>
  <c r="AS63"/>
  <c r="AZ29"/>
  <c r="AZ120"/>
  <c r="BG190"/>
  <c r="AZ185"/>
  <c r="AZ174"/>
  <c r="AL22"/>
  <c r="AL82"/>
  <c r="AL35"/>
  <c r="AL79"/>
  <c r="AS9"/>
  <c r="AZ44"/>
  <c r="AZ43"/>
  <c r="AZ144"/>
  <c r="AZ121"/>
  <c r="BG199"/>
  <c r="AL185"/>
  <c r="AL80"/>
  <c r="AL60"/>
  <c r="AL26"/>
  <c r="AL98"/>
  <c r="AL39"/>
  <c r="AL83"/>
  <c r="AS17"/>
  <c r="BG11"/>
  <c r="AZ75"/>
  <c r="AZ160"/>
  <c r="AZ129"/>
  <c r="BG148"/>
  <c r="AS126"/>
  <c r="AL52"/>
  <c r="AL88"/>
  <c r="AL76"/>
  <c r="AL30"/>
  <c r="AL3"/>
  <c r="AL47"/>
  <c r="AL87"/>
  <c r="AS33"/>
  <c r="BG75"/>
  <c r="AZ91"/>
  <c r="AZ192"/>
  <c r="AZ133"/>
  <c r="AS163"/>
  <c r="AL163"/>
  <c r="AL64"/>
  <c r="AL16"/>
  <c r="AL96"/>
  <c r="AL84"/>
  <c r="AL38"/>
  <c r="AL7"/>
  <c r="AL51"/>
  <c r="AL95"/>
  <c r="AS65"/>
  <c r="AL2"/>
  <c r="BG78"/>
  <c r="BG110"/>
  <c r="AZ145"/>
  <c r="AS187"/>
  <c r="BG14"/>
  <c r="AS41"/>
  <c r="AZ76"/>
  <c r="AS79"/>
  <c r="AS32"/>
  <c r="AS150"/>
  <c r="AS49"/>
  <c r="AZ92"/>
  <c r="AZ11"/>
  <c r="AS48"/>
  <c r="BG118"/>
  <c r="AZ161"/>
  <c r="AZ201"/>
  <c r="AS155"/>
  <c r="AZ139"/>
  <c r="AL169"/>
  <c r="AZ143"/>
  <c r="AS123"/>
  <c r="AZ169"/>
  <c r="BG167"/>
  <c r="AS179"/>
  <c r="AZ110"/>
  <c r="AS118"/>
  <c r="AZ163"/>
  <c r="AZ186"/>
  <c r="AZ13"/>
  <c r="AZ152"/>
  <c r="BG174"/>
  <c r="AZ137"/>
  <c r="AZ181"/>
  <c r="BG132"/>
  <c r="AS195"/>
  <c r="BG106"/>
  <c r="AS134"/>
  <c r="AZ146"/>
  <c r="AS4"/>
  <c r="AZ61"/>
  <c r="BG182"/>
  <c r="AZ176"/>
  <c r="AZ105"/>
  <c r="AZ149"/>
  <c r="AZ193"/>
  <c r="BG164"/>
  <c r="AZ164"/>
  <c r="BG181"/>
  <c r="AS166"/>
  <c r="AL168"/>
  <c r="AS12"/>
  <c r="AZ77"/>
  <c r="BG198"/>
  <c r="AZ184"/>
  <c r="AZ113"/>
  <c r="AZ153"/>
  <c r="AZ197"/>
  <c r="BG196"/>
  <c r="AZ196"/>
  <c r="AL137"/>
  <c r="AS182"/>
  <c r="AL162"/>
  <c r="AL40"/>
  <c r="AL4"/>
  <c r="AL68"/>
  <c r="AL18"/>
  <c r="AL54"/>
  <c r="AL11"/>
  <c r="AL43"/>
  <c r="AL75"/>
  <c r="AS57"/>
  <c r="AZ60"/>
  <c r="AS31"/>
  <c r="AZ59"/>
  <c r="AS20"/>
  <c r="AZ45"/>
  <c r="AZ136"/>
  <c r="AZ200"/>
  <c r="AZ109"/>
  <c r="AZ141"/>
  <c r="AZ173"/>
  <c r="BG103"/>
  <c r="BG180"/>
  <c r="AS203"/>
  <c r="AZ142"/>
  <c r="AL153"/>
  <c r="AS142"/>
  <c r="AZ122"/>
  <c r="AS172"/>
  <c r="AL198"/>
  <c r="AS200"/>
  <c r="AZ115"/>
  <c r="AS145"/>
  <c r="AL166"/>
  <c r="AS143"/>
  <c r="AS131"/>
  <c r="AL109"/>
  <c r="BG194"/>
  <c r="AS129"/>
  <c r="AL134"/>
  <c r="AS111"/>
  <c r="AL135"/>
  <c r="BG170"/>
  <c r="AL201"/>
  <c r="BG161"/>
  <c r="AS113"/>
  <c r="AL196"/>
  <c r="AL159"/>
  <c r="AL138"/>
  <c r="AL72"/>
  <c r="AL36"/>
  <c r="AL100"/>
  <c r="AL34"/>
  <c r="AL90"/>
  <c r="AL27"/>
  <c r="AL59"/>
  <c r="AL91"/>
  <c r="AS25"/>
  <c r="AS101"/>
  <c r="BG43"/>
  <c r="AS95"/>
  <c r="BG46"/>
  <c r="AS80"/>
  <c r="AZ104"/>
  <c r="AZ168"/>
  <c r="BG158"/>
  <c r="AZ125"/>
  <c r="AZ157"/>
  <c r="AZ189"/>
  <c r="BG116"/>
  <c r="AS171"/>
  <c r="BG155"/>
  <c r="BG117"/>
  <c r="AS110"/>
  <c r="AS198"/>
  <c r="BG121"/>
  <c r="AL195"/>
  <c r="AL132"/>
  <c r="AL113"/>
  <c r="AL112"/>
  <c r="BG171"/>
  <c r="AL131"/>
  <c r="AL104"/>
  <c r="AL188"/>
  <c r="AL122"/>
  <c r="AZ103"/>
  <c r="AL115"/>
  <c r="AZ130"/>
  <c r="AL160"/>
  <c r="AL151"/>
  <c r="BG151"/>
  <c r="BG108"/>
  <c r="BG140"/>
  <c r="BG172"/>
  <c r="AS151"/>
  <c r="AS167"/>
  <c r="AS183"/>
  <c r="AS199"/>
  <c r="AZ148"/>
  <c r="BG123"/>
  <c r="AZ171"/>
  <c r="AZ126"/>
  <c r="AZ190"/>
  <c r="BG202"/>
  <c r="BG165"/>
  <c r="AL145"/>
  <c r="AL177"/>
  <c r="AS106"/>
  <c r="AS122"/>
  <c r="AS138"/>
  <c r="AS158"/>
  <c r="AS190"/>
  <c r="AZ175"/>
  <c r="BG147"/>
  <c r="BG130"/>
  <c r="BG193"/>
  <c r="BG115"/>
  <c r="AS188"/>
  <c r="AS137"/>
  <c r="AS105"/>
  <c r="AL147"/>
  <c r="AL107"/>
  <c r="AL150"/>
  <c r="AL164"/>
  <c r="AL136"/>
  <c r="BG134"/>
  <c r="AS127"/>
  <c r="AL129"/>
  <c r="AL130"/>
  <c r="BG137"/>
  <c r="AL199"/>
  <c r="AL140"/>
  <c r="AL125"/>
  <c r="AL144"/>
  <c r="BG159"/>
  <c r="BG112"/>
  <c r="BG144"/>
  <c r="BG176"/>
  <c r="AS153"/>
  <c r="AS169"/>
  <c r="AS185"/>
  <c r="AS201"/>
  <c r="AZ156"/>
  <c r="BG139"/>
  <c r="AZ187"/>
  <c r="AZ134"/>
  <c r="AZ198"/>
  <c r="BG109"/>
  <c r="BG173"/>
  <c r="AL149"/>
  <c r="AL181"/>
  <c r="AS108"/>
  <c r="AS124"/>
  <c r="AS140"/>
  <c r="AS162"/>
  <c r="AS194"/>
  <c r="AZ191"/>
  <c r="AZ106"/>
  <c r="BG162"/>
  <c r="BG153"/>
  <c r="AZ147"/>
  <c r="AS180"/>
  <c r="AS133"/>
  <c r="AL203"/>
  <c r="AL139"/>
  <c r="AL103"/>
  <c r="AL142"/>
  <c r="AL148"/>
  <c r="AL120"/>
  <c r="AZ151"/>
  <c r="AS119"/>
  <c r="AL121"/>
  <c r="AL114"/>
  <c r="AZ162"/>
  <c r="AL167"/>
  <c r="AL176"/>
  <c r="AL186"/>
  <c r="BG201"/>
  <c r="BG111"/>
  <c r="BG175"/>
  <c r="BG120"/>
  <c r="BG152"/>
  <c r="BG184"/>
  <c r="AS157"/>
  <c r="AS173"/>
  <c r="AS189"/>
  <c r="AZ108"/>
  <c r="AZ172"/>
  <c r="BG187"/>
  <c r="BG131"/>
  <c r="AZ150"/>
  <c r="BG122"/>
  <c r="BG125"/>
  <c r="BG189"/>
  <c r="AL157"/>
  <c r="AL189"/>
  <c r="AS112"/>
  <c r="AS128"/>
  <c r="AS144"/>
  <c r="AS170"/>
  <c r="AS202"/>
  <c r="BG150"/>
  <c r="AZ138"/>
  <c r="BG113"/>
  <c r="BG178"/>
  <c r="AZ199"/>
  <c r="AS164"/>
  <c r="AS125"/>
  <c r="AL187"/>
  <c r="AL127"/>
  <c r="AL190"/>
  <c r="AL126"/>
  <c r="AL116"/>
  <c r="BG169"/>
  <c r="AS184"/>
  <c r="AS103"/>
  <c r="AL105"/>
  <c r="AL156"/>
  <c r="AZ119"/>
  <c r="AL117"/>
  <c r="BG146"/>
  <c r="AL108"/>
  <c r="AS107"/>
  <c r="BG119"/>
  <c r="BG183"/>
  <c r="BG124"/>
  <c r="BG156"/>
  <c r="BG188"/>
  <c r="AS159"/>
  <c r="AS175"/>
  <c r="AS191"/>
  <c r="AZ116"/>
  <c r="AZ180"/>
  <c r="AZ107"/>
  <c r="BG163"/>
  <c r="AZ158"/>
  <c r="BG138"/>
  <c r="BG133"/>
  <c r="BG197"/>
  <c r="AL161"/>
  <c r="AL193"/>
  <c r="AS114"/>
  <c r="AS130"/>
  <c r="AS146"/>
  <c r="AS174"/>
  <c r="AZ111"/>
  <c r="BG203"/>
  <c r="AZ154"/>
  <c r="BG129"/>
  <c r="BG114"/>
  <c r="AZ167"/>
  <c r="AS156"/>
  <c r="AS121"/>
  <c r="AL179"/>
  <c r="AL123"/>
  <c r="AL182"/>
  <c r="AL118"/>
  <c r="AL200"/>
  <c r="BG105"/>
  <c r="AS168"/>
  <c r="AL191"/>
  <c r="AL194"/>
  <c r="AL124"/>
  <c r="AS176"/>
  <c r="AL202"/>
  <c r="AZ183"/>
  <c r="BG179"/>
  <c r="AL172"/>
  <c r="BG127"/>
  <c r="BG191"/>
  <c r="BG128"/>
  <c r="BG160"/>
  <c r="BG192"/>
  <c r="AS161"/>
  <c r="AS177"/>
  <c r="AS193"/>
  <c r="AZ124"/>
  <c r="AZ188"/>
  <c r="AZ123"/>
  <c r="BG195"/>
  <c r="AZ166"/>
  <c r="BG154"/>
  <c r="BG141"/>
  <c r="AL133"/>
  <c r="AL165"/>
  <c r="AL197"/>
  <c r="AS116"/>
  <c r="AS132"/>
  <c r="AS148"/>
  <c r="AS178"/>
  <c r="AZ127"/>
  <c r="AZ131"/>
  <c r="AZ170"/>
  <c r="BG145"/>
  <c r="AZ178"/>
  <c r="AZ135"/>
  <c r="AS149"/>
  <c r="AS117"/>
  <c r="AL171"/>
  <c r="AL119"/>
  <c r="AL174"/>
  <c r="AL110"/>
  <c r="AL184"/>
  <c r="AZ194"/>
  <c r="AS152"/>
  <c r="AL175"/>
  <c r="AL178"/>
  <c r="AL192"/>
  <c r="AS147"/>
  <c r="AL170"/>
  <c r="AS160"/>
  <c r="AS139"/>
  <c r="AS192"/>
  <c r="BG143"/>
  <c r="BG104"/>
  <c r="BG136"/>
  <c r="BG168"/>
  <c r="BG200"/>
  <c r="AS165"/>
  <c r="AS181"/>
  <c r="AS197"/>
  <c r="AZ140"/>
  <c r="BG107"/>
  <c r="AZ155"/>
  <c r="AZ118"/>
  <c r="AZ182"/>
  <c r="BG186"/>
  <c r="BG157"/>
  <c r="AL141"/>
  <c r="AL173"/>
  <c r="AS104"/>
  <c r="AS120"/>
  <c r="AS136"/>
  <c r="AS154"/>
  <c r="AS186"/>
  <c r="AZ159"/>
  <c r="AZ195"/>
  <c r="AZ202"/>
  <c r="BG177"/>
  <c r="AZ114"/>
  <c r="AS196"/>
  <c r="AS141"/>
  <c r="AS109"/>
  <c r="AL155"/>
  <c r="AL111"/>
  <c r="AL158"/>
  <c r="AL180"/>
  <c r="AL152"/>
  <c r="AZ179"/>
  <c r="AS135"/>
  <c r="AL143"/>
  <c r="AL146"/>
  <c r="AL128"/>
  <c r="AS115"/>
  <c r="AL106"/>
  <c r="AL183"/>
  <c r="AL154"/>
  <c r="BG185"/>
  <c r="BG26"/>
  <c r="AZ101"/>
  <c r="AZ85"/>
  <c r="AZ69"/>
  <c r="AZ53"/>
  <c r="AZ37"/>
  <c r="AZ21"/>
  <c r="AZ5"/>
  <c r="AS88"/>
  <c r="AS72"/>
  <c r="AS56"/>
  <c r="AS40"/>
  <c r="AS24"/>
  <c r="AS16"/>
  <c r="AS8"/>
  <c r="BG94"/>
  <c r="BG62"/>
  <c r="BG30"/>
  <c r="AZ99"/>
  <c r="AZ83"/>
  <c r="AZ67"/>
  <c r="AZ51"/>
  <c r="AZ35"/>
  <c r="AZ19"/>
  <c r="AZ3"/>
  <c r="AS87"/>
  <c r="AS71"/>
  <c r="AS55"/>
  <c r="AS39"/>
  <c r="AS23"/>
  <c r="AS7"/>
  <c r="BG91"/>
  <c r="BG59"/>
  <c r="BG27"/>
  <c r="AZ100"/>
  <c r="AZ84"/>
  <c r="AZ68"/>
  <c r="AZ52"/>
  <c r="AZ36"/>
  <c r="AZ20"/>
  <c r="AZ4"/>
  <c r="AS93"/>
  <c r="AS77"/>
  <c r="AS69"/>
  <c r="AS61"/>
  <c r="AS53"/>
  <c r="AS45"/>
  <c r="AS37"/>
  <c r="AS29"/>
  <c r="AS21"/>
  <c r="AS13"/>
  <c r="AS5"/>
  <c r="AL101"/>
  <c r="AL97"/>
  <c r="AL93"/>
  <c r="AL89"/>
  <c r="AL85"/>
  <c r="AL81"/>
  <c r="AL77"/>
  <c r="AL73"/>
  <c r="AL69"/>
  <c r="AL65"/>
  <c r="AL61"/>
  <c r="AL57"/>
  <c r="AL53"/>
  <c r="AL49"/>
  <c r="AL45"/>
  <c r="AL41"/>
  <c r="AL37"/>
  <c r="AL33"/>
  <c r="AL29"/>
  <c r="AL25"/>
  <c r="AL21"/>
  <c r="AL17"/>
  <c r="AL13"/>
  <c r="AL9"/>
  <c r="AL5"/>
  <c r="AL102"/>
  <c r="AL94"/>
  <c r="AL86"/>
  <c r="AL78"/>
  <c r="AL70"/>
  <c r="AL58"/>
  <c r="AL50"/>
  <c r="BG34"/>
  <c r="BG18"/>
  <c r="BG2"/>
  <c r="AZ97"/>
  <c r="AZ89"/>
  <c r="AZ81"/>
  <c r="AZ73"/>
  <c r="AZ65"/>
  <c r="AZ57"/>
  <c r="AZ49"/>
  <c r="AZ41"/>
  <c r="AZ33"/>
  <c r="AZ25"/>
  <c r="AZ17"/>
  <c r="AZ9"/>
  <c r="AS100"/>
  <c r="AS92"/>
  <c r="AS84"/>
  <c r="AS76"/>
  <c r="AS68"/>
  <c r="AS60"/>
  <c r="AS52"/>
  <c r="AS44"/>
  <c r="AS36"/>
  <c r="AS28"/>
  <c r="AS22"/>
  <c r="AS18"/>
  <c r="AS14"/>
  <c r="AS10"/>
  <c r="AS6"/>
  <c r="BG99"/>
  <c r="BG83"/>
  <c r="BG67"/>
  <c r="BG51"/>
  <c r="BG35"/>
  <c r="BG19"/>
  <c r="BG3"/>
  <c r="AZ96"/>
  <c r="AZ88"/>
  <c r="AZ80"/>
  <c r="AZ72"/>
  <c r="AZ64"/>
  <c r="AZ56"/>
  <c r="AZ48"/>
  <c r="AZ40"/>
  <c r="AZ32"/>
  <c r="AZ24"/>
  <c r="AZ16"/>
  <c r="AZ8"/>
  <c r="AS99"/>
  <c r="AS91"/>
  <c r="AS83"/>
  <c r="AS75"/>
  <c r="AS67"/>
  <c r="AS59"/>
  <c r="AS51"/>
  <c r="AS43"/>
  <c r="AS35"/>
  <c r="AS27"/>
  <c r="AS19"/>
  <c r="AS11"/>
  <c r="AS3"/>
  <c r="BG102"/>
  <c r="BG86"/>
  <c r="BG70"/>
  <c r="BG54"/>
  <c r="BG38"/>
  <c r="BG22"/>
  <c r="BG6"/>
  <c r="AZ95"/>
  <c r="AZ87"/>
  <c r="AZ79"/>
  <c r="AZ71"/>
  <c r="AZ63"/>
  <c r="AZ55"/>
  <c r="AZ47"/>
  <c r="AZ39"/>
  <c r="AZ31"/>
  <c r="AZ23"/>
  <c r="AZ15"/>
  <c r="AZ7"/>
  <c r="AZ2"/>
  <c r="AS97"/>
  <c r="AS89"/>
  <c r="AS81"/>
  <c r="I99"/>
  <c r="M213" i="26" s="1"/>
  <c r="M214" s="1"/>
  <c r="M215" s="1"/>
  <c r="M216" s="1"/>
  <c r="M217" s="1"/>
  <c r="M218" s="1"/>
  <c r="M219" s="1"/>
  <c r="M220" s="1"/>
  <c r="M221" s="1"/>
  <c r="AL8" i="18"/>
  <c r="BG100"/>
  <c r="BG96"/>
  <c r="BG92"/>
  <c r="BG88"/>
  <c r="BG84"/>
  <c r="BG80"/>
  <c r="BG76"/>
  <c r="BG72"/>
  <c r="BG68"/>
  <c r="BG64"/>
  <c r="BG60"/>
  <c r="BG56"/>
  <c r="BG52"/>
  <c r="BG48"/>
  <c r="BG44"/>
  <c r="BG40"/>
  <c r="BG36"/>
  <c r="BG32"/>
  <c r="BG28"/>
  <c r="BG24"/>
  <c r="BG20"/>
  <c r="BG16"/>
  <c r="BG12"/>
  <c r="BG8"/>
  <c r="BG4"/>
  <c r="BG95"/>
  <c r="BG87"/>
  <c r="BG79"/>
  <c r="BG71"/>
  <c r="BG63"/>
  <c r="BG55"/>
  <c r="BG47"/>
  <c r="BG39"/>
  <c r="BG31"/>
  <c r="BG23"/>
  <c r="BG15"/>
  <c r="BG7"/>
  <c r="AZ102"/>
  <c r="AZ98"/>
  <c r="AZ94"/>
  <c r="AZ90"/>
  <c r="AZ86"/>
  <c r="AZ82"/>
  <c r="AZ78"/>
  <c r="AZ74"/>
  <c r="AZ70"/>
  <c r="AZ66"/>
  <c r="AZ62"/>
  <c r="AZ58"/>
  <c r="AZ54"/>
  <c r="AZ50"/>
  <c r="AZ46"/>
  <c r="AZ42"/>
  <c r="AZ38"/>
  <c r="AZ34"/>
  <c r="AZ30"/>
  <c r="AZ26"/>
  <c r="AZ22"/>
  <c r="AZ18"/>
  <c r="AZ14"/>
  <c r="AZ10"/>
  <c r="AZ6"/>
  <c r="AS102"/>
  <c r="AS98"/>
  <c r="AS94"/>
  <c r="AS90"/>
  <c r="AS86"/>
  <c r="AS82"/>
  <c r="AS78"/>
  <c r="AS74"/>
  <c r="AS70"/>
  <c r="AS66"/>
  <c r="AS62"/>
  <c r="AS58"/>
  <c r="AS54"/>
  <c r="AS50"/>
  <c r="AS46"/>
  <c r="AS42"/>
  <c r="AS38"/>
  <c r="AS34"/>
  <c r="AS30"/>
  <c r="AS26"/>
  <c r="AL62"/>
  <c r="BG101"/>
  <c r="BG97"/>
  <c r="BG93"/>
  <c r="BG89"/>
  <c r="BG85"/>
  <c r="BG81"/>
  <c r="BG77"/>
  <c r="BG73"/>
  <c r="BG69"/>
  <c r="BG65"/>
  <c r="BG61"/>
  <c r="BG57"/>
  <c r="BG53"/>
  <c r="BG49"/>
  <c r="BG45"/>
  <c r="BG41"/>
  <c r="BG37"/>
  <c r="BG33"/>
  <c r="BG29"/>
  <c r="BG25"/>
  <c r="BG21"/>
  <c r="BG17"/>
  <c r="BG13"/>
  <c r="BG9"/>
  <c r="BG5"/>
  <c r="BG98"/>
  <c r="BG90"/>
  <c r="BG82"/>
  <c r="BG74"/>
  <c r="BG66"/>
  <c r="BG58"/>
  <c r="BG50"/>
  <c r="BG42"/>
  <c r="D64"/>
  <c r="H64" s="1"/>
  <c r="H63"/>
  <c r="I101" s="1"/>
  <c r="U213" i="26" s="1"/>
  <c r="U214" s="1"/>
  <c r="U215" s="1"/>
  <c r="U216" s="1"/>
  <c r="U217" s="1"/>
  <c r="U218" s="1"/>
  <c r="U219" s="1"/>
  <c r="U220" s="1"/>
  <c r="U221" s="1"/>
  <c r="J100" i="18"/>
  <c r="AK32"/>
  <c r="BK16"/>
  <c r="BD16"/>
  <c r="AW16"/>
  <c r="X17"/>
  <c r="AP16"/>
  <c r="O13" i="17"/>
  <c r="P13" s="1"/>
  <c r="Y12" i="18" s="1"/>
  <c r="M14" i="17"/>
  <c r="C15"/>
  <c r="Y11" i="18"/>
  <c r="Z11" s="1"/>
  <c r="AL418" s="1"/>
  <c r="B14" i="17"/>
  <c r="L14" s="1"/>
  <c r="A15"/>
  <c r="N20"/>
  <c r="Q49" i="26" l="1"/>
  <c r="AB48"/>
  <c r="AE48" s="1"/>
  <c r="T48"/>
  <c r="W48" s="1"/>
  <c r="L48"/>
  <c r="O48" s="1"/>
  <c r="D48"/>
  <c r="G48" s="1"/>
  <c r="A49"/>
  <c r="Y50"/>
  <c r="I49"/>
  <c r="J99" i="18"/>
  <c r="AL353"/>
  <c r="AL349"/>
  <c r="AS390"/>
  <c r="AL373"/>
  <c r="AL398"/>
  <c r="AS374"/>
  <c r="BG326"/>
  <c r="AL397"/>
  <c r="AL316"/>
  <c r="AS323"/>
  <c r="AZ394"/>
  <c r="AZ323"/>
  <c r="AZ381"/>
  <c r="BG346"/>
  <c r="BG391"/>
  <c r="BG361"/>
  <c r="BG345"/>
  <c r="BG329"/>
  <c r="BG313"/>
  <c r="BG374"/>
  <c r="AZ379"/>
  <c r="AZ347"/>
  <c r="AZ314"/>
  <c r="AZ380"/>
  <c r="AZ319"/>
  <c r="AS381"/>
  <c r="AS349"/>
  <c r="AS317"/>
  <c r="AZ390"/>
  <c r="AZ325"/>
  <c r="AS384"/>
  <c r="AS352"/>
  <c r="AS320"/>
  <c r="AL388"/>
  <c r="AL356"/>
  <c r="AL357"/>
  <c r="AL393"/>
  <c r="AL359"/>
  <c r="AL314"/>
  <c r="AL354"/>
  <c r="AS319"/>
  <c r="AS383"/>
  <c r="AZ338"/>
  <c r="AZ370"/>
  <c r="AZ402"/>
  <c r="AS306"/>
  <c r="AS322"/>
  <c r="AS338"/>
  <c r="AS354"/>
  <c r="AS370"/>
  <c r="AS386"/>
  <c r="AS402"/>
  <c r="AZ331"/>
  <c r="AZ361"/>
  <c r="AZ392"/>
  <c r="BG400"/>
  <c r="AZ320"/>
  <c r="AZ336"/>
  <c r="AZ352"/>
  <c r="AZ369"/>
  <c r="AZ385"/>
  <c r="AZ401"/>
  <c r="BG386"/>
  <c r="BG308"/>
  <c r="BG316"/>
  <c r="BG324"/>
  <c r="BG332"/>
  <c r="BG340"/>
  <c r="BG348"/>
  <c r="BG356"/>
  <c r="BG365"/>
  <c r="BG381"/>
  <c r="BG397"/>
  <c r="BG372"/>
  <c r="AL350"/>
  <c r="BG334"/>
  <c r="AL403"/>
  <c r="AZ313"/>
  <c r="AZ340"/>
  <c r="AL305"/>
  <c r="AL363"/>
  <c r="AL358"/>
  <c r="AS387"/>
  <c r="AS350"/>
  <c r="AZ316"/>
  <c r="BG314"/>
  <c r="BG405"/>
  <c r="BG375"/>
  <c r="BG353"/>
  <c r="BG337"/>
  <c r="BG321"/>
  <c r="BG305"/>
  <c r="AZ395"/>
  <c r="AZ363"/>
  <c r="AZ330"/>
  <c r="BG376"/>
  <c r="AZ350"/>
  <c r="AS397"/>
  <c r="AS365"/>
  <c r="AS333"/>
  <c r="BG396"/>
  <c r="AZ357"/>
  <c r="AS400"/>
  <c r="AS368"/>
  <c r="AS336"/>
  <c r="AL404"/>
  <c r="AL372"/>
  <c r="AL340"/>
  <c r="AL361"/>
  <c r="AL327"/>
  <c r="AL391"/>
  <c r="AL330"/>
  <c r="AL386"/>
  <c r="AS351"/>
  <c r="AZ305"/>
  <c r="AZ354"/>
  <c r="AZ386"/>
  <c r="BG388"/>
  <c r="AS314"/>
  <c r="AS330"/>
  <c r="AS346"/>
  <c r="AS362"/>
  <c r="AS378"/>
  <c r="AS394"/>
  <c r="AZ315"/>
  <c r="AZ345"/>
  <c r="AZ376"/>
  <c r="BG368"/>
  <c r="AZ312"/>
  <c r="AZ328"/>
  <c r="AZ344"/>
  <c r="AZ360"/>
  <c r="AZ377"/>
  <c r="AZ393"/>
  <c r="BG370"/>
  <c r="BG402"/>
  <c r="BG312"/>
  <c r="BG320"/>
  <c r="BG328"/>
  <c r="BG336"/>
  <c r="BG344"/>
  <c r="BG352"/>
  <c r="BG360"/>
  <c r="BG373"/>
  <c r="BG389"/>
  <c r="I102"/>
  <c r="AS358"/>
  <c r="AL382"/>
  <c r="AZ389"/>
  <c r="AL355"/>
  <c r="AZ346"/>
  <c r="AZ356"/>
  <c r="AL317"/>
  <c r="AL339"/>
  <c r="AL336"/>
  <c r="AS347"/>
  <c r="AS310"/>
  <c r="AZ368"/>
  <c r="AZ405"/>
  <c r="BG358"/>
  <c r="AL365"/>
  <c r="AL331"/>
  <c r="AL395"/>
  <c r="AL332"/>
  <c r="AL390"/>
  <c r="AS355"/>
  <c r="AZ329"/>
  <c r="AS318"/>
  <c r="AS382"/>
  <c r="AZ384"/>
  <c r="AZ348"/>
  <c r="BG378"/>
  <c r="BG330"/>
  <c r="BG362"/>
  <c r="BG399"/>
  <c r="BG383"/>
  <c r="BG367"/>
  <c r="BG357"/>
  <c r="BG349"/>
  <c r="BG341"/>
  <c r="BG333"/>
  <c r="BG325"/>
  <c r="BG317"/>
  <c r="BG309"/>
  <c r="BG390"/>
  <c r="AZ403"/>
  <c r="AZ387"/>
  <c r="AZ371"/>
  <c r="AZ355"/>
  <c r="AZ339"/>
  <c r="AZ322"/>
  <c r="AZ306"/>
  <c r="AZ396"/>
  <c r="AZ364"/>
  <c r="AZ334"/>
  <c r="AS405"/>
  <c r="AS389"/>
  <c r="AS373"/>
  <c r="AS357"/>
  <c r="AS341"/>
  <c r="AS325"/>
  <c r="AS309"/>
  <c r="BG364"/>
  <c r="AZ374"/>
  <c r="AZ341"/>
  <c r="AZ309"/>
  <c r="AS392"/>
  <c r="AS376"/>
  <c r="AS360"/>
  <c r="AS344"/>
  <c r="AS328"/>
  <c r="AS312"/>
  <c r="AL396"/>
  <c r="AL380"/>
  <c r="AL364"/>
  <c r="AL348"/>
  <c r="AL325"/>
  <c r="AL329"/>
  <c r="AL377"/>
  <c r="AL311"/>
  <c r="AL343"/>
  <c r="AL375"/>
  <c r="AL306"/>
  <c r="AL322"/>
  <c r="AL338"/>
  <c r="AL370"/>
  <c r="AL402"/>
  <c r="AS335"/>
  <c r="AS367"/>
  <c r="AS399"/>
  <c r="AZ321"/>
  <c r="AS248"/>
  <c r="AL215"/>
  <c r="AL254"/>
  <c r="AL226"/>
  <c r="AS210"/>
  <c r="BG302"/>
  <c r="AL281"/>
  <c r="AL291"/>
  <c r="AS226"/>
  <c r="AS286"/>
  <c r="AL224"/>
  <c r="AL210"/>
  <c r="AL207"/>
  <c r="AL243"/>
  <c r="AL238"/>
  <c r="AL302"/>
  <c r="AS234"/>
  <c r="AZ228"/>
  <c r="AZ247"/>
  <c r="BG270"/>
  <c r="AL245"/>
  <c r="AL253"/>
  <c r="AL218"/>
  <c r="AL265"/>
  <c r="AL211"/>
  <c r="AL227"/>
  <c r="AL251"/>
  <c r="AL283"/>
  <c r="AL246"/>
  <c r="AL278"/>
  <c r="AS206"/>
  <c r="AS222"/>
  <c r="AS240"/>
  <c r="AS272"/>
  <c r="AZ261"/>
  <c r="AS270"/>
  <c r="BG211"/>
  <c r="BG208"/>
  <c r="BG286"/>
  <c r="AL216"/>
  <c r="AL261"/>
  <c r="AL220"/>
  <c r="AL269"/>
  <c r="AL206"/>
  <c r="AL222"/>
  <c r="AL241"/>
  <c r="AL273"/>
  <c r="AL205"/>
  <c r="AL213"/>
  <c r="AL221"/>
  <c r="AL229"/>
  <c r="AL239"/>
  <c r="AL255"/>
  <c r="AL271"/>
  <c r="AL287"/>
  <c r="AL303"/>
  <c r="AL250"/>
  <c r="AL266"/>
  <c r="AL282"/>
  <c r="AL298"/>
  <c r="AS208"/>
  <c r="AS216"/>
  <c r="AS224"/>
  <c r="AS232"/>
  <c r="AS244"/>
  <c r="AS260"/>
  <c r="AS279"/>
  <c r="AZ212"/>
  <c r="AZ277"/>
  <c r="AS246"/>
  <c r="AS278"/>
  <c r="AZ219"/>
  <c r="AZ214"/>
  <c r="AZ278"/>
  <c r="BG224"/>
  <c r="BG262"/>
  <c r="BG298"/>
  <c r="BG282"/>
  <c r="BG266"/>
  <c r="BG250"/>
  <c r="BG232"/>
  <c r="BG231"/>
  <c r="AZ286"/>
  <c r="AZ254"/>
  <c r="AZ222"/>
  <c r="AL277"/>
  <c r="AL259"/>
  <c r="AL285"/>
  <c r="AL286"/>
  <c r="BG238"/>
  <c r="AL249"/>
  <c r="AL275"/>
  <c r="AS218"/>
  <c r="AS254"/>
  <c r="AL208"/>
  <c r="AL301"/>
  <c r="AL297"/>
  <c r="AL235"/>
  <c r="AL299"/>
  <c r="AL294"/>
  <c r="AS230"/>
  <c r="AS303"/>
  <c r="AS302"/>
  <c r="BG254"/>
  <c r="AL232"/>
  <c r="AL237"/>
  <c r="AL214"/>
  <c r="AL257"/>
  <c r="AL209"/>
  <c r="AL225"/>
  <c r="AL247"/>
  <c r="AL279"/>
  <c r="AL242"/>
  <c r="AL274"/>
  <c r="AS204"/>
  <c r="AS220"/>
  <c r="AS236"/>
  <c r="AS268"/>
  <c r="AZ245"/>
  <c r="AS262"/>
  <c r="AZ279"/>
  <c r="BG215"/>
  <c r="BG278"/>
  <c r="BG274"/>
  <c r="BG242"/>
  <c r="AZ302"/>
  <c r="AZ238"/>
  <c r="AZ295"/>
  <c r="AZ232"/>
  <c r="AS298"/>
  <c r="AS282"/>
  <c r="AS266"/>
  <c r="AS250"/>
  <c r="BG235"/>
  <c r="AZ285"/>
  <c r="AZ253"/>
  <c r="AZ220"/>
  <c r="AS299"/>
  <c r="AS283"/>
  <c r="AS271"/>
  <c r="AS263"/>
  <c r="AS255"/>
  <c r="AS247"/>
  <c r="AS239"/>
  <c r="AS233"/>
  <c r="AS229"/>
  <c r="AS225"/>
  <c r="AS221"/>
  <c r="AS217"/>
  <c r="AS213"/>
  <c r="AS209"/>
  <c r="AS205"/>
  <c r="AL300"/>
  <c r="AL292"/>
  <c r="AL284"/>
  <c r="AL276"/>
  <c r="AL268"/>
  <c r="AL260"/>
  <c r="AL252"/>
  <c r="AL244"/>
  <c r="AL236"/>
  <c r="BG301"/>
  <c r="BG297"/>
  <c r="BG293"/>
  <c r="BG289"/>
  <c r="BG285"/>
  <c r="BG281"/>
  <c r="BG277"/>
  <c r="BG273"/>
  <c r="BG269"/>
  <c r="BG294"/>
  <c r="AZ293"/>
  <c r="AS287"/>
  <c r="AL223"/>
  <c r="AS264"/>
  <c r="AL212"/>
  <c r="AL219"/>
  <c r="AL262"/>
  <c r="AS256"/>
  <c r="AZ262"/>
  <c r="AL204"/>
  <c r="AL230"/>
  <c r="AL217"/>
  <c r="AL263"/>
  <c r="AL258"/>
  <c r="AS212"/>
  <c r="AS252"/>
  <c r="BG219"/>
  <c r="AZ246"/>
  <c r="BG290"/>
  <c r="BG216"/>
  <c r="AZ206"/>
  <c r="AZ211"/>
  <c r="AS274"/>
  <c r="AS242"/>
  <c r="AZ269"/>
  <c r="AZ204"/>
  <c r="AS275"/>
  <c r="AS259"/>
  <c r="AS243"/>
  <c r="AS231"/>
  <c r="AS223"/>
  <c r="AS215"/>
  <c r="AS207"/>
  <c r="AL296"/>
  <c r="AL280"/>
  <c r="AL264"/>
  <c r="AL248"/>
  <c r="BG303"/>
  <c r="BG295"/>
  <c r="BG287"/>
  <c r="BG279"/>
  <c r="BG271"/>
  <c r="BG265"/>
  <c r="BG261"/>
  <c r="BG257"/>
  <c r="BG253"/>
  <c r="BG249"/>
  <c r="BG245"/>
  <c r="BG241"/>
  <c r="BG237"/>
  <c r="BG229"/>
  <c r="BG221"/>
  <c r="BG213"/>
  <c r="BG205"/>
  <c r="BG226"/>
  <c r="BG210"/>
  <c r="AZ300"/>
  <c r="AZ292"/>
  <c r="AZ284"/>
  <c r="AZ276"/>
  <c r="AZ268"/>
  <c r="AZ260"/>
  <c r="AZ252"/>
  <c r="AZ244"/>
  <c r="AZ237"/>
  <c r="AZ229"/>
  <c r="AZ221"/>
  <c r="AZ213"/>
  <c r="AZ205"/>
  <c r="BG206"/>
  <c r="AZ291"/>
  <c r="AZ275"/>
  <c r="AZ259"/>
  <c r="AZ243"/>
  <c r="AZ227"/>
  <c r="BG300"/>
  <c r="BG292"/>
  <c r="BG284"/>
  <c r="BG276"/>
  <c r="BG268"/>
  <c r="BG260"/>
  <c r="BG252"/>
  <c r="BG244"/>
  <c r="BG236"/>
  <c r="BG220"/>
  <c r="BG204"/>
  <c r="BG207"/>
  <c r="AZ290"/>
  <c r="AZ274"/>
  <c r="AZ258"/>
  <c r="AZ242"/>
  <c r="AZ226"/>
  <c r="AZ210"/>
  <c r="AZ303"/>
  <c r="AZ271"/>
  <c r="AZ240"/>
  <c r="AZ216"/>
  <c r="AS301"/>
  <c r="AS293"/>
  <c r="AS285"/>
  <c r="AS277"/>
  <c r="AS269"/>
  <c r="AS261"/>
  <c r="AS253"/>
  <c r="AS245"/>
  <c r="AS237"/>
  <c r="BG214"/>
  <c r="AZ289"/>
  <c r="AZ273"/>
  <c r="AZ257"/>
  <c r="AZ239"/>
  <c r="AZ223"/>
  <c r="AZ207"/>
  <c r="AS300"/>
  <c r="AS292"/>
  <c r="AS284"/>
  <c r="AS276"/>
  <c r="AZ230"/>
  <c r="AL231"/>
  <c r="AL228"/>
  <c r="AL270"/>
  <c r="AZ294"/>
  <c r="AL234"/>
  <c r="AL267"/>
  <c r="AS214"/>
  <c r="AS238"/>
  <c r="AL293"/>
  <c r="AL289"/>
  <c r="AL233"/>
  <c r="AL295"/>
  <c r="AL290"/>
  <c r="AS228"/>
  <c r="AS295"/>
  <c r="AS294"/>
  <c r="BG246"/>
  <c r="BG258"/>
  <c r="AZ270"/>
  <c r="AZ263"/>
  <c r="AS290"/>
  <c r="AS258"/>
  <c r="AZ301"/>
  <c r="AZ236"/>
  <c r="AS291"/>
  <c r="AS267"/>
  <c r="AS251"/>
  <c r="AS235"/>
  <c r="AS227"/>
  <c r="AS219"/>
  <c r="AS211"/>
  <c r="AL304"/>
  <c r="AL288"/>
  <c r="AL272"/>
  <c r="AL256"/>
  <c r="AL240"/>
  <c r="BG299"/>
  <c r="BG291"/>
  <c r="BG283"/>
  <c r="BG275"/>
  <c r="BG267"/>
  <c r="BG263"/>
  <c r="BG259"/>
  <c r="BG255"/>
  <c r="BG251"/>
  <c r="BG247"/>
  <c r="BG243"/>
  <c r="BG239"/>
  <c r="BG233"/>
  <c r="BG225"/>
  <c r="BG209"/>
  <c r="BG218"/>
  <c r="AZ296"/>
  <c r="AZ280"/>
  <c r="AZ264"/>
  <c r="AZ248"/>
  <c r="AZ233"/>
  <c r="AZ217"/>
  <c r="BG222"/>
  <c r="AZ283"/>
  <c r="AZ251"/>
  <c r="BG304"/>
  <c r="BG288"/>
  <c r="BG272"/>
  <c r="BG256"/>
  <c r="BG240"/>
  <c r="BG212"/>
  <c r="AZ298"/>
  <c r="AZ266"/>
  <c r="AZ234"/>
  <c r="BG227"/>
  <c r="AZ255"/>
  <c r="AZ208"/>
  <c r="AS289"/>
  <c r="AS273"/>
  <c r="AS257"/>
  <c r="AS241"/>
  <c r="AZ297"/>
  <c r="AZ265"/>
  <c r="AZ231"/>
  <c r="AS304"/>
  <c r="AS288"/>
  <c r="BG217"/>
  <c r="BG234"/>
  <c r="AZ304"/>
  <c r="AZ288"/>
  <c r="AZ272"/>
  <c r="AZ256"/>
  <c r="AZ241"/>
  <c r="AZ225"/>
  <c r="AZ209"/>
  <c r="AZ299"/>
  <c r="AZ267"/>
  <c r="AZ235"/>
  <c r="BG296"/>
  <c r="BG280"/>
  <c r="BG264"/>
  <c r="BG248"/>
  <c r="BG228"/>
  <c r="BG223"/>
  <c r="AZ282"/>
  <c r="AZ250"/>
  <c r="AZ218"/>
  <c r="AZ287"/>
  <c r="AZ224"/>
  <c r="AS297"/>
  <c r="AS281"/>
  <c r="AS265"/>
  <c r="AS249"/>
  <c r="BG230"/>
  <c r="AZ281"/>
  <c r="AZ249"/>
  <c r="AZ215"/>
  <c r="AS296"/>
  <c r="AS280"/>
  <c r="AZ324"/>
  <c r="AL405"/>
  <c r="BG401"/>
  <c r="AS395"/>
  <c r="AL328"/>
  <c r="BG318"/>
  <c r="AL323"/>
  <c r="BG393"/>
  <c r="AL387"/>
  <c r="AS331"/>
  <c r="AZ337"/>
  <c r="BG350"/>
  <c r="AL389"/>
  <c r="AL312"/>
  <c r="AS363"/>
  <c r="AS326"/>
  <c r="AZ400"/>
  <c r="BG394"/>
  <c r="BG369"/>
  <c r="AL321"/>
  <c r="AL307"/>
  <c r="AL371"/>
  <c r="AL320"/>
  <c r="AL366"/>
  <c r="AS315"/>
  <c r="AS379"/>
  <c r="AZ378"/>
  <c r="AS342"/>
  <c r="AZ307"/>
  <c r="AZ308"/>
  <c r="AZ373"/>
  <c r="BG310"/>
  <c r="BG342"/>
  <c r="BG385"/>
  <c r="AL333"/>
  <c r="AL337"/>
  <c r="AL381"/>
  <c r="AL315"/>
  <c r="AL347"/>
  <c r="AL379"/>
  <c r="AL308"/>
  <c r="AL324"/>
  <c r="AL342"/>
  <c r="AL374"/>
  <c r="AS307"/>
  <c r="AS339"/>
  <c r="AS371"/>
  <c r="AS403"/>
  <c r="AZ362"/>
  <c r="BG404"/>
  <c r="AS334"/>
  <c r="AS366"/>
  <c r="AS398"/>
  <c r="AZ353"/>
  <c r="BG384"/>
  <c r="AZ332"/>
  <c r="AZ365"/>
  <c r="AZ397"/>
  <c r="BG306"/>
  <c r="BG322"/>
  <c r="BG338"/>
  <c r="BG354"/>
  <c r="BG377"/>
  <c r="BG403"/>
  <c r="BG395"/>
  <c r="BG387"/>
  <c r="BG379"/>
  <c r="BG371"/>
  <c r="BG363"/>
  <c r="BG359"/>
  <c r="BG355"/>
  <c r="BG351"/>
  <c r="BG347"/>
  <c r="BG343"/>
  <c r="BG339"/>
  <c r="BG335"/>
  <c r="BG331"/>
  <c r="BG327"/>
  <c r="BG323"/>
  <c r="BG319"/>
  <c r="BG315"/>
  <c r="BG311"/>
  <c r="BG307"/>
  <c r="BG398"/>
  <c r="BG382"/>
  <c r="BG366"/>
  <c r="AZ399"/>
  <c r="AZ391"/>
  <c r="AZ383"/>
  <c r="AZ375"/>
  <c r="AZ367"/>
  <c r="AZ359"/>
  <c r="AZ351"/>
  <c r="AZ343"/>
  <c r="AZ335"/>
  <c r="AZ326"/>
  <c r="AZ318"/>
  <c r="AZ310"/>
  <c r="BG392"/>
  <c r="AZ404"/>
  <c r="AZ388"/>
  <c r="AZ372"/>
  <c r="AZ358"/>
  <c r="AZ342"/>
  <c r="AZ327"/>
  <c r="AZ311"/>
  <c r="AS401"/>
  <c r="AS393"/>
  <c r="AS385"/>
  <c r="AS377"/>
  <c r="AS369"/>
  <c r="AS361"/>
  <c r="AS353"/>
  <c r="AS345"/>
  <c r="AS337"/>
  <c r="AS329"/>
  <c r="AS321"/>
  <c r="AS313"/>
  <c r="AS305"/>
  <c r="BG380"/>
  <c r="AZ398"/>
  <c r="AZ382"/>
  <c r="AZ366"/>
  <c r="AZ349"/>
  <c r="AZ333"/>
  <c r="AZ317"/>
  <c r="AS404"/>
  <c r="AS396"/>
  <c r="AS388"/>
  <c r="AS380"/>
  <c r="AS372"/>
  <c r="AS364"/>
  <c r="AS356"/>
  <c r="AS348"/>
  <c r="AS340"/>
  <c r="AS332"/>
  <c r="AS324"/>
  <c r="AS316"/>
  <c r="AS308"/>
  <c r="AL400"/>
  <c r="AL392"/>
  <c r="AL384"/>
  <c r="AL376"/>
  <c r="AL368"/>
  <c r="AL360"/>
  <c r="AL352"/>
  <c r="AL344"/>
  <c r="AL309"/>
  <c r="AL341"/>
  <c r="AL313"/>
  <c r="AL345"/>
  <c r="AL369"/>
  <c r="AL385"/>
  <c r="AL401"/>
  <c r="AL319"/>
  <c r="AL335"/>
  <c r="AL351"/>
  <c r="AL367"/>
  <c r="AL383"/>
  <c r="AL399"/>
  <c r="AL310"/>
  <c r="AL318"/>
  <c r="AL326"/>
  <c r="AL334"/>
  <c r="AL346"/>
  <c r="AL362"/>
  <c r="AL378"/>
  <c r="AL394"/>
  <c r="AS311"/>
  <c r="AS327"/>
  <c r="AS343"/>
  <c r="AS359"/>
  <c r="AS375"/>
  <c r="AS391"/>
  <c r="BK17"/>
  <c r="BD17"/>
  <c r="AW17"/>
  <c r="AK33"/>
  <c r="X18"/>
  <c r="AP17"/>
  <c r="O14" i="17"/>
  <c r="P14" s="1"/>
  <c r="Y13" i="18" s="1"/>
  <c r="AC13" s="1"/>
  <c r="AL723" s="1"/>
  <c r="B15" i="17"/>
  <c r="L15" s="1"/>
  <c r="A16"/>
  <c r="AB11" i="18"/>
  <c r="AL620" s="1"/>
  <c r="AC11"/>
  <c r="AL721" s="1"/>
  <c r="AA11"/>
  <c r="AL519" s="1"/>
  <c r="C16" i="17"/>
  <c r="M15"/>
  <c r="Z12" i="18"/>
  <c r="AL419" s="1"/>
  <c r="AB12"/>
  <c r="AL621" s="1"/>
  <c r="AA12"/>
  <c r="AL520" s="1"/>
  <c r="AC12"/>
  <c r="AL722" s="1"/>
  <c r="N21" i="17"/>
  <c r="Y22" i="1"/>
  <c r="Z22" s="1"/>
  <c r="Y24"/>
  <c r="Z24" s="1"/>
  <c r="Y23"/>
  <c r="Z23" s="1"/>
  <c r="Y51" i="26" l="1"/>
  <c r="Q50"/>
  <c r="I50"/>
  <c r="AB49"/>
  <c r="AE49" s="1"/>
  <c r="T49"/>
  <c r="W49" s="1"/>
  <c r="L49"/>
  <c r="O49" s="1"/>
  <c r="D49"/>
  <c r="G49" s="1"/>
  <c r="A50"/>
  <c r="J102" i="18"/>
  <c r="J101"/>
  <c r="AK34"/>
  <c r="BK18"/>
  <c r="BD18"/>
  <c r="AW18"/>
  <c r="X19"/>
  <c r="AP18"/>
  <c r="Z13"/>
  <c r="AL420" s="1"/>
  <c r="AA13"/>
  <c r="AL521" s="1"/>
  <c r="AB13"/>
  <c r="AL622" s="1"/>
  <c r="C17" i="17"/>
  <c r="M16"/>
  <c r="B16"/>
  <c r="L16" s="1"/>
  <c r="A17"/>
  <c r="O15"/>
  <c r="P15" s="1"/>
  <c r="Y14" i="18" s="1"/>
  <c r="N22" i="17"/>
  <c r="I51" i="26" l="1"/>
  <c r="Y52"/>
  <c r="AB50"/>
  <c r="AE50" s="1"/>
  <c r="T50"/>
  <c r="W50" s="1"/>
  <c r="L50"/>
  <c r="O50" s="1"/>
  <c r="D50"/>
  <c r="G50" s="1"/>
  <c r="A51"/>
  <c r="Q51"/>
  <c r="BD19" i="18"/>
  <c r="BK19"/>
  <c r="AW19"/>
  <c r="AK35"/>
  <c r="X20"/>
  <c r="AP19"/>
  <c r="B17" i="17"/>
  <c r="L17" s="1"/>
  <c r="A18"/>
  <c r="Z14" i="18"/>
  <c r="AL421" s="1"/>
  <c r="AB14"/>
  <c r="AL623" s="1"/>
  <c r="AA14"/>
  <c r="AL522" s="1"/>
  <c r="AC14"/>
  <c r="AL724" s="1"/>
  <c r="O16" i="17"/>
  <c r="P16" s="1"/>
  <c r="Y15" i="18" s="1"/>
  <c r="C18" i="17"/>
  <c r="M17"/>
  <c r="N23"/>
  <c r="AB51" i="26" l="1"/>
  <c r="AE51" s="1"/>
  <c r="T51"/>
  <c r="W51" s="1"/>
  <c r="L51"/>
  <c r="O51" s="1"/>
  <c r="D51"/>
  <c r="G51" s="1"/>
  <c r="A52"/>
  <c r="I52"/>
  <c r="Q52"/>
  <c r="Y53"/>
  <c r="AK36" i="18"/>
  <c r="BK20"/>
  <c r="BD20"/>
  <c r="AW20"/>
  <c r="X21"/>
  <c r="AP20"/>
  <c r="C19" i="17"/>
  <c r="M18"/>
  <c r="B18"/>
  <c r="L18" s="1"/>
  <c r="A19"/>
  <c r="AA15" i="18"/>
  <c r="AL523" s="1"/>
  <c r="AC15"/>
  <c r="AL725" s="1"/>
  <c r="Z15"/>
  <c r="AL422" s="1"/>
  <c r="AB15"/>
  <c r="AL624" s="1"/>
  <c r="O17" i="17"/>
  <c r="P17" s="1"/>
  <c r="Y16" i="18" s="1"/>
  <c r="N24" i="17"/>
  <c r="W18" i="1" a="1"/>
  <c r="W18" s="1"/>
  <c r="Q53" i="26" l="1"/>
  <c r="AB52"/>
  <c r="AE52" s="1"/>
  <c r="T52"/>
  <c r="W52" s="1"/>
  <c r="L52"/>
  <c r="O52" s="1"/>
  <c r="D52"/>
  <c r="G52" s="1"/>
  <c r="A53"/>
  <c r="Y54"/>
  <c r="I53"/>
  <c r="BK21" i="18"/>
  <c r="BD21"/>
  <c r="AW21"/>
  <c r="AK37"/>
  <c r="X22"/>
  <c r="AP21"/>
  <c r="B19" i="17"/>
  <c r="L19" s="1"/>
  <c r="A20"/>
  <c r="AA16" i="18"/>
  <c r="AL524" s="1"/>
  <c r="AC16"/>
  <c r="AL726" s="1"/>
  <c r="AB16"/>
  <c r="AL625" s="1"/>
  <c r="Z16"/>
  <c r="AL423" s="1"/>
  <c r="O18" i="17"/>
  <c r="P18" s="1"/>
  <c r="Y17" i="18" s="1"/>
  <c r="C20" i="17"/>
  <c r="M19"/>
  <c r="N25"/>
  <c r="X19" i="1"/>
  <c r="W19"/>
  <c r="Y20"/>
  <c r="X18"/>
  <c r="W27" s="1"/>
  <c r="Y18"/>
  <c r="W20"/>
  <c r="X20"/>
  <c r="Y19"/>
  <c r="Y55" i="26" l="1"/>
  <c r="Q54"/>
  <c r="I54"/>
  <c r="AB53"/>
  <c r="AE53" s="1"/>
  <c r="T53"/>
  <c r="W53" s="1"/>
  <c r="L53"/>
  <c r="O53" s="1"/>
  <c r="D53"/>
  <c r="G53" s="1"/>
  <c r="A54"/>
  <c r="AK38" i="18"/>
  <c r="BK22"/>
  <c r="BD22"/>
  <c r="AW22"/>
  <c r="X23"/>
  <c r="AP22"/>
  <c r="C21" i="17"/>
  <c r="M20"/>
  <c r="B20"/>
  <c r="L20" s="1"/>
  <c r="A21"/>
  <c r="AC17" i="18"/>
  <c r="AL727" s="1"/>
  <c r="AA17"/>
  <c r="AL525" s="1"/>
  <c r="Z17"/>
  <c r="AL424" s="1"/>
  <c r="AB17"/>
  <c r="AL626" s="1"/>
  <c r="O19" i="17"/>
  <c r="P19" s="1"/>
  <c r="Y18" i="18" s="1"/>
  <c r="N26" i="17"/>
  <c r="X27" i="1"/>
  <c r="I55" i="26" l="1"/>
  <c r="Y56"/>
  <c r="AB54"/>
  <c r="AE54" s="1"/>
  <c r="T54"/>
  <c r="W54" s="1"/>
  <c r="L54"/>
  <c r="O54" s="1"/>
  <c r="D54"/>
  <c r="G54" s="1"/>
  <c r="A55"/>
  <c r="Q55"/>
  <c r="BD23" i="18"/>
  <c r="BK23"/>
  <c r="AW23"/>
  <c r="AK39"/>
  <c r="X24"/>
  <c r="AP23"/>
  <c r="B21" i="17"/>
  <c r="L21" s="1"/>
  <c r="A22"/>
  <c r="AB18" i="18"/>
  <c r="AL627" s="1"/>
  <c r="Z18"/>
  <c r="AL425" s="1"/>
  <c r="AA18"/>
  <c r="AL526" s="1"/>
  <c r="AC18"/>
  <c r="AL728" s="1"/>
  <c r="O20" i="17"/>
  <c r="P20" s="1"/>
  <c r="Y19" i="18" s="1"/>
  <c r="C22" i="17"/>
  <c r="M21"/>
  <c r="N27"/>
  <c r="I88" i="10"/>
  <c r="L88"/>
  <c r="K88"/>
  <c r="J88"/>
  <c r="F88"/>
  <c r="E88"/>
  <c r="B88"/>
  <c r="I56" i="26" l="1"/>
  <c r="AB55"/>
  <c r="AE55" s="1"/>
  <c r="T55"/>
  <c r="W55" s="1"/>
  <c r="L55"/>
  <c r="O55" s="1"/>
  <c r="D55"/>
  <c r="G55" s="1"/>
  <c r="A56"/>
  <c r="Y57"/>
  <c r="Q56"/>
  <c r="F89" i="10"/>
  <c r="AK40" i="18"/>
  <c r="BK24"/>
  <c r="BD24"/>
  <c r="AW24"/>
  <c r="X25"/>
  <c r="AP24"/>
  <c r="C89" i="10"/>
  <c r="D55" i="1" s="1"/>
  <c r="B89" i="10"/>
  <c r="C55" i="1" s="1"/>
  <c r="C23" i="17"/>
  <c r="M22"/>
  <c r="B22"/>
  <c r="L22" s="1"/>
  <c r="A23"/>
  <c r="Z19" i="18"/>
  <c r="AL426" s="1"/>
  <c r="AB19"/>
  <c r="AL628" s="1"/>
  <c r="AA19"/>
  <c r="AL527" s="1"/>
  <c r="AC19"/>
  <c r="AL729" s="1"/>
  <c r="O21" i="17"/>
  <c r="P21" s="1"/>
  <c r="Y20" i="18" s="1"/>
  <c r="N28" i="17"/>
  <c r="E89" i="10"/>
  <c r="F55" i="1" s="1"/>
  <c r="D89" i="10"/>
  <c r="E55" i="1" s="1"/>
  <c r="F101" l="1"/>
  <c r="D67" s="1"/>
  <c r="J66" s="1"/>
  <c r="J68" s="1"/>
  <c r="J70" s="1"/>
  <c r="I57" i="26"/>
  <c r="Y58"/>
  <c r="Q57"/>
  <c r="AB56"/>
  <c r="AE56" s="1"/>
  <c r="T56"/>
  <c r="W56" s="1"/>
  <c r="L56"/>
  <c r="O56" s="1"/>
  <c r="D56"/>
  <c r="G56" s="1"/>
  <c r="A57"/>
  <c r="E101" i="1"/>
  <c r="H101"/>
  <c r="F67" s="1"/>
  <c r="L66" s="1"/>
  <c r="L68" s="1"/>
  <c r="L70" s="1"/>
  <c r="I101"/>
  <c r="G67" s="1"/>
  <c r="M66" s="1"/>
  <c r="M68" s="1"/>
  <c r="M70" s="1"/>
  <c r="G101"/>
  <c r="E67" s="1"/>
  <c r="K66" s="1"/>
  <c r="K68" s="1"/>
  <c r="K70" s="1"/>
  <c r="E100"/>
  <c r="C57" s="1"/>
  <c r="BK25" i="18"/>
  <c r="BD25"/>
  <c r="AW25"/>
  <c r="AK41"/>
  <c r="X26"/>
  <c r="AP25"/>
  <c r="B23" i="17"/>
  <c r="L23" s="1"/>
  <c r="A24"/>
  <c r="AA20" i="18"/>
  <c r="AL528" s="1"/>
  <c r="AC20"/>
  <c r="AL730" s="1"/>
  <c r="AB20"/>
  <c r="AL629" s="1"/>
  <c r="Z20"/>
  <c r="AL427" s="1"/>
  <c r="O22" i="17"/>
  <c r="P22" s="1"/>
  <c r="Y21" i="18" s="1"/>
  <c r="C24" i="17"/>
  <c r="M23"/>
  <c r="N29"/>
  <c r="F100" i="1"/>
  <c r="D57" s="1"/>
  <c r="H100"/>
  <c r="F57" s="1"/>
  <c r="G100"/>
  <c r="E57" s="1"/>
  <c r="Q58" i="26" l="1"/>
  <c r="I58"/>
  <c r="AB57"/>
  <c r="AE57" s="1"/>
  <c r="T57"/>
  <c r="W57" s="1"/>
  <c r="L57"/>
  <c r="O57" s="1"/>
  <c r="D57"/>
  <c r="G57" s="1"/>
  <c r="A58"/>
  <c r="Y59"/>
  <c r="C67" i="1"/>
  <c r="AK42" i="18"/>
  <c r="BK26"/>
  <c r="BD26"/>
  <c r="AW26"/>
  <c r="X27"/>
  <c r="AP26"/>
  <c r="C25" i="17"/>
  <c r="M24"/>
  <c r="B24"/>
  <c r="L24" s="1"/>
  <c r="A25"/>
  <c r="AC21" i="18"/>
  <c r="AL731" s="1"/>
  <c r="AA21"/>
  <c r="AL529" s="1"/>
  <c r="Z21"/>
  <c r="AL428" s="1"/>
  <c r="AB21"/>
  <c r="AL630" s="1"/>
  <c r="O23" i="17"/>
  <c r="P23" s="1"/>
  <c r="Y22" i="18" s="1"/>
  <c r="N30" i="17"/>
  <c r="AC12" i="1"/>
  <c r="AC14" s="1"/>
  <c r="Q4" s="1"/>
  <c r="AB13"/>
  <c r="AB14"/>
  <c r="AB15"/>
  <c r="AB16"/>
  <c r="AB17"/>
  <c r="J3" i="11"/>
  <c r="J4" s="1"/>
  <c r="J5" s="1"/>
  <c r="J6" s="1"/>
  <c r="F3"/>
  <c r="E3"/>
  <c r="E4" s="1"/>
  <c r="E5" s="1"/>
  <c r="E6" s="1"/>
  <c r="D3"/>
  <c r="D4" s="1"/>
  <c r="D5" s="1"/>
  <c r="D6" s="1"/>
  <c r="C3"/>
  <c r="A3"/>
  <c r="A4" s="1"/>
  <c r="A5" s="1"/>
  <c r="A6" s="1"/>
  <c r="B6" s="1"/>
  <c r="L6" s="1"/>
  <c r="K6"/>
  <c r="I6"/>
  <c r="G6"/>
  <c r="K5"/>
  <c r="I5"/>
  <c r="I4"/>
  <c r="G4"/>
  <c r="K3"/>
  <c r="G3"/>
  <c r="B105" i="10" l="1"/>
  <c r="H67" i="1"/>
  <c r="I66"/>
  <c r="I68" s="1"/>
  <c r="I70" s="1"/>
  <c r="AB58" i="26"/>
  <c r="AE58" s="1"/>
  <c r="T58"/>
  <c r="W58" s="1"/>
  <c r="L58"/>
  <c r="O58" s="1"/>
  <c r="D58"/>
  <c r="G58" s="1"/>
  <c r="A59"/>
  <c r="Q59"/>
  <c r="Y60"/>
  <c r="I59"/>
  <c r="AC13" i="1"/>
  <c r="BD27" i="18"/>
  <c r="BK27"/>
  <c r="AW27"/>
  <c r="AK43"/>
  <c r="X28"/>
  <c r="AP27"/>
  <c r="O24" i="17"/>
  <c r="P24" s="1"/>
  <c r="Y23" i="18" s="1"/>
  <c r="AB23" s="1"/>
  <c r="AL632" s="1"/>
  <c r="AB22"/>
  <c r="AL631" s="1"/>
  <c r="Z22"/>
  <c r="AL429" s="1"/>
  <c r="AA22"/>
  <c r="AL530" s="1"/>
  <c r="AC22"/>
  <c r="AL732" s="1"/>
  <c r="A26" i="17"/>
  <c r="B25"/>
  <c r="L25" s="1"/>
  <c r="C26"/>
  <c r="M25"/>
  <c r="N31"/>
  <c r="F4" i="11"/>
  <c r="F5" s="1"/>
  <c r="F6" s="1"/>
  <c r="N6" s="1"/>
  <c r="N3"/>
  <c r="M3"/>
  <c r="B3"/>
  <c r="L3" s="1"/>
  <c r="B4"/>
  <c r="L4" s="1"/>
  <c r="C4"/>
  <c r="C5" s="1"/>
  <c r="C6" s="1"/>
  <c r="M6" s="1"/>
  <c r="O6" s="1"/>
  <c r="B5"/>
  <c r="L5" s="1"/>
  <c r="C112" i="10" l="1"/>
  <c r="Q24" i="1" s="1"/>
  <c r="D112" i="10"/>
  <c r="Q33" i="1" s="1"/>
  <c r="Q3"/>
  <c r="B104" i="10" s="1"/>
  <c r="Y61" i="26"/>
  <c r="AB59"/>
  <c r="AE59" s="1"/>
  <c r="T59"/>
  <c r="W59" s="1"/>
  <c r="L59"/>
  <c r="O59" s="1"/>
  <c r="D59"/>
  <c r="G59" s="1"/>
  <c r="A60"/>
  <c r="I60"/>
  <c r="Q60"/>
  <c r="N4" i="11"/>
  <c r="Z23" i="18"/>
  <c r="AL430" s="1"/>
  <c r="AK44"/>
  <c r="BK28"/>
  <c r="BD28"/>
  <c r="AW28"/>
  <c r="X29"/>
  <c r="AP28"/>
  <c r="N5" i="11"/>
  <c r="AC23" i="18"/>
  <c r="AL733" s="1"/>
  <c r="O3" i="11"/>
  <c r="P3" s="1"/>
  <c r="AA23" i="18"/>
  <c r="AL531" s="1"/>
  <c r="B26" i="17"/>
  <c r="L26" s="1"/>
  <c r="A27"/>
  <c r="M26"/>
  <c r="C27"/>
  <c r="O25"/>
  <c r="P25" s="1"/>
  <c r="Y24" i="18" s="1"/>
  <c r="N32" i="17"/>
  <c r="M4" i="11"/>
  <c r="O4" s="1"/>
  <c r="M5"/>
  <c r="O5" s="1"/>
  <c r="P6"/>
  <c r="C111" i="10" l="1"/>
  <c r="B113"/>
  <c r="D111"/>
  <c r="I61" i="26"/>
  <c r="Y62"/>
  <c r="Q61"/>
  <c r="AB60"/>
  <c r="AE60" s="1"/>
  <c r="T60"/>
  <c r="W60" s="1"/>
  <c r="L60"/>
  <c r="O60" s="1"/>
  <c r="D60"/>
  <c r="G60" s="1"/>
  <c r="A61"/>
  <c r="P7" i="11"/>
  <c r="P4"/>
  <c r="P5"/>
  <c r="BK29" i="18"/>
  <c r="BD29"/>
  <c r="AW29"/>
  <c r="AK45"/>
  <c r="X30"/>
  <c r="AP29"/>
  <c r="O26" i="17"/>
  <c r="P26" s="1"/>
  <c r="Y25" i="18" s="1"/>
  <c r="AA25" s="1"/>
  <c r="AL533" s="1"/>
  <c r="Z24"/>
  <c r="AL431" s="1"/>
  <c r="AB24"/>
  <c r="AL633" s="1"/>
  <c r="AA24"/>
  <c r="AL532" s="1"/>
  <c r="AC24"/>
  <c r="AL734" s="1"/>
  <c r="C28" i="17"/>
  <c r="M27"/>
  <c r="A28"/>
  <c r="B27"/>
  <c r="L27" s="1"/>
  <c r="N33"/>
  <c r="I64" i="10"/>
  <c r="I63"/>
  <c r="I62"/>
  <c r="I61"/>
  <c r="I60"/>
  <c r="I59"/>
  <c r="I58"/>
  <c r="I57"/>
  <c r="I56"/>
  <c r="I55"/>
  <c r="I54"/>
  <c r="B42" i="1" s="1"/>
  <c r="I53" i="10"/>
  <c r="I52"/>
  <c r="I51"/>
  <c r="I50"/>
  <c r="I49"/>
  <c r="I48"/>
  <c r="I47"/>
  <c r="I46"/>
  <c r="I45"/>
  <c r="I44"/>
  <c r="I43"/>
  <c r="I42"/>
  <c r="I41"/>
  <c r="I40"/>
  <c r="I39"/>
  <c r="I37"/>
  <c r="I36"/>
  <c r="I35"/>
  <c r="I34"/>
  <c r="I33"/>
  <c r="I32"/>
  <c r="I30"/>
  <c r="I28"/>
  <c r="I26"/>
  <c r="I25"/>
  <c r="I24"/>
  <c r="I23"/>
  <c r="I22"/>
  <c r="I21"/>
  <c r="I19"/>
  <c r="I18"/>
  <c r="I17"/>
  <c r="I16"/>
  <c r="I15"/>
  <c r="I14"/>
  <c r="I13"/>
  <c r="I12"/>
  <c r="I11"/>
  <c r="I10"/>
  <c r="I8"/>
  <c r="I7"/>
  <c r="I6"/>
  <c r="I5"/>
  <c r="I4"/>
  <c r="I3"/>
  <c r="B45" i="1" l="1"/>
  <c r="D45" s="1"/>
  <c r="K57"/>
  <c r="BH374" i="18" s="1"/>
  <c r="C113" i="10"/>
  <c r="Q23" i="1"/>
  <c r="R23" s="1"/>
  <c r="D113" i="10"/>
  <c r="Q32" i="1"/>
  <c r="R32" s="1"/>
  <c r="J55"/>
  <c r="D68" s="1"/>
  <c r="Q62" i="26"/>
  <c r="I62"/>
  <c r="AB61"/>
  <c r="AE61" s="1"/>
  <c r="T61"/>
  <c r="W61" s="1"/>
  <c r="L61"/>
  <c r="O61" s="1"/>
  <c r="D61"/>
  <c r="G61" s="1"/>
  <c r="A62"/>
  <c r="Y63"/>
  <c r="D42" i="1"/>
  <c r="B44"/>
  <c r="D44" s="1"/>
  <c r="B43"/>
  <c r="D43" s="1"/>
  <c r="O27" i="17"/>
  <c r="P27" s="1"/>
  <c r="Y26" i="18" s="1"/>
  <c r="Z26" s="1"/>
  <c r="AL433" s="1"/>
  <c r="AK46"/>
  <c r="BK30"/>
  <c r="BD30"/>
  <c r="AW30"/>
  <c r="X31"/>
  <c r="AP30"/>
  <c r="Z25"/>
  <c r="AL432" s="1"/>
  <c r="AC25"/>
  <c r="AL735" s="1"/>
  <c r="AB25"/>
  <c r="AL634" s="1"/>
  <c r="B28" i="17"/>
  <c r="L28" s="1"/>
  <c r="A29"/>
  <c r="M28"/>
  <c r="C29"/>
  <c r="N34"/>
  <c r="M9" i="8"/>
  <c r="P4" s="1"/>
  <c r="N9"/>
  <c r="B2" s="1"/>
  <c r="M10"/>
  <c r="P5" s="1"/>
  <c r="N10"/>
  <c r="B3" s="1"/>
  <c r="M11"/>
  <c r="T3" i="1"/>
  <c r="T5"/>
  <c r="T6"/>
  <c r="T7"/>
  <c r="T8" s="1"/>
  <c r="AB62" i="26" l="1"/>
  <c r="AE62" s="1"/>
  <c r="T62"/>
  <c r="W62" s="1"/>
  <c r="L62"/>
  <c r="O62" s="1"/>
  <c r="A63"/>
  <c r="D62"/>
  <c r="G62" s="1"/>
  <c r="Q63"/>
  <c r="Y64"/>
  <c r="I63"/>
  <c r="D66" i="1"/>
  <c r="E66"/>
  <c r="F66"/>
  <c r="G66"/>
  <c r="C66"/>
  <c r="D58"/>
  <c r="F58"/>
  <c r="C58"/>
  <c r="E58"/>
  <c r="F68"/>
  <c r="E68"/>
  <c r="G68"/>
  <c r="D56"/>
  <c r="C56"/>
  <c r="F56"/>
  <c r="E56"/>
  <c r="AC26" i="18"/>
  <c r="AL736" s="1"/>
  <c r="C68" i="1"/>
  <c r="K55"/>
  <c r="L55" s="1"/>
  <c r="AB26" i="18"/>
  <c r="AL635" s="1"/>
  <c r="AA26"/>
  <c r="AL534" s="1"/>
  <c r="AM66"/>
  <c r="AM26"/>
  <c r="AM302"/>
  <c r="AT13"/>
  <c r="AM51"/>
  <c r="AM336"/>
  <c r="AT239"/>
  <c r="AM82"/>
  <c r="AT85"/>
  <c r="BA45"/>
  <c r="AM142"/>
  <c r="AT133"/>
  <c r="AM127"/>
  <c r="AM166"/>
  <c r="AT277"/>
  <c r="AM223"/>
  <c r="AM206"/>
  <c r="AT405"/>
  <c r="AM383"/>
  <c r="AM14"/>
  <c r="AM270"/>
  <c r="BA81"/>
  <c r="AT127"/>
  <c r="AM58"/>
  <c r="AM350"/>
  <c r="AM128"/>
  <c r="AT326"/>
  <c r="AM18"/>
  <c r="AM78"/>
  <c r="AM174"/>
  <c r="AM334"/>
  <c r="AT101"/>
  <c r="BA65"/>
  <c r="AM272"/>
  <c r="AM151"/>
  <c r="AT191"/>
  <c r="AM30"/>
  <c r="AM102"/>
  <c r="AM230"/>
  <c r="AM358"/>
  <c r="AT149"/>
  <c r="BA288"/>
  <c r="AM384"/>
  <c r="AM255"/>
  <c r="BA15"/>
  <c r="AM46"/>
  <c r="AM110"/>
  <c r="AM238"/>
  <c r="AM366"/>
  <c r="AT213"/>
  <c r="BH65"/>
  <c r="AT225"/>
  <c r="AM279"/>
  <c r="BA188"/>
  <c r="AM50"/>
  <c r="AM134"/>
  <c r="AM262"/>
  <c r="AM390"/>
  <c r="AT261"/>
  <c r="BH129"/>
  <c r="AT353"/>
  <c r="AM351"/>
  <c r="BH121"/>
  <c r="AM2"/>
  <c r="AO2" s="1"/>
  <c r="AQ2" s="1"/>
  <c r="AH409" s="1"/>
  <c r="AM62"/>
  <c r="AM158"/>
  <c r="AM286"/>
  <c r="AT37"/>
  <c r="AT293"/>
  <c r="AM83"/>
  <c r="AM95"/>
  <c r="AT3"/>
  <c r="BA257"/>
  <c r="BA113"/>
  <c r="AM11"/>
  <c r="AM144"/>
  <c r="AM400"/>
  <c r="BA77"/>
  <c r="AM159"/>
  <c r="AM287"/>
  <c r="AT10"/>
  <c r="AT255"/>
  <c r="AT30"/>
  <c r="AT341"/>
  <c r="BA129"/>
  <c r="AM19"/>
  <c r="AM192"/>
  <c r="AT65"/>
  <c r="BA216"/>
  <c r="AM183"/>
  <c r="AM311"/>
  <c r="AT47"/>
  <c r="AT303"/>
  <c r="AT94"/>
  <c r="AT357"/>
  <c r="BA160"/>
  <c r="AM23"/>
  <c r="AM208"/>
  <c r="AT97"/>
  <c r="BA280"/>
  <c r="AM191"/>
  <c r="AM319"/>
  <c r="AT63"/>
  <c r="AT319"/>
  <c r="AT134"/>
  <c r="AM34"/>
  <c r="AM94"/>
  <c r="AM198"/>
  <c r="AM294"/>
  <c r="AM398"/>
  <c r="AT165"/>
  <c r="AT389"/>
  <c r="BA256"/>
  <c r="AM43"/>
  <c r="AM256"/>
  <c r="AT193"/>
  <c r="AM87"/>
  <c r="AM215"/>
  <c r="AM343"/>
  <c r="AT111"/>
  <c r="AT371"/>
  <c r="AT262"/>
  <c r="AM222"/>
  <c r="AM326"/>
  <c r="AT21"/>
  <c r="AT229"/>
  <c r="BA17"/>
  <c r="BA405"/>
  <c r="AM75"/>
  <c r="AM320"/>
  <c r="AT321"/>
  <c r="AM119"/>
  <c r="AM247"/>
  <c r="AM375"/>
  <c r="AT175"/>
  <c r="BA127"/>
  <c r="BH379"/>
  <c r="AM22"/>
  <c r="AM54"/>
  <c r="AM86"/>
  <c r="AM150"/>
  <c r="AM214"/>
  <c r="AM278"/>
  <c r="AM342"/>
  <c r="AT5"/>
  <c r="AT117"/>
  <c r="AT245"/>
  <c r="AT373"/>
  <c r="BA97"/>
  <c r="BA341"/>
  <c r="AM15"/>
  <c r="AM47"/>
  <c r="AM79"/>
  <c r="AM136"/>
  <c r="AM200"/>
  <c r="AM264"/>
  <c r="AM328"/>
  <c r="AM392"/>
  <c r="AT81"/>
  <c r="AT209"/>
  <c r="AT337"/>
  <c r="BA61"/>
  <c r="BA248"/>
  <c r="AM91"/>
  <c r="AM123"/>
  <c r="AM155"/>
  <c r="AM187"/>
  <c r="AM219"/>
  <c r="AM251"/>
  <c r="AM283"/>
  <c r="AM315"/>
  <c r="AM347"/>
  <c r="AM379"/>
  <c r="AT6"/>
  <c r="AT55"/>
  <c r="AT119"/>
  <c r="AT183"/>
  <c r="AT247"/>
  <c r="AT311"/>
  <c r="AT403"/>
  <c r="BA156"/>
  <c r="BH219"/>
  <c r="AT126"/>
  <c r="AT318"/>
  <c r="BA193"/>
  <c r="AM55"/>
  <c r="AM88"/>
  <c r="AM152"/>
  <c r="AM216"/>
  <c r="AM280"/>
  <c r="AM344"/>
  <c r="AT2"/>
  <c r="AT113"/>
  <c r="AT241"/>
  <c r="AT369"/>
  <c r="BA93"/>
  <c r="BA325"/>
  <c r="AM99"/>
  <c r="AM131"/>
  <c r="AM163"/>
  <c r="AM195"/>
  <c r="AM227"/>
  <c r="AM259"/>
  <c r="AM291"/>
  <c r="AM323"/>
  <c r="AM355"/>
  <c r="AM387"/>
  <c r="AT14"/>
  <c r="AT71"/>
  <c r="AT135"/>
  <c r="AT199"/>
  <c r="AT263"/>
  <c r="AT327"/>
  <c r="BA31"/>
  <c r="BA220"/>
  <c r="AT38"/>
  <c r="AT142"/>
  <c r="AT382"/>
  <c r="BA383"/>
  <c r="AM27"/>
  <c r="AM59"/>
  <c r="AM96"/>
  <c r="AM160"/>
  <c r="AM224"/>
  <c r="AM288"/>
  <c r="AM352"/>
  <c r="AT11"/>
  <c r="AT129"/>
  <c r="AT257"/>
  <c r="AT385"/>
  <c r="BA109"/>
  <c r="BA389"/>
  <c r="AM103"/>
  <c r="AM135"/>
  <c r="AM167"/>
  <c r="AM199"/>
  <c r="AM231"/>
  <c r="AM263"/>
  <c r="AM295"/>
  <c r="AM327"/>
  <c r="AM359"/>
  <c r="AM391"/>
  <c r="AT18"/>
  <c r="AT79"/>
  <c r="AT143"/>
  <c r="AT207"/>
  <c r="AT271"/>
  <c r="AT335"/>
  <c r="BA47"/>
  <c r="BA252"/>
  <c r="AT46"/>
  <c r="AT158"/>
  <c r="BA42"/>
  <c r="BH403"/>
  <c r="AM6"/>
  <c r="AM38"/>
  <c r="AM70"/>
  <c r="AM118"/>
  <c r="AM182"/>
  <c r="AM246"/>
  <c r="AM310"/>
  <c r="AM374"/>
  <c r="AT53"/>
  <c r="AT181"/>
  <c r="AT309"/>
  <c r="BA33"/>
  <c r="BA192"/>
  <c r="BH235"/>
  <c r="AM31"/>
  <c r="AM63"/>
  <c r="AM104"/>
  <c r="AM168"/>
  <c r="AM232"/>
  <c r="AM296"/>
  <c r="AM360"/>
  <c r="AT19"/>
  <c r="AT145"/>
  <c r="AT273"/>
  <c r="AT401"/>
  <c r="BA125"/>
  <c r="BH49"/>
  <c r="AM107"/>
  <c r="AM139"/>
  <c r="AM171"/>
  <c r="AM203"/>
  <c r="AM235"/>
  <c r="AM267"/>
  <c r="AM299"/>
  <c r="AM331"/>
  <c r="AM363"/>
  <c r="AM395"/>
  <c r="AT23"/>
  <c r="AT87"/>
  <c r="AT151"/>
  <c r="AT215"/>
  <c r="AT279"/>
  <c r="AT343"/>
  <c r="BA63"/>
  <c r="BA284"/>
  <c r="AT62"/>
  <c r="AT190"/>
  <c r="BA106"/>
  <c r="BH22"/>
  <c r="AM10"/>
  <c r="AM42"/>
  <c r="AM74"/>
  <c r="AM126"/>
  <c r="AM190"/>
  <c r="AM254"/>
  <c r="AM318"/>
  <c r="AM382"/>
  <c r="AT69"/>
  <c r="AT197"/>
  <c r="AT325"/>
  <c r="BA49"/>
  <c r="BA224"/>
  <c r="AM3"/>
  <c r="AM35"/>
  <c r="AM67"/>
  <c r="AM112"/>
  <c r="AM176"/>
  <c r="AM240"/>
  <c r="AM304"/>
  <c r="AM368"/>
  <c r="AT33"/>
  <c r="AT161"/>
  <c r="AT289"/>
  <c r="BA13"/>
  <c r="BA152"/>
  <c r="BH113"/>
  <c r="AM111"/>
  <c r="AM143"/>
  <c r="AM175"/>
  <c r="AM207"/>
  <c r="AM239"/>
  <c r="AM271"/>
  <c r="AM303"/>
  <c r="AM335"/>
  <c r="AM367"/>
  <c r="AM399"/>
  <c r="AT31"/>
  <c r="AT95"/>
  <c r="AT159"/>
  <c r="AT223"/>
  <c r="AT287"/>
  <c r="AT351"/>
  <c r="BA79"/>
  <c r="BA333"/>
  <c r="AT70"/>
  <c r="AT198"/>
  <c r="BA210"/>
  <c r="BH150"/>
  <c r="AM7"/>
  <c r="AM39"/>
  <c r="AM71"/>
  <c r="AM120"/>
  <c r="AM184"/>
  <c r="AM248"/>
  <c r="AM312"/>
  <c r="AM376"/>
  <c r="AT49"/>
  <c r="AT177"/>
  <c r="AT305"/>
  <c r="BA29"/>
  <c r="BA184"/>
  <c r="BH203"/>
  <c r="AM115"/>
  <c r="AM147"/>
  <c r="AM179"/>
  <c r="AM211"/>
  <c r="AM243"/>
  <c r="AM275"/>
  <c r="AM307"/>
  <c r="AM339"/>
  <c r="AM371"/>
  <c r="AM403"/>
  <c r="AT39"/>
  <c r="AT103"/>
  <c r="AT167"/>
  <c r="AT231"/>
  <c r="AT295"/>
  <c r="AT359"/>
  <c r="BA95"/>
  <c r="BH57"/>
  <c r="AT78"/>
  <c r="AT254"/>
  <c r="BA377"/>
  <c r="BH237"/>
  <c r="AT390"/>
  <c r="BA50"/>
  <c r="BA114"/>
  <c r="BA226"/>
  <c r="BH5"/>
  <c r="BA137"/>
  <c r="BA201"/>
  <c r="BA265"/>
  <c r="BH11"/>
  <c r="BA314"/>
  <c r="BH38"/>
  <c r="BH181"/>
  <c r="BH301"/>
  <c r="AT206"/>
  <c r="AT270"/>
  <c r="AT334"/>
  <c r="AT398"/>
  <c r="BA58"/>
  <c r="BA122"/>
  <c r="BA242"/>
  <c r="BH37"/>
  <c r="BA145"/>
  <c r="BA209"/>
  <c r="BA273"/>
  <c r="BH43"/>
  <c r="BA330"/>
  <c r="BH54"/>
  <c r="BH213"/>
  <c r="BH365"/>
  <c r="AT22"/>
  <c r="AT86"/>
  <c r="AT150"/>
  <c r="AT214"/>
  <c r="AT278"/>
  <c r="AT342"/>
  <c r="BA2"/>
  <c r="BA66"/>
  <c r="BA130"/>
  <c r="BA258"/>
  <c r="BH69"/>
  <c r="BA153"/>
  <c r="BA217"/>
  <c r="BA281"/>
  <c r="BH75"/>
  <c r="BA346"/>
  <c r="BH70"/>
  <c r="BH255"/>
  <c r="BH246"/>
  <c r="AT222"/>
  <c r="AT286"/>
  <c r="AT350"/>
  <c r="BA10"/>
  <c r="BA74"/>
  <c r="BA146"/>
  <c r="BA274"/>
  <c r="BH101"/>
  <c r="BA161"/>
  <c r="BA225"/>
  <c r="BA289"/>
  <c r="BH107"/>
  <c r="BA362"/>
  <c r="BH86"/>
  <c r="BH319"/>
  <c r="BH278"/>
  <c r="AT102"/>
  <c r="AT166"/>
  <c r="AT230"/>
  <c r="AT294"/>
  <c r="AT358"/>
  <c r="BA18"/>
  <c r="BA82"/>
  <c r="BA162"/>
  <c r="BA290"/>
  <c r="BH133"/>
  <c r="BA169"/>
  <c r="BA233"/>
  <c r="BA297"/>
  <c r="BH139"/>
  <c r="BA378"/>
  <c r="BH102"/>
  <c r="BH383"/>
  <c r="BH310"/>
  <c r="AT110"/>
  <c r="AT174"/>
  <c r="AT238"/>
  <c r="AT302"/>
  <c r="AT366"/>
  <c r="BA26"/>
  <c r="BA90"/>
  <c r="BA178"/>
  <c r="BA313"/>
  <c r="BH179"/>
  <c r="BA177"/>
  <c r="BA241"/>
  <c r="BA319"/>
  <c r="BH191"/>
  <c r="BA394"/>
  <c r="BH118"/>
  <c r="BH172"/>
  <c r="BH342"/>
  <c r="AT387"/>
  <c r="BA111"/>
  <c r="BA397"/>
  <c r="AT54"/>
  <c r="AT118"/>
  <c r="AT182"/>
  <c r="AT246"/>
  <c r="AT310"/>
  <c r="AT374"/>
  <c r="BA34"/>
  <c r="BA98"/>
  <c r="BA194"/>
  <c r="BA345"/>
  <c r="BH251"/>
  <c r="BA185"/>
  <c r="BA249"/>
  <c r="BA351"/>
  <c r="BH275"/>
  <c r="BH6"/>
  <c r="BH134"/>
  <c r="BH204"/>
  <c r="BH404"/>
  <c r="BH400"/>
  <c r="BH396"/>
  <c r="BH392"/>
  <c r="BH388"/>
  <c r="BH384"/>
  <c r="BH380"/>
  <c r="BH376"/>
  <c r="BH372"/>
  <c r="BH368"/>
  <c r="BH364"/>
  <c r="BH360"/>
  <c r="BH356"/>
  <c r="BH352"/>
  <c r="BH348"/>
  <c r="BH344"/>
  <c r="BH340"/>
  <c r="BH336"/>
  <c r="BH332"/>
  <c r="BH328"/>
  <c r="BH324"/>
  <c r="BH320"/>
  <c r="BH316"/>
  <c r="BH312"/>
  <c r="BH308"/>
  <c r="BH304"/>
  <c r="BH300"/>
  <c r="BH296"/>
  <c r="BH292"/>
  <c r="BH288"/>
  <c r="BH284"/>
  <c r="BH280"/>
  <c r="BH276"/>
  <c r="BH272"/>
  <c r="BH268"/>
  <c r="BH264"/>
  <c r="BH260"/>
  <c r="BH256"/>
  <c r="BH252"/>
  <c r="BH248"/>
  <c r="BH244"/>
  <c r="BH240"/>
  <c r="BH236"/>
  <c r="BH401"/>
  <c r="BH393"/>
  <c r="BH385"/>
  <c r="BH377"/>
  <c r="BH369"/>
  <c r="BH361"/>
  <c r="BH353"/>
  <c r="BH345"/>
  <c r="BH337"/>
  <c r="BH329"/>
  <c r="BH321"/>
  <c r="BH313"/>
  <c r="BH305"/>
  <c r="BH297"/>
  <c r="BH289"/>
  <c r="BH281"/>
  <c r="BH273"/>
  <c r="BH265"/>
  <c r="BH257"/>
  <c r="BH249"/>
  <c r="BH241"/>
  <c r="BH234"/>
  <c r="BH230"/>
  <c r="BH226"/>
  <c r="BH222"/>
  <c r="BH218"/>
  <c r="BH214"/>
  <c r="BH210"/>
  <c r="BH206"/>
  <c r="BH202"/>
  <c r="BH198"/>
  <c r="BH194"/>
  <c r="BH190"/>
  <c r="BH186"/>
  <c r="BH182"/>
  <c r="BH178"/>
  <c r="BH174"/>
  <c r="BH170"/>
  <c r="BH166"/>
  <c r="BH162"/>
  <c r="BH158"/>
  <c r="BH154"/>
  <c r="BH402"/>
  <c r="BH394"/>
  <c r="BH386"/>
  <c r="BH378"/>
  <c r="BH370"/>
  <c r="BH362"/>
  <c r="BH354"/>
  <c r="BH346"/>
  <c r="BH338"/>
  <c r="BH330"/>
  <c r="BH322"/>
  <c r="BH314"/>
  <c r="BH306"/>
  <c r="BH298"/>
  <c r="BH290"/>
  <c r="BH282"/>
  <c r="BH274"/>
  <c r="BH266"/>
  <c r="BH258"/>
  <c r="BH250"/>
  <c r="BH242"/>
  <c r="BH405"/>
  <c r="BH389"/>
  <c r="BH373"/>
  <c r="BH357"/>
  <c r="BH341"/>
  <c r="BH325"/>
  <c r="BH309"/>
  <c r="BH293"/>
  <c r="BH277"/>
  <c r="BH261"/>
  <c r="BH245"/>
  <c r="BH232"/>
  <c r="BH224"/>
  <c r="BH216"/>
  <c r="BH208"/>
  <c r="BH200"/>
  <c r="BH192"/>
  <c r="BH184"/>
  <c r="BH176"/>
  <c r="BH168"/>
  <c r="BH160"/>
  <c r="BH152"/>
  <c r="BH391"/>
  <c r="BH375"/>
  <c r="BH359"/>
  <c r="BH343"/>
  <c r="BH327"/>
  <c r="BH311"/>
  <c r="BH295"/>
  <c r="BH279"/>
  <c r="BH263"/>
  <c r="BH247"/>
  <c r="BH233"/>
  <c r="BH225"/>
  <c r="BH217"/>
  <c r="BH209"/>
  <c r="BH201"/>
  <c r="BH193"/>
  <c r="BH185"/>
  <c r="BH177"/>
  <c r="BH169"/>
  <c r="BH161"/>
  <c r="BH153"/>
  <c r="BH148"/>
  <c r="BH144"/>
  <c r="BH140"/>
  <c r="BH136"/>
  <c r="BH132"/>
  <c r="BH128"/>
  <c r="BH124"/>
  <c r="BH120"/>
  <c r="BH116"/>
  <c r="BH112"/>
  <c r="BH108"/>
  <c r="BH104"/>
  <c r="BH100"/>
  <c r="BH96"/>
  <c r="BH92"/>
  <c r="BH88"/>
  <c r="BH84"/>
  <c r="BH80"/>
  <c r="BH76"/>
  <c r="BH72"/>
  <c r="BH68"/>
  <c r="BH64"/>
  <c r="BH60"/>
  <c r="BH56"/>
  <c r="BH52"/>
  <c r="BH48"/>
  <c r="BH44"/>
  <c r="BH40"/>
  <c r="BH36"/>
  <c r="BH32"/>
  <c r="BH28"/>
  <c r="BH24"/>
  <c r="BH20"/>
  <c r="BH16"/>
  <c r="BH12"/>
  <c r="BH8"/>
  <c r="BH4"/>
  <c r="BA404"/>
  <c r="BA400"/>
  <c r="BA396"/>
  <c r="BA392"/>
  <c r="BA388"/>
  <c r="BA384"/>
  <c r="BA380"/>
  <c r="BA376"/>
  <c r="BA372"/>
  <c r="BA368"/>
  <c r="BA364"/>
  <c r="BA360"/>
  <c r="BA356"/>
  <c r="BA352"/>
  <c r="BA348"/>
  <c r="BA344"/>
  <c r="BA340"/>
  <c r="BA336"/>
  <c r="BA332"/>
  <c r="BA328"/>
  <c r="BA324"/>
  <c r="BA320"/>
  <c r="BA316"/>
  <c r="BA312"/>
  <c r="BA308"/>
  <c r="BA304"/>
  <c r="BA300"/>
  <c r="BH387"/>
  <c r="BH355"/>
  <c r="BH323"/>
  <c r="BH291"/>
  <c r="BH259"/>
  <c r="BH231"/>
  <c r="BH215"/>
  <c r="BH199"/>
  <c r="BH183"/>
  <c r="BH167"/>
  <c r="BH151"/>
  <c r="BH143"/>
  <c r="BH135"/>
  <c r="BH127"/>
  <c r="BH119"/>
  <c r="BH111"/>
  <c r="BH103"/>
  <c r="BH95"/>
  <c r="BH87"/>
  <c r="BH79"/>
  <c r="BH71"/>
  <c r="BH63"/>
  <c r="BH55"/>
  <c r="BH47"/>
  <c r="BH39"/>
  <c r="BH31"/>
  <c r="BH23"/>
  <c r="BH15"/>
  <c r="BH7"/>
  <c r="BA403"/>
  <c r="BA395"/>
  <c r="BA387"/>
  <c r="BA379"/>
  <c r="BA371"/>
  <c r="BA363"/>
  <c r="BA355"/>
  <c r="BA347"/>
  <c r="BA339"/>
  <c r="BA331"/>
  <c r="BA323"/>
  <c r="BA315"/>
  <c r="BA307"/>
  <c r="BH398"/>
  <c r="BH382"/>
  <c r="BH366"/>
  <c r="BH350"/>
  <c r="BH334"/>
  <c r="BH318"/>
  <c r="BH302"/>
  <c r="BH286"/>
  <c r="BH270"/>
  <c r="BH254"/>
  <c r="BH238"/>
  <c r="BH381"/>
  <c r="BH349"/>
  <c r="BH317"/>
  <c r="BH285"/>
  <c r="BH253"/>
  <c r="BH228"/>
  <c r="BH212"/>
  <c r="BH196"/>
  <c r="BH180"/>
  <c r="BH164"/>
  <c r="BH399"/>
  <c r="BH367"/>
  <c r="BH335"/>
  <c r="BH303"/>
  <c r="BH271"/>
  <c r="BH239"/>
  <c r="BH221"/>
  <c r="BH205"/>
  <c r="BH189"/>
  <c r="BH173"/>
  <c r="BH157"/>
  <c r="BH146"/>
  <c r="BH138"/>
  <c r="BH130"/>
  <c r="BH122"/>
  <c r="BH114"/>
  <c r="BH106"/>
  <c r="BH98"/>
  <c r="BH90"/>
  <c r="BH82"/>
  <c r="BH74"/>
  <c r="BH66"/>
  <c r="BH58"/>
  <c r="BH50"/>
  <c r="BH42"/>
  <c r="BH34"/>
  <c r="BH26"/>
  <c r="BH18"/>
  <c r="BH10"/>
  <c r="BH2"/>
  <c r="BA398"/>
  <c r="BA390"/>
  <c r="BA382"/>
  <c r="BA374"/>
  <c r="BA366"/>
  <c r="BA358"/>
  <c r="BA350"/>
  <c r="BA342"/>
  <c r="BA334"/>
  <c r="BA326"/>
  <c r="BA318"/>
  <c r="BA310"/>
  <c r="BA302"/>
  <c r="BH371"/>
  <c r="BH307"/>
  <c r="BH243"/>
  <c r="BH207"/>
  <c r="BH175"/>
  <c r="BH147"/>
  <c r="BH131"/>
  <c r="BH115"/>
  <c r="BH99"/>
  <c r="BH83"/>
  <c r="BH67"/>
  <c r="BH51"/>
  <c r="BH35"/>
  <c r="BH19"/>
  <c r="BH3"/>
  <c r="BA391"/>
  <c r="BA375"/>
  <c r="BA359"/>
  <c r="BA343"/>
  <c r="BA327"/>
  <c r="BA311"/>
  <c r="BA299"/>
  <c r="BA295"/>
  <c r="BA291"/>
  <c r="BA287"/>
  <c r="BA283"/>
  <c r="BA279"/>
  <c r="BA275"/>
  <c r="BA271"/>
  <c r="BA267"/>
  <c r="BA263"/>
  <c r="BA259"/>
  <c r="BA255"/>
  <c r="BA251"/>
  <c r="BA247"/>
  <c r="BA243"/>
  <c r="BA239"/>
  <c r="BA235"/>
  <c r="BA231"/>
  <c r="BA227"/>
  <c r="BA223"/>
  <c r="BA219"/>
  <c r="BA215"/>
  <c r="BA211"/>
  <c r="BA207"/>
  <c r="BA203"/>
  <c r="BA199"/>
  <c r="BA195"/>
  <c r="BA191"/>
  <c r="BA187"/>
  <c r="BA183"/>
  <c r="BA179"/>
  <c r="BA175"/>
  <c r="BA171"/>
  <c r="BA167"/>
  <c r="BA163"/>
  <c r="BA159"/>
  <c r="BA155"/>
  <c r="BA151"/>
  <c r="BA147"/>
  <c r="BA143"/>
  <c r="BA139"/>
  <c r="BA135"/>
  <c r="BA131"/>
  <c r="BH347"/>
  <c r="BH283"/>
  <c r="BH227"/>
  <c r="BH195"/>
  <c r="BH163"/>
  <c r="BH141"/>
  <c r="BH125"/>
  <c r="BH109"/>
  <c r="BH93"/>
  <c r="BH77"/>
  <c r="BH61"/>
  <c r="BH45"/>
  <c r="BH29"/>
  <c r="BH13"/>
  <c r="BA401"/>
  <c r="BA385"/>
  <c r="BA369"/>
  <c r="BA353"/>
  <c r="BA337"/>
  <c r="BA321"/>
  <c r="BA305"/>
  <c r="BA294"/>
  <c r="BA286"/>
  <c r="BA278"/>
  <c r="BA270"/>
  <c r="BA262"/>
  <c r="BA254"/>
  <c r="BA246"/>
  <c r="BA238"/>
  <c r="BA230"/>
  <c r="BA222"/>
  <c r="BA214"/>
  <c r="BA206"/>
  <c r="BA198"/>
  <c r="BA190"/>
  <c r="BA182"/>
  <c r="BA174"/>
  <c r="BA166"/>
  <c r="BA158"/>
  <c r="BA150"/>
  <c r="BA142"/>
  <c r="BA134"/>
  <c r="BA128"/>
  <c r="BA124"/>
  <c r="BA120"/>
  <c r="BA116"/>
  <c r="BA112"/>
  <c r="BA108"/>
  <c r="BA104"/>
  <c r="BA100"/>
  <c r="BA96"/>
  <c r="BA92"/>
  <c r="BA88"/>
  <c r="BA84"/>
  <c r="BA80"/>
  <c r="BA76"/>
  <c r="BA72"/>
  <c r="BA68"/>
  <c r="BA64"/>
  <c r="BA60"/>
  <c r="BA56"/>
  <c r="BA52"/>
  <c r="BA48"/>
  <c r="BA44"/>
  <c r="BA40"/>
  <c r="BA36"/>
  <c r="BA32"/>
  <c r="BA28"/>
  <c r="BA24"/>
  <c r="BA20"/>
  <c r="BA16"/>
  <c r="BA12"/>
  <c r="BA8"/>
  <c r="BA4"/>
  <c r="AT404"/>
  <c r="AT400"/>
  <c r="AT396"/>
  <c r="AT392"/>
  <c r="AT388"/>
  <c r="AT384"/>
  <c r="AT380"/>
  <c r="AT376"/>
  <c r="AT372"/>
  <c r="AT368"/>
  <c r="AT364"/>
  <c r="AT360"/>
  <c r="AT356"/>
  <c r="AT352"/>
  <c r="AT348"/>
  <c r="AT344"/>
  <c r="AT340"/>
  <c r="AT336"/>
  <c r="AT332"/>
  <c r="AT328"/>
  <c r="AT324"/>
  <c r="AT320"/>
  <c r="AT316"/>
  <c r="AT312"/>
  <c r="AT308"/>
  <c r="AT304"/>
  <c r="AT300"/>
  <c r="AT296"/>
  <c r="AT292"/>
  <c r="AT288"/>
  <c r="AT284"/>
  <c r="AT280"/>
  <c r="AT276"/>
  <c r="AT272"/>
  <c r="AT268"/>
  <c r="AT264"/>
  <c r="AT260"/>
  <c r="AT256"/>
  <c r="AT252"/>
  <c r="AT248"/>
  <c r="AT244"/>
  <c r="AT240"/>
  <c r="AT236"/>
  <c r="AT232"/>
  <c r="AT228"/>
  <c r="AT224"/>
  <c r="AT220"/>
  <c r="AT216"/>
  <c r="AT212"/>
  <c r="AT208"/>
  <c r="AT204"/>
  <c r="AT200"/>
  <c r="AT196"/>
  <c r="AT192"/>
  <c r="AT188"/>
  <c r="AT184"/>
  <c r="AT180"/>
  <c r="AT176"/>
  <c r="AT172"/>
  <c r="AT168"/>
  <c r="AT164"/>
  <c r="AT160"/>
  <c r="AT156"/>
  <c r="AT152"/>
  <c r="AT148"/>
  <c r="AT144"/>
  <c r="AT140"/>
  <c r="AT136"/>
  <c r="AT132"/>
  <c r="AT128"/>
  <c r="AT124"/>
  <c r="AT120"/>
  <c r="AT116"/>
  <c r="AT112"/>
  <c r="AT108"/>
  <c r="AT104"/>
  <c r="AT100"/>
  <c r="AT96"/>
  <c r="AT92"/>
  <c r="AT88"/>
  <c r="AT84"/>
  <c r="AT80"/>
  <c r="AT76"/>
  <c r="AT72"/>
  <c r="AT68"/>
  <c r="AT64"/>
  <c r="AT60"/>
  <c r="AT56"/>
  <c r="AT52"/>
  <c r="AT48"/>
  <c r="AT44"/>
  <c r="AT40"/>
  <c r="AT36"/>
  <c r="AT32"/>
  <c r="AT28"/>
  <c r="AT24"/>
  <c r="BH395"/>
  <c r="BH267"/>
  <c r="BH187"/>
  <c r="BH137"/>
  <c r="BH105"/>
  <c r="BH73"/>
  <c r="BH41"/>
  <c r="BH9"/>
  <c r="BA381"/>
  <c r="BA349"/>
  <c r="BA317"/>
  <c r="BA292"/>
  <c r="BA276"/>
  <c r="BA260"/>
  <c r="BA244"/>
  <c r="BA228"/>
  <c r="BA212"/>
  <c r="BA196"/>
  <c r="BA180"/>
  <c r="BA164"/>
  <c r="BA148"/>
  <c r="BA132"/>
  <c r="BA123"/>
  <c r="BA115"/>
  <c r="BA107"/>
  <c r="BA99"/>
  <c r="BA91"/>
  <c r="BA83"/>
  <c r="BA75"/>
  <c r="BA67"/>
  <c r="BA59"/>
  <c r="BA51"/>
  <c r="BA43"/>
  <c r="BA35"/>
  <c r="BA27"/>
  <c r="BA19"/>
  <c r="BA11"/>
  <c r="BA3"/>
  <c r="AT399"/>
  <c r="AT391"/>
  <c r="AT383"/>
  <c r="AT375"/>
  <c r="AT367"/>
  <c r="AM4"/>
  <c r="AM8"/>
  <c r="AM12"/>
  <c r="AM16"/>
  <c r="AM20"/>
  <c r="AM24"/>
  <c r="AM28"/>
  <c r="AM32"/>
  <c r="AM36"/>
  <c r="AM40"/>
  <c r="AM44"/>
  <c r="AM48"/>
  <c r="AM52"/>
  <c r="AM56"/>
  <c r="AM60"/>
  <c r="AM64"/>
  <c r="AM68"/>
  <c r="AM72"/>
  <c r="AM76"/>
  <c r="AM80"/>
  <c r="AM84"/>
  <c r="AM90"/>
  <c r="AM98"/>
  <c r="AM106"/>
  <c r="AM114"/>
  <c r="AM122"/>
  <c r="AM130"/>
  <c r="AM138"/>
  <c r="AM146"/>
  <c r="AM154"/>
  <c r="AM162"/>
  <c r="AM170"/>
  <c r="AM178"/>
  <c r="AM186"/>
  <c r="AM194"/>
  <c r="AM202"/>
  <c r="AM210"/>
  <c r="AM218"/>
  <c r="AM226"/>
  <c r="AM234"/>
  <c r="AM242"/>
  <c r="AM250"/>
  <c r="AM258"/>
  <c r="AM266"/>
  <c r="AM274"/>
  <c r="AM282"/>
  <c r="AM290"/>
  <c r="AM298"/>
  <c r="AM306"/>
  <c r="AM314"/>
  <c r="AM322"/>
  <c r="AM330"/>
  <c r="AM338"/>
  <c r="AM346"/>
  <c r="AM354"/>
  <c r="AM362"/>
  <c r="AM370"/>
  <c r="AM378"/>
  <c r="AM386"/>
  <c r="AM394"/>
  <c r="AM402"/>
  <c r="AT9"/>
  <c r="AT17"/>
  <c r="AT29"/>
  <c r="AT45"/>
  <c r="AT61"/>
  <c r="AT77"/>
  <c r="AT93"/>
  <c r="AT109"/>
  <c r="AT125"/>
  <c r="AT141"/>
  <c r="AT157"/>
  <c r="AT173"/>
  <c r="AT189"/>
  <c r="AT205"/>
  <c r="AT221"/>
  <c r="AT237"/>
  <c r="AT253"/>
  <c r="AT269"/>
  <c r="AT285"/>
  <c r="AT301"/>
  <c r="AT317"/>
  <c r="AT333"/>
  <c r="AT349"/>
  <c r="AT365"/>
  <c r="AT381"/>
  <c r="AT397"/>
  <c r="BA9"/>
  <c r="BA25"/>
  <c r="BA41"/>
  <c r="BA57"/>
  <c r="BA73"/>
  <c r="BA89"/>
  <c r="BA105"/>
  <c r="BA121"/>
  <c r="BA144"/>
  <c r="BA176"/>
  <c r="BA208"/>
  <c r="BA240"/>
  <c r="BA272"/>
  <c r="BA309"/>
  <c r="BA373"/>
  <c r="BH33"/>
  <c r="BH97"/>
  <c r="BH171"/>
  <c r="BH363"/>
  <c r="AM5"/>
  <c r="AM9"/>
  <c r="AM13"/>
  <c r="AM17"/>
  <c r="AM21"/>
  <c r="AM25"/>
  <c r="AM29"/>
  <c r="AM33"/>
  <c r="AM37"/>
  <c r="AM41"/>
  <c r="AM45"/>
  <c r="AM49"/>
  <c r="AM53"/>
  <c r="AM57"/>
  <c r="AM61"/>
  <c r="AM65"/>
  <c r="AM69"/>
  <c r="AM73"/>
  <c r="AM77"/>
  <c r="AM81"/>
  <c r="AM85"/>
  <c r="AM92"/>
  <c r="AM100"/>
  <c r="AM108"/>
  <c r="AM116"/>
  <c r="AM124"/>
  <c r="AM132"/>
  <c r="AM140"/>
  <c r="AM148"/>
  <c r="AM156"/>
  <c r="AM164"/>
  <c r="AM172"/>
  <c r="AM180"/>
  <c r="AM188"/>
  <c r="AM196"/>
  <c r="AM204"/>
  <c r="AM212"/>
  <c r="AM220"/>
  <c r="AM228"/>
  <c r="AM236"/>
  <c r="AM244"/>
  <c r="AM252"/>
  <c r="AM260"/>
  <c r="AM268"/>
  <c r="AM276"/>
  <c r="AM284"/>
  <c r="AM292"/>
  <c r="AM300"/>
  <c r="AM308"/>
  <c r="AM316"/>
  <c r="AM324"/>
  <c r="AM332"/>
  <c r="AM340"/>
  <c r="AM348"/>
  <c r="AM356"/>
  <c r="AM364"/>
  <c r="AM372"/>
  <c r="AM380"/>
  <c r="AM388"/>
  <c r="AM396"/>
  <c r="AM404"/>
  <c r="AT7"/>
  <c r="AT15"/>
  <c r="AT25"/>
  <c r="AT41"/>
  <c r="AT57"/>
  <c r="AT73"/>
  <c r="AT89"/>
  <c r="AT105"/>
  <c r="AT121"/>
  <c r="AT137"/>
  <c r="AT153"/>
  <c r="AT169"/>
  <c r="AT185"/>
  <c r="AT201"/>
  <c r="AT217"/>
  <c r="AT233"/>
  <c r="AT249"/>
  <c r="AT265"/>
  <c r="AT281"/>
  <c r="AT297"/>
  <c r="AT313"/>
  <c r="AT329"/>
  <c r="AT345"/>
  <c r="AT361"/>
  <c r="AT377"/>
  <c r="AT393"/>
  <c r="BA5"/>
  <c r="BA21"/>
  <c r="BA37"/>
  <c r="BA53"/>
  <c r="BA69"/>
  <c r="BA85"/>
  <c r="BA101"/>
  <c r="BA117"/>
  <c r="BA136"/>
  <c r="BA168"/>
  <c r="BA200"/>
  <c r="BA232"/>
  <c r="BA264"/>
  <c r="BA296"/>
  <c r="BA357"/>
  <c r="BH17"/>
  <c r="BH81"/>
  <c r="BH145"/>
  <c r="BH299"/>
  <c r="AM89"/>
  <c r="AM93"/>
  <c r="AM97"/>
  <c r="AM101"/>
  <c r="AM105"/>
  <c r="AM109"/>
  <c r="AM113"/>
  <c r="AM117"/>
  <c r="AM121"/>
  <c r="AM125"/>
  <c r="AM129"/>
  <c r="AM133"/>
  <c r="AM137"/>
  <c r="AM141"/>
  <c r="AM145"/>
  <c r="AM149"/>
  <c r="AM153"/>
  <c r="AM157"/>
  <c r="AM161"/>
  <c r="AM165"/>
  <c r="AM169"/>
  <c r="AM173"/>
  <c r="AM177"/>
  <c r="AM181"/>
  <c r="AM185"/>
  <c r="AM189"/>
  <c r="AM193"/>
  <c r="AM197"/>
  <c r="AM201"/>
  <c r="AM205"/>
  <c r="AM209"/>
  <c r="AM213"/>
  <c r="AM217"/>
  <c r="AM221"/>
  <c r="AM225"/>
  <c r="AM229"/>
  <c r="AM233"/>
  <c r="AM237"/>
  <c r="AM241"/>
  <c r="AM245"/>
  <c r="AM249"/>
  <c r="AM253"/>
  <c r="AM257"/>
  <c r="AM261"/>
  <c r="AM265"/>
  <c r="AM269"/>
  <c r="AM273"/>
  <c r="AM277"/>
  <c r="AM281"/>
  <c r="AM285"/>
  <c r="AM289"/>
  <c r="AM293"/>
  <c r="AM297"/>
  <c r="AM301"/>
  <c r="AM305"/>
  <c r="AM309"/>
  <c r="AM313"/>
  <c r="AM317"/>
  <c r="AM321"/>
  <c r="AM325"/>
  <c r="AM329"/>
  <c r="AM333"/>
  <c r="AM337"/>
  <c r="AM341"/>
  <c r="AM345"/>
  <c r="AM349"/>
  <c r="AM353"/>
  <c r="AM357"/>
  <c r="AM361"/>
  <c r="AM365"/>
  <c r="AM369"/>
  <c r="AM373"/>
  <c r="AM377"/>
  <c r="AM381"/>
  <c r="AM385"/>
  <c r="AM389"/>
  <c r="AM393"/>
  <c r="AM397"/>
  <c r="AM401"/>
  <c r="AM405"/>
  <c r="AT4"/>
  <c r="AT8"/>
  <c r="AT12"/>
  <c r="AT16"/>
  <c r="AT20"/>
  <c r="AT27"/>
  <c r="AT35"/>
  <c r="AT43"/>
  <c r="AT51"/>
  <c r="AT59"/>
  <c r="AT67"/>
  <c r="AT75"/>
  <c r="AT83"/>
  <c r="AT91"/>
  <c r="AT99"/>
  <c r="AT107"/>
  <c r="AT115"/>
  <c r="AT123"/>
  <c r="AT131"/>
  <c r="AT139"/>
  <c r="AT147"/>
  <c r="AT155"/>
  <c r="AT163"/>
  <c r="AT171"/>
  <c r="AT179"/>
  <c r="AT187"/>
  <c r="AT195"/>
  <c r="AT203"/>
  <c r="AT211"/>
  <c r="AT219"/>
  <c r="AT227"/>
  <c r="AT235"/>
  <c r="AT243"/>
  <c r="AT251"/>
  <c r="AT259"/>
  <c r="AT267"/>
  <c r="AT275"/>
  <c r="AT283"/>
  <c r="AT291"/>
  <c r="AT299"/>
  <c r="AT307"/>
  <c r="AT315"/>
  <c r="AT323"/>
  <c r="AT331"/>
  <c r="AT339"/>
  <c r="AT347"/>
  <c r="AT355"/>
  <c r="AT363"/>
  <c r="AT379"/>
  <c r="AT395"/>
  <c r="BA7"/>
  <c r="BA23"/>
  <c r="BA39"/>
  <c r="BA55"/>
  <c r="BA71"/>
  <c r="BA87"/>
  <c r="BA103"/>
  <c r="BA119"/>
  <c r="BA140"/>
  <c r="BA172"/>
  <c r="BA204"/>
  <c r="BA236"/>
  <c r="BA268"/>
  <c r="BA301"/>
  <c r="BA365"/>
  <c r="BH25"/>
  <c r="BH89"/>
  <c r="BH155"/>
  <c r="BH331"/>
  <c r="AT26"/>
  <c r="AT34"/>
  <c r="AT42"/>
  <c r="AT50"/>
  <c r="AT58"/>
  <c r="AT66"/>
  <c r="AT74"/>
  <c r="AT82"/>
  <c r="AT90"/>
  <c r="AT98"/>
  <c r="AT106"/>
  <c r="AT114"/>
  <c r="AT122"/>
  <c r="AT130"/>
  <c r="AT138"/>
  <c r="AT146"/>
  <c r="AT154"/>
  <c r="AT162"/>
  <c r="AT170"/>
  <c r="AT178"/>
  <c r="AT186"/>
  <c r="AT194"/>
  <c r="AT202"/>
  <c r="AT210"/>
  <c r="AT218"/>
  <c r="AT226"/>
  <c r="AT234"/>
  <c r="AT242"/>
  <c r="AT250"/>
  <c r="AT258"/>
  <c r="AT266"/>
  <c r="AT274"/>
  <c r="AT282"/>
  <c r="AT290"/>
  <c r="AT298"/>
  <c r="AT306"/>
  <c r="AT314"/>
  <c r="AT322"/>
  <c r="AT330"/>
  <c r="AT338"/>
  <c r="AT346"/>
  <c r="AT354"/>
  <c r="AT362"/>
  <c r="AT370"/>
  <c r="AT378"/>
  <c r="AT386"/>
  <c r="AT394"/>
  <c r="AT402"/>
  <c r="BA6"/>
  <c r="BA14"/>
  <c r="BA22"/>
  <c r="BA30"/>
  <c r="BA38"/>
  <c r="BA46"/>
  <c r="BA54"/>
  <c r="BA62"/>
  <c r="BA70"/>
  <c r="BA78"/>
  <c r="BA86"/>
  <c r="BA94"/>
  <c r="BA102"/>
  <c r="BA110"/>
  <c r="BA118"/>
  <c r="BA126"/>
  <c r="BA138"/>
  <c r="BA154"/>
  <c r="BA170"/>
  <c r="BA186"/>
  <c r="BA202"/>
  <c r="BA218"/>
  <c r="BA234"/>
  <c r="BA250"/>
  <c r="BA266"/>
  <c r="BA282"/>
  <c r="BA298"/>
  <c r="BA329"/>
  <c r="BA361"/>
  <c r="BA393"/>
  <c r="BH21"/>
  <c r="BH53"/>
  <c r="BH85"/>
  <c r="BH117"/>
  <c r="BH149"/>
  <c r="BH211"/>
  <c r="BH315"/>
  <c r="BA133"/>
  <c r="BA141"/>
  <c r="BA149"/>
  <c r="BA157"/>
  <c r="BA165"/>
  <c r="BA173"/>
  <c r="BA181"/>
  <c r="BA189"/>
  <c r="BA197"/>
  <c r="BA205"/>
  <c r="BA213"/>
  <c r="BA221"/>
  <c r="BA229"/>
  <c r="BA237"/>
  <c r="BA245"/>
  <c r="BA253"/>
  <c r="BA261"/>
  <c r="BA269"/>
  <c r="BA277"/>
  <c r="BA285"/>
  <c r="BA293"/>
  <c r="BA303"/>
  <c r="BA335"/>
  <c r="BA367"/>
  <c r="BA399"/>
  <c r="BH27"/>
  <c r="BH59"/>
  <c r="BH91"/>
  <c r="BH123"/>
  <c r="BH159"/>
  <c r="BH223"/>
  <c r="BH339"/>
  <c r="BA306"/>
  <c r="BA322"/>
  <c r="BA338"/>
  <c r="BA354"/>
  <c r="BA370"/>
  <c r="BA386"/>
  <c r="BA402"/>
  <c r="BH14"/>
  <c r="BH30"/>
  <c r="BH46"/>
  <c r="BH62"/>
  <c r="BH78"/>
  <c r="BH94"/>
  <c r="BH110"/>
  <c r="BH126"/>
  <c r="BH142"/>
  <c r="BH165"/>
  <c r="BH197"/>
  <c r="BH229"/>
  <c r="BH287"/>
  <c r="BH351"/>
  <c r="BH156"/>
  <c r="BH188"/>
  <c r="BH220"/>
  <c r="BH269"/>
  <c r="BH333"/>
  <c r="BH397"/>
  <c r="BH262"/>
  <c r="BH294"/>
  <c r="BH326"/>
  <c r="BH358"/>
  <c r="BH390"/>
  <c r="BD31"/>
  <c r="BK31"/>
  <c r="AW31"/>
  <c r="AK47"/>
  <c r="X32"/>
  <c r="AP31"/>
  <c r="O28" i="17"/>
  <c r="P28" s="1"/>
  <c r="Y27" i="18" s="1"/>
  <c r="Z27" s="1"/>
  <c r="AL434" s="1"/>
  <c r="C30" i="17"/>
  <c r="M29"/>
  <c r="B29"/>
  <c r="L29" s="1"/>
  <c r="A30"/>
  <c r="N35"/>
  <c r="P6" i="8"/>
  <c r="A4"/>
  <c r="A3"/>
  <c r="A2"/>
  <c r="Y65" i="26" l="1"/>
  <c r="I64"/>
  <c r="Q64"/>
  <c r="AB63"/>
  <c r="AE63" s="1"/>
  <c r="T63"/>
  <c r="W63" s="1"/>
  <c r="L63"/>
  <c r="O63" s="1"/>
  <c r="D63"/>
  <c r="G63" s="1"/>
  <c r="A64"/>
  <c r="AK48" i="18"/>
  <c r="BD32"/>
  <c r="BK32"/>
  <c r="AW32"/>
  <c r="X33"/>
  <c r="AP32"/>
  <c r="O29" i="17"/>
  <c r="P29" s="1"/>
  <c r="Y28" i="18" s="1"/>
  <c r="AB28" s="1"/>
  <c r="AL637" s="1"/>
  <c r="AB27"/>
  <c r="AL636" s="1"/>
  <c r="AA27"/>
  <c r="AC27"/>
  <c r="AL737" s="1"/>
  <c r="A31" i="17"/>
  <c r="B30"/>
  <c r="L30" s="1"/>
  <c r="M30"/>
  <c r="C31"/>
  <c r="N36"/>
  <c r="J3" i="8"/>
  <c r="D2"/>
  <c r="Q65" i="26" l="1"/>
  <c r="Y66"/>
  <c r="AB64"/>
  <c r="AE64" s="1"/>
  <c r="T64"/>
  <c r="W64" s="1"/>
  <c r="L64"/>
  <c r="O64" s="1"/>
  <c r="D64"/>
  <c r="G64" s="1"/>
  <c r="A65"/>
  <c r="I65"/>
  <c r="Z28" i="18"/>
  <c r="AL435" s="1"/>
  <c r="BK33"/>
  <c r="BD33"/>
  <c r="AW33"/>
  <c r="AK49"/>
  <c r="AL535"/>
  <c r="X34"/>
  <c r="AP33"/>
  <c r="AC28"/>
  <c r="AL738" s="1"/>
  <c r="AA28"/>
  <c r="AL536" s="1"/>
  <c r="O30" i="17"/>
  <c r="P30" s="1"/>
  <c r="Y29" i="18" s="1"/>
  <c r="M31" i="17"/>
  <c r="C32"/>
  <c r="B31"/>
  <c r="L31" s="1"/>
  <c r="A32"/>
  <c r="N37"/>
  <c r="G2" i="8"/>
  <c r="D3"/>
  <c r="AB65" i="26" l="1"/>
  <c r="AE65" s="1"/>
  <c r="T65"/>
  <c r="W65" s="1"/>
  <c r="L65"/>
  <c r="O65" s="1"/>
  <c r="D65"/>
  <c r="G65" s="1"/>
  <c r="A66"/>
  <c r="Q66"/>
  <c r="I66"/>
  <c r="Y67"/>
  <c r="O31" i="17"/>
  <c r="P31" s="1"/>
  <c r="Y30" i="18" s="1"/>
  <c r="AC30" s="1"/>
  <c r="AL740" s="1"/>
  <c r="T23" i="1"/>
  <c r="BK34" i="18"/>
  <c r="BD34"/>
  <c r="AW34"/>
  <c r="AK50"/>
  <c r="X35"/>
  <c r="AP34"/>
  <c r="AB29"/>
  <c r="AL638" s="1"/>
  <c r="AC29"/>
  <c r="AL739" s="1"/>
  <c r="Z29"/>
  <c r="AL436" s="1"/>
  <c r="AA29"/>
  <c r="AL537" s="1"/>
  <c r="B32" i="17"/>
  <c r="L32" s="1"/>
  <c r="A33"/>
  <c r="C33"/>
  <c r="M32"/>
  <c r="N38"/>
  <c r="D4" i="8"/>
  <c r="T36" i="1"/>
  <c r="T27"/>
  <c r="T35"/>
  <c r="T26"/>
  <c r="T37"/>
  <c r="T28"/>
  <c r="T34"/>
  <c r="T25"/>
  <c r="I67" i="26" l="1"/>
  <c r="AB66"/>
  <c r="AE66" s="1"/>
  <c r="T66"/>
  <c r="W66" s="1"/>
  <c r="L66"/>
  <c r="O66" s="1"/>
  <c r="D66"/>
  <c r="G66" s="1"/>
  <c r="A67"/>
  <c r="Y68"/>
  <c r="Q67"/>
  <c r="AA30" i="18"/>
  <c r="AL538" s="1"/>
  <c r="AB30"/>
  <c r="AL639" s="1"/>
  <c r="Z30"/>
  <c r="AL437" s="1"/>
  <c r="AK51"/>
  <c r="BD35"/>
  <c r="BK35"/>
  <c r="AW35"/>
  <c r="X36"/>
  <c r="AP35"/>
  <c r="O32" i="17"/>
  <c r="P32" s="1"/>
  <c r="Y31" i="18" s="1"/>
  <c r="AA31" s="1"/>
  <c r="AL539" s="1"/>
  <c r="C34" i="17"/>
  <c r="M33"/>
  <c r="A34"/>
  <c r="B33"/>
  <c r="L33" s="1"/>
  <c r="N39"/>
  <c r="D5" i="8"/>
  <c r="Y69" i="26" l="1"/>
  <c r="I68"/>
  <c r="Q68"/>
  <c r="AB67"/>
  <c r="AE67" s="1"/>
  <c r="T67"/>
  <c r="W67" s="1"/>
  <c r="L67"/>
  <c r="O67" s="1"/>
  <c r="D67"/>
  <c r="G67" s="1"/>
  <c r="A68"/>
  <c r="BK36" i="18"/>
  <c r="BD36"/>
  <c r="AW36"/>
  <c r="AK52"/>
  <c r="X37"/>
  <c r="AP36"/>
  <c r="O33" i="17"/>
  <c r="P33" s="1"/>
  <c r="Y32" i="18" s="1"/>
  <c r="Z32" s="1"/>
  <c r="AL439" s="1"/>
  <c r="AB31"/>
  <c r="AL640" s="1"/>
  <c r="Z31"/>
  <c r="AC31"/>
  <c r="AL741" s="1"/>
  <c r="A35" i="17"/>
  <c r="B34"/>
  <c r="L34" s="1"/>
  <c r="M34"/>
  <c r="C35"/>
  <c r="N40"/>
  <c r="T32" i="1"/>
  <c r="D6" i="8"/>
  <c r="Q69" i="26" l="1"/>
  <c r="Y70"/>
  <c r="AB68"/>
  <c r="AE68" s="1"/>
  <c r="T68"/>
  <c r="W68" s="1"/>
  <c r="L68"/>
  <c r="O68" s="1"/>
  <c r="D68"/>
  <c r="G68" s="1"/>
  <c r="A69"/>
  <c r="I69"/>
  <c r="AL438" i="18"/>
  <c r="AK53"/>
  <c r="BK37"/>
  <c r="BD37"/>
  <c r="AW37"/>
  <c r="X38"/>
  <c r="AP37"/>
  <c r="AA32"/>
  <c r="AL540" s="1"/>
  <c r="AB32"/>
  <c r="AL641" s="1"/>
  <c r="AC32"/>
  <c r="AL742" s="1"/>
  <c r="O34" i="17"/>
  <c r="P34" s="1"/>
  <c r="Y33" i="18" s="1"/>
  <c r="AC33" s="1"/>
  <c r="AL743" s="1"/>
  <c r="M35" i="17"/>
  <c r="C36"/>
  <c r="B35"/>
  <c r="L35" s="1"/>
  <c r="A36"/>
  <c r="N41"/>
  <c r="D7" i="8"/>
  <c r="Q70" i="26" l="1"/>
  <c r="Y71"/>
  <c r="AB69"/>
  <c r="AE69" s="1"/>
  <c r="T69"/>
  <c r="W69" s="1"/>
  <c r="L69"/>
  <c r="O69" s="1"/>
  <c r="D69"/>
  <c r="G69" s="1"/>
  <c r="A70"/>
  <c r="I70"/>
  <c r="O35" i="17"/>
  <c r="P35" s="1"/>
  <c r="Y34" i="18" s="1"/>
  <c r="AB34" s="1"/>
  <c r="AL643" s="1"/>
  <c r="BK38"/>
  <c r="BD38"/>
  <c r="AW38"/>
  <c r="AK54"/>
  <c r="X39"/>
  <c r="AP38"/>
  <c r="AB33"/>
  <c r="AL642" s="1"/>
  <c r="AA33"/>
  <c r="AL541" s="1"/>
  <c r="Z33"/>
  <c r="AL440" s="1"/>
  <c r="A37" i="17"/>
  <c r="B36"/>
  <c r="L36" s="1"/>
  <c r="C37"/>
  <c r="M36"/>
  <c r="N42"/>
  <c r="D8" i="8"/>
  <c r="AB70" i="26" l="1"/>
  <c r="AE70" s="1"/>
  <c r="T70"/>
  <c r="W70" s="1"/>
  <c r="L70"/>
  <c r="O70" s="1"/>
  <c r="D70"/>
  <c r="G70" s="1"/>
  <c r="A71"/>
  <c r="Q71"/>
  <c r="I71"/>
  <c r="Y72"/>
  <c r="AC34" i="18"/>
  <c r="AL744" s="1"/>
  <c r="Z34"/>
  <c r="AL441" s="1"/>
  <c r="AA34"/>
  <c r="AL542" s="1"/>
  <c r="BD39"/>
  <c r="BK39"/>
  <c r="AW39"/>
  <c r="AK55"/>
  <c r="X40"/>
  <c r="AP39"/>
  <c r="O36" i="17"/>
  <c r="P36" s="1"/>
  <c r="Y35" i="18" s="1"/>
  <c r="M37" i="17"/>
  <c r="C38"/>
  <c r="A38"/>
  <c r="B37"/>
  <c r="L37" s="1"/>
  <c r="N43"/>
  <c r="D9" i="8"/>
  <c r="I72" i="26" l="1"/>
  <c r="AB71"/>
  <c r="AE71" s="1"/>
  <c r="T71"/>
  <c r="W71" s="1"/>
  <c r="L71"/>
  <c r="O71" s="1"/>
  <c r="D71"/>
  <c r="G71" s="1"/>
  <c r="A72"/>
  <c r="Y73"/>
  <c r="Q72"/>
  <c r="AK56" i="18"/>
  <c r="BD40"/>
  <c r="BK40"/>
  <c r="AW40"/>
  <c r="X41"/>
  <c r="AP40"/>
  <c r="O37" i="17"/>
  <c r="P37" s="1"/>
  <c r="Y36" i="18" s="1"/>
  <c r="AA36" s="1"/>
  <c r="AL544" s="1"/>
  <c r="B38" i="17"/>
  <c r="L38" s="1"/>
  <c r="A39"/>
  <c r="M38"/>
  <c r="C39"/>
  <c r="AA35" i="18"/>
  <c r="AL543" s="1"/>
  <c r="AC35"/>
  <c r="AL745" s="1"/>
  <c r="AB35"/>
  <c r="AL644" s="1"/>
  <c r="Z35"/>
  <c r="N44" i="17"/>
  <c r="D10" i="8"/>
  <c r="Y74" i="26" l="1"/>
  <c r="I73"/>
  <c r="Q73"/>
  <c r="AB72"/>
  <c r="AE72" s="1"/>
  <c r="T72"/>
  <c r="W72" s="1"/>
  <c r="L72"/>
  <c r="O72" s="1"/>
  <c r="D72"/>
  <c r="G72" s="1"/>
  <c r="A73"/>
  <c r="AL442" i="18"/>
  <c r="BK41"/>
  <c r="BD41"/>
  <c r="AW41"/>
  <c r="AK57"/>
  <c r="X42"/>
  <c r="AP41"/>
  <c r="AB36"/>
  <c r="AL645" s="1"/>
  <c r="AC36"/>
  <c r="AL746" s="1"/>
  <c r="Z36"/>
  <c r="AL443" s="1"/>
  <c r="C40" i="17"/>
  <c r="M39"/>
  <c r="A40"/>
  <c r="B39"/>
  <c r="L39" s="1"/>
  <c r="O38"/>
  <c r="P38" s="1"/>
  <c r="Y37" i="18" s="1"/>
  <c r="N45" i="17"/>
  <c r="D11" i="8"/>
  <c r="Q74" i="26" l="1"/>
  <c r="Y75"/>
  <c r="AB73"/>
  <c r="AE73" s="1"/>
  <c r="T73"/>
  <c r="W73" s="1"/>
  <c r="L73"/>
  <c r="O73" s="1"/>
  <c r="D73"/>
  <c r="G73" s="1"/>
  <c r="A74"/>
  <c r="I74"/>
  <c r="O39" i="17"/>
  <c r="P39" s="1"/>
  <c r="Y38" i="18" s="1"/>
  <c r="AA38" s="1"/>
  <c r="AL546" s="1"/>
  <c r="AK58"/>
  <c r="BK42"/>
  <c r="BD42"/>
  <c r="AW42"/>
  <c r="X43"/>
  <c r="AP42"/>
  <c r="AA37"/>
  <c r="AL545" s="1"/>
  <c r="AC37"/>
  <c r="AL747" s="1"/>
  <c r="Z37"/>
  <c r="AL444" s="1"/>
  <c r="AB37"/>
  <c r="AL646" s="1"/>
  <c r="A41" i="17"/>
  <c r="B40"/>
  <c r="L40" s="1"/>
  <c r="M40"/>
  <c r="C41"/>
  <c r="N46"/>
  <c r="D12" i="8"/>
  <c r="AB74" i="26" l="1"/>
  <c r="AE74" s="1"/>
  <c r="T74"/>
  <c r="W74" s="1"/>
  <c r="L74"/>
  <c r="O74" s="1"/>
  <c r="D74"/>
  <c r="G74" s="1"/>
  <c r="A75"/>
  <c r="Q75"/>
  <c r="I75"/>
  <c r="Y76"/>
  <c r="Z38" i="18"/>
  <c r="AL445" s="1"/>
  <c r="AC38"/>
  <c r="AL748" s="1"/>
  <c r="AB38"/>
  <c r="AL647" s="1"/>
  <c r="BD43"/>
  <c r="BK43"/>
  <c r="AW43"/>
  <c r="AK59"/>
  <c r="X44"/>
  <c r="AP43"/>
  <c r="O40" i="17"/>
  <c r="P40" s="1"/>
  <c r="Y39" i="18" s="1"/>
  <c r="AB39" s="1"/>
  <c r="AL648" s="1"/>
  <c r="M41" i="17"/>
  <c r="C42"/>
  <c r="A42"/>
  <c r="B41"/>
  <c r="L41" s="1"/>
  <c r="N47"/>
  <c r="D13" i="8"/>
  <c r="I76" i="26" l="1"/>
  <c r="AB75"/>
  <c r="AE75" s="1"/>
  <c r="T75"/>
  <c r="W75" s="1"/>
  <c r="L75"/>
  <c r="O75" s="1"/>
  <c r="D75"/>
  <c r="G75" s="1"/>
  <c r="A76"/>
  <c r="Y77"/>
  <c r="Q76"/>
  <c r="BK44" i="18"/>
  <c r="BD44"/>
  <c r="AW44"/>
  <c r="AK60"/>
  <c r="X45"/>
  <c r="AP44"/>
  <c r="AA39"/>
  <c r="AL547" s="1"/>
  <c r="AC39"/>
  <c r="AL749" s="1"/>
  <c r="Z39"/>
  <c r="O41" i="17"/>
  <c r="P41" s="1"/>
  <c r="Y40" i="18" s="1"/>
  <c r="AA40" s="1"/>
  <c r="AL548" s="1"/>
  <c r="C43" i="17"/>
  <c r="M42"/>
  <c r="B42"/>
  <c r="L42" s="1"/>
  <c r="A43"/>
  <c r="N48"/>
  <c r="D14" i="8"/>
  <c r="Y78" i="26" l="1"/>
  <c r="I77"/>
  <c r="Q77"/>
  <c r="AB76"/>
  <c r="AE76" s="1"/>
  <c r="T76"/>
  <c r="W76" s="1"/>
  <c r="L76"/>
  <c r="O76" s="1"/>
  <c r="D76"/>
  <c r="G76" s="1"/>
  <c r="A77"/>
  <c r="AK61" i="18"/>
  <c r="BK45"/>
  <c r="BD45"/>
  <c r="AW45"/>
  <c r="AL446"/>
  <c r="X46"/>
  <c r="AP45"/>
  <c r="AB40"/>
  <c r="AL649" s="1"/>
  <c r="AC40"/>
  <c r="AL750" s="1"/>
  <c r="O42" i="17"/>
  <c r="P42" s="1"/>
  <c r="Y41" i="18" s="1"/>
  <c r="AB41" s="1"/>
  <c r="AL650" s="1"/>
  <c r="Z40"/>
  <c r="AL447" s="1"/>
  <c r="A44" i="17"/>
  <c r="B43"/>
  <c r="L43" s="1"/>
  <c r="C44"/>
  <c r="M43"/>
  <c r="N49"/>
  <c r="D15" i="8"/>
  <c r="Q78" i="26" l="1"/>
  <c r="Y79"/>
  <c r="AC78"/>
  <c r="AB77"/>
  <c r="AE77" s="1"/>
  <c r="T77"/>
  <c r="W77" s="1"/>
  <c r="L77"/>
  <c r="O77" s="1"/>
  <c r="D77"/>
  <c r="G77" s="1"/>
  <c r="A78"/>
  <c r="I78"/>
  <c r="BK46" i="18"/>
  <c r="BD46"/>
  <c r="AW46"/>
  <c r="AK62"/>
  <c r="X47"/>
  <c r="AP46"/>
  <c r="Z41"/>
  <c r="AL448" s="1"/>
  <c r="AA41"/>
  <c r="AL549" s="1"/>
  <c r="AC41"/>
  <c r="AL751" s="1"/>
  <c r="O43" i="17"/>
  <c r="P43" s="1"/>
  <c r="Y42" i="18" s="1"/>
  <c r="M44" i="17"/>
  <c r="C45"/>
  <c r="A45"/>
  <c r="B44"/>
  <c r="L44" s="1"/>
  <c r="N50"/>
  <c r="D16" i="8"/>
  <c r="AB78" i="26" l="1"/>
  <c r="AE78" s="1"/>
  <c r="T78"/>
  <c r="W78" s="1"/>
  <c r="L78"/>
  <c r="O78" s="1"/>
  <c r="D78"/>
  <c r="G78" s="1"/>
  <c r="A79"/>
  <c r="E78"/>
  <c r="Q79"/>
  <c r="U78"/>
  <c r="I79"/>
  <c r="M78"/>
  <c r="Y80"/>
  <c r="AC79"/>
  <c r="AK63" i="18"/>
  <c r="BD47"/>
  <c r="BK47"/>
  <c r="AW47"/>
  <c r="X48"/>
  <c r="AP47"/>
  <c r="B45" i="17"/>
  <c r="L45" s="1"/>
  <c r="A46"/>
  <c r="O44"/>
  <c r="P44" s="1"/>
  <c r="Y43" i="18" s="1"/>
  <c r="M45" i="17"/>
  <c r="C46"/>
  <c r="Z42" i="18"/>
  <c r="AL449" s="1"/>
  <c r="AB42"/>
  <c r="AL651" s="1"/>
  <c r="AA42"/>
  <c r="AL550" s="1"/>
  <c r="AC42"/>
  <c r="AL752" s="1"/>
  <c r="N51" i="17"/>
  <c r="D17" i="8"/>
  <c r="I80" i="26" l="1"/>
  <c r="M79"/>
  <c r="AB79"/>
  <c r="AE79" s="1"/>
  <c r="T79"/>
  <c r="W79" s="1"/>
  <c r="L79"/>
  <c r="O79" s="1"/>
  <c r="D79"/>
  <c r="G79" s="1"/>
  <c r="A80"/>
  <c r="E79"/>
  <c r="Y81"/>
  <c r="AC80"/>
  <c r="Q80"/>
  <c r="U79"/>
  <c r="BD48" i="18"/>
  <c r="BK48"/>
  <c r="AW48"/>
  <c r="AK64"/>
  <c r="X49"/>
  <c r="AP48"/>
  <c r="O45" i="17"/>
  <c r="P45" s="1"/>
  <c r="Y44" i="18" s="1"/>
  <c r="AA44" s="1"/>
  <c r="AL552" s="1"/>
  <c r="A47" i="17"/>
  <c r="B46"/>
  <c r="L46" s="1"/>
  <c r="C47"/>
  <c r="M46"/>
  <c r="Z43" i="18"/>
  <c r="AL450" s="1"/>
  <c r="AB43"/>
  <c r="AL652" s="1"/>
  <c r="AA43"/>
  <c r="AL551" s="1"/>
  <c r="AC43"/>
  <c r="AL753" s="1"/>
  <c r="N52" i="17"/>
  <c r="D18" i="8"/>
  <c r="Y82" i="26" l="1"/>
  <c r="AC81"/>
  <c r="AB80"/>
  <c r="AE80" s="1"/>
  <c r="T80"/>
  <c r="W80" s="1"/>
  <c r="L80"/>
  <c r="O80" s="1"/>
  <c r="D80"/>
  <c r="G80" s="1"/>
  <c r="A81"/>
  <c r="E80"/>
  <c r="Q81"/>
  <c r="U80"/>
  <c r="I81"/>
  <c r="M80"/>
  <c r="AK65" i="18"/>
  <c r="BK49"/>
  <c r="BD49"/>
  <c r="AW49"/>
  <c r="X50"/>
  <c r="AP49"/>
  <c r="AB44"/>
  <c r="AL653" s="1"/>
  <c r="AC44"/>
  <c r="AL754" s="1"/>
  <c r="Z44"/>
  <c r="AL451" s="1"/>
  <c r="O46" i="17"/>
  <c r="P46" s="1"/>
  <c r="Y45" i="18" s="1"/>
  <c r="M47" i="17"/>
  <c r="C48"/>
  <c r="B47"/>
  <c r="L47" s="1"/>
  <c r="A48"/>
  <c r="N53"/>
  <c r="D19" i="8"/>
  <c r="Y83" i="26" l="1"/>
  <c r="AC82"/>
  <c r="I82"/>
  <c r="M81"/>
  <c r="Q82"/>
  <c r="U81"/>
  <c r="AB81"/>
  <c r="AE81" s="1"/>
  <c r="T81"/>
  <c r="W81" s="1"/>
  <c r="L81"/>
  <c r="O81" s="1"/>
  <c r="D81"/>
  <c r="G81" s="1"/>
  <c r="A82"/>
  <c r="E81"/>
  <c r="O47" i="17"/>
  <c r="P47" s="1"/>
  <c r="Y46" i="18" s="1"/>
  <c r="Z46" s="1"/>
  <c r="AL453" s="1"/>
  <c r="BK50"/>
  <c r="BD50"/>
  <c r="AW50"/>
  <c r="AK66"/>
  <c r="X51"/>
  <c r="AP50"/>
  <c r="B48" i="17"/>
  <c r="L48" s="1"/>
  <c r="A49"/>
  <c r="C49"/>
  <c r="M48"/>
  <c r="AB45" i="18"/>
  <c r="AL654" s="1"/>
  <c r="Z45"/>
  <c r="AL452" s="1"/>
  <c r="AA45"/>
  <c r="AL553" s="1"/>
  <c r="AC45"/>
  <c r="AL755" s="1"/>
  <c r="N54" i="17"/>
  <c r="D20" i="8"/>
  <c r="Q83" i="26" l="1"/>
  <c r="U82"/>
  <c r="AB82"/>
  <c r="AE82" s="1"/>
  <c r="T82"/>
  <c r="W82" s="1"/>
  <c r="L82"/>
  <c r="O82" s="1"/>
  <c r="D82"/>
  <c r="G82" s="1"/>
  <c r="A83"/>
  <c r="E82"/>
  <c r="I83"/>
  <c r="M82"/>
  <c r="Y84"/>
  <c r="AC83"/>
  <c r="AC46" i="18"/>
  <c r="AL756" s="1"/>
  <c r="AB46"/>
  <c r="AL655" s="1"/>
  <c r="AA46"/>
  <c r="AL554" s="1"/>
  <c r="AK67"/>
  <c r="BD51"/>
  <c r="BK51"/>
  <c r="AW51"/>
  <c r="X52"/>
  <c r="AP51"/>
  <c r="O48" i="17"/>
  <c r="P48" s="1"/>
  <c r="Y47" i="18" s="1"/>
  <c r="AA47" s="1"/>
  <c r="AL555" s="1"/>
  <c r="A50" i="17"/>
  <c r="B49"/>
  <c r="L49" s="1"/>
  <c r="C50"/>
  <c r="M49"/>
  <c r="N55"/>
  <c r="D21" i="8"/>
  <c r="Q84" i="26" l="1"/>
  <c r="U83"/>
  <c r="Y85"/>
  <c r="AC84"/>
  <c r="AB83"/>
  <c r="AE83" s="1"/>
  <c r="T83"/>
  <c r="W83" s="1"/>
  <c r="L83"/>
  <c r="O83" s="1"/>
  <c r="D83"/>
  <c r="G83" s="1"/>
  <c r="A84"/>
  <c r="E83"/>
  <c r="I84"/>
  <c r="M83"/>
  <c r="BK52" i="18"/>
  <c r="BD52"/>
  <c r="AW52"/>
  <c r="AK68"/>
  <c r="X53"/>
  <c r="AP52"/>
  <c r="Z47"/>
  <c r="AC47"/>
  <c r="AL757" s="1"/>
  <c r="O49" i="17"/>
  <c r="P49" s="1"/>
  <c r="Y48" i="18" s="1"/>
  <c r="AC48" s="1"/>
  <c r="AL758" s="1"/>
  <c r="AB47"/>
  <c r="AL656" s="1"/>
  <c r="M50" i="17"/>
  <c r="C51"/>
  <c r="B50"/>
  <c r="L50" s="1"/>
  <c r="A51"/>
  <c r="N56"/>
  <c r="D22" i="8"/>
  <c r="I85" i="26" l="1"/>
  <c r="M84"/>
  <c r="Q85"/>
  <c r="U84"/>
  <c r="Y86"/>
  <c r="AC85"/>
  <c r="AB84"/>
  <c r="AE84" s="1"/>
  <c r="T84"/>
  <c r="W84" s="1"/>
  <c r="L84"/>
  <c r="O84" s="1"/>
  <c r="D84"/>
  <c r="G84" s="1"/>
  <c r="A85"/>
  <c r="E84"/>
  <c r="O50" i="17"/>
  <c r="P50" s="1"/>
  <c r="Y49" i="18" s="1"/>
  <c r="AB49" s="1"/>
  <c r="AL658" s="1"/>
  <c r="AA48"/>
  <c r="AL556" s="1"/>
  <c r="AK69"/>
  <c r="BK53"/>
  <c r="BD53"/>
  <c r="AW53"/>
  <c r="AL454"/>
  <c r="X54"/>
  <c r="AP53"/>
  <c r="Z48"/>
  <c r="AL455" s="1"/>
  <c r="AB48"/>
  <c r="AL657" s="1"/>
  <c r="B51" i="17"/>
  <c r="L51" s="1"/>
  <c r="A52"/>
  <c r="C52"/>
  <c r="M51"/>
  <c r="N57"/>
  <c r="D23" i="8"/>
  <c r="AB85" i="26" l="1"/>
  <c r="AE85" s="1"/>
  <c r="T85"/>
  <c r="W85" s="1"/>
  <c r="L85"/>
  <c r="O85" s="1"/>
  <c r="D85"/>
  <c r="G85" s="1"/>
  <c r="A86"/>
  <c r="E85"/>
  <c r="Q86"/>
  <c r="U85"/>
  <c r="Y87"/>
  <c r="AC86"/>
  <c r="I86"/>
  <c r="M85"/>
  <c r="AC49" i="18"/>
  <c r="AL759" s="1"/>
  <c r="Z49"/>
  <c r="AL456" s="1"/>
  <c r="AA49"/>
  <c r="AL557" s="1"/>
  <c r="BK54"/>
  <c r="BD54"/>
  <c r="AW54"/>
  <c r="AK70"/>
  <c r="X55"/>
  <c r="AP54"/>
  <c r="O51" i="17"/>
  <c r="P51" s="1"/>
  <c r="Y50" i="18" s="1"/>
  <c r="AA50" s="1"/>
  <c r="AL558" s="1"/>
  <c r="C53" i="17"/>
  <c r="M52"/>
  <c r="A53"/>
  <c r="B52"/>
  <c r="L52" s="1"/>
  <c r="N58"/>
  <c r="D24" i="8"/>
  <c r="Y88" i="26" l="1"/>
  <c r="AC87"/>
  <c r="AB86"/>
  <c r="AE86" s="1"/>
  <c r="T86"/>
  <c r="W86" s="1"/>
  <c r="L86"/>
  <c r="O86" s="1"/>
  <c r="D86"/>
  <c r="G86" s="1"/>
  <c r="A87"/>
  <c r="E86"/>
  <c r="I87"/>
  <c r="M86"/>
  <c r="Q87"/>
  <c r="U86"/>
  <c r="AK71" i="18"/>
  <c r="BD55"/>
  <c r="BK55"/>
  <c r="AW55"/>
  <c r="X56"/>
  <c r="AP55"/>
  <c r="O52" i="17"/>
  <c r="P52" s="1"/>
  <c r="Y51" i="18" s="1"/>
  <c r="AA51" s="1"/>
  <c r="AL559" s="1"/>
  <c r="AB50"/>
  <c r="AL659" s="1"/>
  <c r="AC50"/>
  <c r="AL760" s="1"/>
  <c r="Z50"/>
  <c r="B53" i="17"/>
  <c r="L53" s="1"/>
  <c r="A54"/>
  <c r="M53"/>
  <c r="C54"/>
  <c r="N59"/>
  <c r="D25" i="8"/>
  <c r="AB87" i="26" l="1"/>
  <c r="AE87" s="1"/>
  <c r="T87"/>
  <c r="W87" s="1"/>
  <c r="L87"/>
  <c r="O87" s="1"/>
  <c r="D87"/>
  <c r="G87" s="1"/>
  <c r="A88"/>
  <c r="E87"/>
  <c r="Y89"/>
  <c r="AC88"/>
  <c r="Q88"/>
  <c r="U87"/>
  <c r="I88"/>
  <c r="M87"/>
  <c r="AL457" i="18"/>
  <c r="BD56"/>
  <c r="BK56"/>
  <c r="AW56"/>
  <c r="AK72"/>
  <c r="X57"/>
  <c r="AP56"/>
  <c r="AC51"/>
  <c r="AL761" s="1"/>
  <c r="Z51"/>
  <c r="AL458" s="1"/>
  <c r="AB51"/>
  <c r="AL660" s="1"/>
  <c r="C55" i="17"/>
  <c r="M54"/>
  <c r="A55"/>
  <c r="B54"/>
  <c r="L54" s="1"/>
  <c r="O53"/>
  <c r="P53" s="1"/>
  <c r="Y52" i="18" s="1"/>
  <c r="N60" i="17"/>
  <c r="D26" i="8"/>
  <c r="Q89" i="26" l="1"/>
  <c r="U88"/>
  <c r="AB88"/>
  <c r="AE88" s="1"/>
  <c r="T88"/>
  <c r="W88" s="1"/>
  <c r="L88"/>
  <c r="O88" s="1"/>
  <c r="D88"/>
  <c r="G88" s="1"/>
  <c r="A89"/>
  <c r="E88"/>
  <c r="I89"/>
  <c r="M88"/>
  <c r="Y90"/>
  <c r="AC89"/>
  <c r="O54" i="17"/>
  <c r="P54" s="1"/>
  <c r="Y53" i="18" s="1"/>
  <c r="Z53" s="1"/>
  <c r="AL460" s="1"/>
  <c r="AK73"/>
  <c r="BK57"/>
  <c r="BD57"/>
  <c r="AW57"/>
  <c r="X58"/>
  <c r="AP57"/>
  <c r="AA52"/>
  <c r="AL560" s="1"/>
  <c r="AB52"/>
  <c r="AL661" s="1"/>
  <c r="Z52"/>
  <c r="AL459" s="1"/>
  <c r="AC52"/>
  <c r="AL762" s="1"/>
  <c r="A56" i="17"/>
  <c r="B55"/>
  <c r="L55" s="1"/>
  <c r="M55"/>
  <c r="C56"/>
  <c r="N61"/>
  <c r="D27" i="8"/>
  <c r="I90" i="26" l="1"/>
  <c r="M89"/>
  <c r="AB89"/>
  <c r="AE89" s="1"/>
  <c r="T89"/>
  <c r="W89" s="1"/>
  <c r="L89"/>
  <c r="O89" s="1"/>
  <c r="D89"/>
  <c r="G89" s="1"/>
  <c r="A90"/>
  <c r="E89"/>
  <c r="Y91"/>
  <c r="AC90"/>
  <c r="Q90"/>
  <c r="U89"/>
  <c r="AB53" i="18"/>
  <c r="AL662" s="1"/>
  <c r="AA53"/>
  <c r="AL561" s="1"/>
  <c r="AC53"/>
  <c r="AL763" s="1"/>
  <c r="BK58"/>
  <c r="BD58"/>
  <c r="AW58"/>
  <c r="AK74"/>
  <c r="X59"/>
  <c r="AP58"/>
  <c r="O55" i="17"/>
  <c r="P55" s="1"/>
  <c r="Y54" i="18" s="1"/>
  <c r="M56" i="17"/>
  <c r="C57"/>
  <c r="A57"/>
  <c r="B56"/>
  <c r="L56" s="1"/>
  <c r="N62"/>
  <c r="D28" i="8"/>
  <c r="AC91" i="26" l="1"/>
  <c r="Z12"/>
  <c r="AB90"/>
  <c r="AE90" s="1"/>
  <c r="T90"/>
  <c r="W90" s="1"/>
  <c r="L90"/>
  <c r="O90" s="1"/>
  <c r="D90"/>
  <c r="G90" s="1"/>
  <c r="A91"/>
  <c r="E90"/>
  <c r="Q91"/>
  <c r="U90"/>
  <c r="I91"/>
  <c r="M90"/>
  <c r="Z54" i="18"/>
  <c r="AL461" s="1"/>
  <c r="AK75"/>
  <c r="BD59"/>
  <c r="BK59"/>
  <c r="AW59"/>
  <c r="X60"/>
  <c r="AP59"/>
  <c r="AA54"/>
  <c r="AL562" s="1"/>
  <c r="AB54"/>
  <c r="AL663" s="1"/>
  <c r="AC54"/>
  <c r="AL764" s="1"/>
  <c r="O56" i="17"/>
  <c r="P56" s="1"/>
  <c r="Y55" i="18" s="1"/>
  <c r="AA55" s="1"/>
  <c r="AL563" s="1"/>
  <c r="M57" i="17"/>
  <c r="C58"/>
  <c r="B57"/>
  <c r="L57" s="1"/>
  <c r="A58"/>
  <c r="N63"/>
  <c r="D29" i="8"/>
  <c r="Z13" i="26" l="1"/>
  <c r="AA12"/>
  <c r="U91"/>
  <c r="R12"/>
  <c r="AB91"/>
  <c r="AE91" s="1"/>
  <c r="T91"/>
  <c r="W91" s="1"/>
  <c r="L91"/>
  <c r="O91" s="1"/>
  <c r="D91"/>
  <c r="G91" s="1"/>
  <c r="E91"/>
  <c r="B12"/>
  <c r="M91"/>
  <c r="J12"/>
  <c r="O57" i="17"/>
  <c r="P57" s="1"/>
  <c r="Y56" i="18" s="1"/>
  <c r="AB56" s="1"/>
  <c r="AL665" s="1"/>
  <c r="BK60"/>
  <c r="BD60"/>
  <c r="AW60"/>
  <c r="AK76"/>
  <c r="X61"/>
  <c r="AP60"/>
  <c r="AB55"/>
  <c r="AL664" s="1"/>
  <c r="AC55"/>
  <c r="AL765" s="1"/>
  <c r="Z55"/>
  <c r="AL462" s="1"/>
  <c r="A59" i="17"/>
  <c r="B58"/>
  <c r="L58" s="1"/>
  <c r="C59"/>
  <c r="M58"/>
  <c r="N64"/>
  <c r="D30" i="8"/>
  <c r="R13" i="26" l="1"/>
  <c r="S12"/>
  <c r="Z14"/>
  <c r="AA13"/>
  <c r="AC13" s="1"/>
  <c r="AF12"/>
  <c r="J13"/>
  <c r="K12"/>
  <c r="B13"/>
  <c r="C12"/>
  <c r="Z56" i="18"/>
  <c r="AL463" s="1"/>
  <c r="AC56"/>
  <c r="AL766" s="1"/>
  <c r="AA56"/>
  <c r="AL564" s="1"/>
  <c r="AK77"/>
  <c r="BK61"/>
  <c r="BD61"/>
  <c r="AW61"/>
  <c r="X62"/>
  <c r="AP61"/>
  <c r="O58" i="17"/>
  <c r="P58" s="1"/>
  <c r="Y57" i="18" s="1"/>
  <c r="Z57" s="1"/>
  <c r="AL464" s="1"/>
  <c r="M59" i="17"/>
  <c r="C60"/>
  <c r="A60"/>
  <c r="B59"/>
  <c r="L59" s="1"/>
  <c r="N65"/>
  <c r="D31" i="8"/>
  <c r="AF13" i="26" l="1"/>
  <c r="P12"/>
  <c r="B14"/>
  <c r="C13"/>
  <c r="E13" s="1"/>
  <c r="Z15"/>
  <c r="AA14"/>
  <c r="AC14" s="1"/>
  <c r="H12"/>
  <c r="J14"/>
  <c r="K13"/>
  <c r="M13" s="1"/>
  <c r="R14"/>
  <c r="S13"/>
  <c r="U13" s="1"/>
  <c r="X12"/>
  <c r="BK62" i="18"/>
  <c r="BD62"/>
  <c r="AW62"/>
  <c r="AK78"/>
  <c r="X63"/>
  <c r="AP62"/>
  <c r="AA57"/>
  <c r="AB57"/>
  <c r="AL666" s="1"/>
  <c r="AC57"/>
  <c r="AL767" s="1"/>
  <c r="O59" i="17"/>
  <c r="P59" s="1"/>
  <c r="Y58" i="18" s="1"/>
  <c r="AB58" s="1"/>
  <c r="AL667" s="1"/>
  <c r="M60" i="17"/>
  <c r="C61"/>
  <c r="B60"/>
  <c r="L60" s="1"/>
  <c r="A61"/>
  <c r="N66"/>
  <c r="D32" i="8"/>
  <c r="P13" i="26" l="1"/>
  <c r="H13"/>
  <c r="AF14"/>
  <c r="X13"/>
  <c r="R15"/>
  <c r="S14"/>
  <c r="U14" s="1"/>
  <c r="B15"/>
  <c r="C14"/>
  <c r="E14" s="1"/>
  <c r="J15"/>
  <c r="K14"/>
  <c r="M14" s="1"/>
  <c r="Z16"/>
  <c r="AA15"/>
  <c r="AC15" s="1"/>
  <c r="O60" i="17"/>
  <c r="P60" s="1"/>
  <c r="Y59" i="18" s="1"/>
  <c r="AA59" s="1"/>
  <c r="AL567" s="1"/>
  <c r="AL565"/>
  <c r="AK79"/>
  <c r="BD63"/>
  <c r="BK63"/>
  <c r="AW63"/>
  <c r="X64"/>
  <c r="AP63"/>
  <c r="AC58"/>
  <c r="AL768" s="1"/>
  <c r="Z58"/>
  <c r="AL465" s="1"/>
  <c r="AA58"/>
  <c r="AL566" s="1"/>
  <c r="A62" i="17"/>
  <c r="B61"/>
  <c r="L61" s="1"/>
  <c r="C62"/>
  <c r="M61"/>
  <c r="N67"/>
  <c r="D33" i="8"/>
  <c r="H14" i="26" l="1"/>
  <c r="AF15"/>
  <c r="P14"/>
  <c r="J16"/>
  <c r="K15"/>
  <c r="M15" s="1"/>
  <c r="R16"/>
  <c r="S15"/>
  <c r="U15" s="1"/>
  <c r="X14"/>
  <c r="Z17"/>
  <c r="AA16"/>
  <c r="AC16" s="1"/>
  <c r="B16"/>
  <c r="C15"/>
  <c r="E15" s="1"/>
  <c r="AB59" i="18"/>
  <c r="AL668" s="1"/>
  <c r="Z59"/>
  <c r="AL466" s="1"/>
  <c r="AC59"/>
  <c r="AL769" s="1"/>
  <c r="BD64"/>
  <c r="BK64"/>
  <c r="AW64"/>
  <c r="AK80"/>
  <c r="X65"/>
  <c r="AP64"/>
  <c r="O61" i="17"/>
  <c r="P61" s="1"/>
  <c r="Y60" i="18" s="1"/>
  <c r="AA60" s="1"/>
  <c r="AL568" s="1"/>
  <c r="M62" i="17"/>
  <c r="C63"/>
  <c r="A63"/>
  <c r="B62"/>
  <c r="L62" s="1"/>
  <c r="N68"/>
  <c r="D34" i="8"/>
  <c r="H15" i="26" l="1"/>
  <c r="P15"/>
  <c r="AF16"/>
  <c r="X15"/>
  <c r="Z18"/>
  <c r="AA17"/>
  <c r="AC17" s="1"/>
  <c r="R17"/>
  <c r="S16"/>
  <c r="U16" s="1"/>
  <c r="B17"/>
  <c r="C16"/>
  <c r="E16" s="1"/>
  <c r="J17"/>
  <c r="K16"/>
  <c r="M16" s="1"/>
  <c r="AK81" i="18"/>
  <c r="BK65"/>
  <c r="BD65"/>
  <c r="AW65"/>
  <c r="X66"/>
  <c r="AP65"/>
  <c r="AB60"/>
  <c r="AL669" s="1"/>
  <c r="AC60"/>
  <c r="AL770" s="1"/>
  <c r="Z60"/>
  <c r="O62" i="17"/>
  <c r="P62" s="1"/>
  <c r="Y61" i="18" s="1"/>
  <c r="AC61" s="1"/>
  <c r="AL771" s="1"/>
  <c r="M63" i="17"/>
  <c r="C64"/>
  <c r="B63"/>
  <c r="L63" s="1"/>
  <c r="A64"/>
  <c r="N69"/>
  <c r="D35" i="8"/>
  <c r="X16" i="26" l="1"/>
  <c r="H16"/>
  <c r="AF17"/>
  <c r="P16"/>
  <c r="B18"/>
  <c r="C17"/>
  <c r="E17" s="1"/>
  <c r="Z19"/>
  <c r="AA18"/>
  <c r="AC18" s="1"/>
  <c r="J18"/>
  <c r="K17"/>
  <c r="M17" s="1"/>
  <c r="R18"/>
  <c r="S17"/>
  <c r="U17" s="1"/>
  <c r="O63" i="17"/>
  <c r="P63" s="1"/>
  <c r="Y62" i="18" s="1"/>
  <c r="Z62" s="1"/>
  <c r="AL469" s="1"/>
  <c r="AL467"/>
  <c r="BK66"/>
  <c r="BD66"/>
  <c r="AW66"/>
  <c r="AK82"/>
  <c r="X67"/>
  <c r="AP66"/>
  <c r="AB61"/>
  <c r="AL670" s="1"/>
  <c r="AA61"/>
  <c r="AL569" s="1"/>
  <c r="Z61"/>
  <c r="AL468" s="1"/>
  <c r="A65" i="17"/>
  <c r="B64"/>
  <c r="L64" s="1"/>
  <c r="C65"/>
  <c r="M64"/>
  <c r="N70"/>
  <c r="D36" i="8"/>
  <c r="X17" i="26" l="1"/>
  <c r="AF18"/>
  <c r="P17"/>
  <c r="J19"/>
  <c r="K18"/>
  <c r="M18" s="1"/>
  <c r="B19"/>
  <c r="C18"/>
  <c r="E18" s="1"/>
  <c r="R19"/>
  <c r="S18"/>
  <c r="U18" s="1"/>
  <c r="Z20"/>
  <c r="AA19"/>
  <c r="AC19" s="1"/>
  <c r="H17"/>
  <c r="AC62" i="18"/>
  <c r="AL772" s="1"/>
  <c r="AB62"/>
  <c r="AL671" s="1"/>
  <c r="AA62"/>
  <c r="AL570" s="1"/>
  <c r="AK83"/>
  <c r="BD67"/>
  <c r="BK67"/>
  <c r="AW67"/>
  <c r="X68"/>
  <c r="AP67"/>
  <c r="O64" i="17"/>
  <c r="P64" s="1"/>
  <c r="Y63" i="18" s="1"/>
  <c r="M65" i="17"/>
  <c r="C66"/>
  <c r="A66"/>
  <c r="B65"/>
  <c r="L65" s="1"/>
  <c r="N71"/>
  <c r="D37" i="8"/>
  <c r="X18" i="26" l="1"/>
  <c r="P18"/>
  <c r="AF19"/>
  <c r="H18"/>
  <c r="Z21"/>
  <c r="AA20"/>
  <c r="AC20" s="1"/>
  <c r="B20"/>
  <c r="C19"/>
  <c r="E19" s="1"/>
  <c r="R20"/>
  <c r="S19"/>
  <c r="U19" s="1"/>
  <c r="J20"/>
  <c r="K19"/>
  <c r="M19" s="1"/>
  <c r="BK68" i="18"/>
  <c r="BD68"/>
  <c r="AW68"/>
  <c r="AK84"/>
  <c r="X69"/>
  <c r="AP68"/>
  <c r="B66" i="17"/>
  <c r="L66" s="1"/>
  <c r="A67"/>
  <c r="O65"/>
  <c r="P65" s="1"/>
  <c r="Y64" i="18" s="1"/>
  <c r="M66" i="17"/>
  <c r="C67"/>
  <c r="Z63" i="18"/>
  <c r="AB63"/>
  <c r="AL672" s="1"/>
  <c r="AC63"/>
  <c r="AL773" s="1"/>
  <c r="AA63"/>
  <c r="AL571" s="1"/>
  <c r="N72" i="17"/>
  <c r="D38" i="8"/>
  <c r="P19" i="26" l="1"/>
  <c r="X19"/>
  <c r="AF20"/>
  <c r="H19"/>
  <c r="J21"/>
  <c r="K20"/>
  <c r="M20" s="1"/>
  <c r="B21"/>
  <c r="C20"/>
  <c r="E20" s="1"/>
  <c r="R21"/>
  <c r="S20"/>
  <c r="U20" s="1"/>
  <c r="Z22"/>
  <c r="AA21"/>
  <c r="AC21" s="1"/>
  <c r="AK85" i="18"/>
  <c r="BK69"/>
  <c r="BD69"/>
  <c r="AW69"/>
  <c r="AL470"/>
  <c r="X70"/>
  <c r="AP69"/>
  <c r="O66" i="17"/>
  <c r="P66" s="1"/>
  <c r="Y65" i="18" s="1"/>
  <c r="AC65" s="1"/>
  <c r="AL775" s="1"/>
  <c r="A68" i="17"/>
  <c r="B67"/>
  <c r="L67" s="1"/>
  <c r="C68"/>
  <c r="M67"/>
  <c r="AA64" i="18"/>
  <c r="AL572" s="1"/>
  <c r="AC64"/>
  <c r="AL774" s="1"/>
  <c r="Z64"/>
  <c r="AL471" s="1"/>
  <c r="AB64"/>
  <c r="AL673" s="1"/>
  <c r="N73" i="17"/>
  <c r="D39" i="8"/>
  <c r="P20" i="26" l="1"/>
  <c r="X20"/>
  <c r="AF21"/>
  <c r="H20"/>
  <c r="R22"/>
  <c r="S21"/>
  <c r="U21" s="1"/>
  <c r="J22"/>
  <c r="K21"/>
  <c r="M21" s="1"/>
  <c r="Z23"/>
  <c r="AA22"/>
  <c r="AC22" s="1"/>
  <c r="B22"/>
  <c r="C21"/>
  <c r="E21" s="1"/>
  <c r="BK70" i="18"/>
  <c r="BD70"/>
  <c r="AW70"/>
  <c r="AK86"/>
  <c r="X71"/>
  <c r="AP70"/>
  <c r="AB65"/>
  <c r="AL674" s="1"/>
  <c r="AA65"/>
  <c r="AL573" s="1"/>
  <c r="Z65"/>
  <c r="AL472" s="1"/>
  <c r="O67" i="17"/>
  <c r="P67" s="1"/>
  <c r="Y66" i="18" s="1"/>
  <c r="M68" i="17"/>
  <c r="C69"/>
  <c r="B68"/>
  <c r="L68" s="1"/>
  <c r="A69"/>
  <c r="N74"/>
  <c r="D40" i="8"/>
  <c r="H21" i="26" l="1"/>
  <c r="AF22"/>
  <c r="X21"/>
  <c r="P21"/>
  <c r="Z24"/>
  <c r="AA23"/>
  <c r="AC23" s="1"/>
  <c r="R23"/>
  <c r="S22"/>
  <c r="U22" s="1"/>
  <c r="B23"/>
  <c r="C22"/>
  <c r="E22" s="1"/>
  <c r="J23"/>
  <c r="K22"/>
  <c r="M22" s="1"/>
  <c r="O68" i="17"/>
  <c r="P68" s="1"/>
  <c r="Y67" i="18" s="1"/>
  <c r="AC67" s="1"/>
  <c r="AL777" s="1"/>
  <c r="AK87"/>
  <c r="BD71"/>
  <c r="BK71"/>
  <c r="AW71"/>
  <c r="X72"/>
  <c r="AP71"/>
  <c r="B69" i="17"/>
  <c r="L69" s="1"/>
  <c r="A70"/>
  <c r="M69"/>
  <c r="C70"/>
  <c r="AA66" i="18"/>
  <c r="AL574" s="1"/>
  <c r="AC66"/>
  <c r="AL776" s="1"/>
  <c r="AB66"/>
  <c r="AL675" s="1"/>
  <c r="Z66"/>
  <c r="AL473" s="1"/>
  <c r="N75" i="17"/>
  <c r="D41" i="8"/>
  <c r="H22" i="26" l="1"/>
  <c r="AF23"/>
  <c r="P22"/>
  <c r="X22"/>
  <c r="B24"/>
  <c r="C23"/>
  <c r="E23" s="1"/>
  <c r="Z25"/>
  <c r="AA24"/>
  <c r="AC24" s="1"/>
  <c r="J24"/>
  <c r="K23"/>
  <c r="M23" s="1"/>
  <c r="R24"/>
  <c r="S23"/>
  <c r="U23" s="1"/>
  <c r="Z67" i="18"/>
  <c r="AL474" s="1"/>
  <c r="AB67"/>
  <c r="AL676" s="1"/>
  <c r="AA67"/>
  <c r="AL575" s="1"/>
  <c r="BD72"/>
  <c r="BK72"/>
  <c r="AW72"/>
  <c r="AK88"/>
  <c r="X73"/>
  <c r="AP72"/>
  <c r="C71" i="17"/>
  <c r="M70"/>
  <c r="A71"/>
  <c r="B70"/>
  <c r="L70" s="1"/>
  <c r="O69"/>
  <c r="P69" s="1"/>
  <c r="Y68" i="18" s="1"/>
  <c r="N76" i="17"/>
  <c r="D42" i="8"/>
  <c r="P23" i="26" l="1"/>
  <c r="H23"/>
  <c r="X23"/>
  <c r="AF24"/>
  <c r="J25"/>
  <c r="K24"/>
  <c r="M24" s="1"/>
  <c r="B25"/>
  <c r="C24"/>
  <c r="E24" s="1"/>
  <c r="R25"/>
  <c r="S24"/>
  <c r="U24" s="1"/>
  <c r="Z26"/>
  <c r="AA25"/>
  <c r="AC25" s="1"/>
  <c r="O70" i="17"/>
  <c r="P70" s="1"/>
  <c r="Y69" i="18" s="1"/>
  <c r="AB69" s="1"/>
  <c r="AL678" s="1"/>
  <c r="AK89"/>
  <c r="BK73"/>
  <c r="BD73"/>
  <c r="AW73"/>
  <c r="X74"/>
  <c r="AP73"/>
  <c r="AC68"/>
  <c r="AL778" s="1"/>
  <c r="AA68"/>
  <c r="AL576" s="1"/>
  <c r="AB68"/>
  <c r="AL677" s="1"/>
  <c r="Z68"/>
  <c r="B71" i="17"/>
  <c r="L71" s="1"/>
  <c r="A72"/>
  <c r="M71"/>
  <c r="C72"/>
  <c r="N77"/>
  <c r="D43" i="8"/>
  <c r="H24" i="26" l="1"/>
  <c r="AF25"/>
  <c r="X24"/>
  <c r="P24"/>
  <c r="R26"/>
  <c r="S25"/>
  <c r="U25" s="1"/>
  <c r="J26"/>
  <c r="K25"/>
  <c r="M25" s="1"/>
  <c r="Z27"/>
  <c r="AA26"/>
  <c r="AC26" s="1"/>
  <c r="B26"/>
  <c r="C25"/>
  <c r="E25" s="1"/>
  <c r="AC69" i="18"/>
  <c r="AL779" s="1"/>
  <c r="AA69"/>
  <c r="AL577" s="1"/>
  <c r="Z69"/>
  <c r="AL476" s="1"/>
  <c r="BK74"/>
  <c r="BD74"/>
  <c r="AW74"/>
  <c r="AK90"/>
  <c r="AL475"/>
  <c r="X75"/>
  <c r="AP74"/>
  <c r="C73" i="17"/>
  <c r="M72"/>
  <c r="A73"/>
  <c r="B72"/>
  <c r="L72" s="1"/>
  <c r="O71"/>
  <c r="P71" s="1"/>
  <c r="Y70" i="18" s="1"/>
  <c r="N78" i="17"/>
  <c r="D44" i="8"/>
  <c r="P25" i="26" l="1"/>
  <c r="H25"/>
  <c r="AF26"/>
  <c r="X25"/>
  <c r="Z28"/>
  <c r="AA27"/>
  <c r="AC27" s="1"/>
  <c r="R27"/>
  <c r="S26"/>
  <c r="U26" s="1"/>
  <c r="B27"/>
  <c r="C26"/>
  <c r="E26" s="1"/>
  <c r="J27"/>
  <c r="K26"/>
  <c r="M26" s="1"/>
  <c r="O72" i="17"/>
  <c r="P72" s="1"/>
  <c r="Y71" i="18" s="1"/>
  <c r="AC71" s="1"/>
  <c r="AL781" s="1"/>
  <c r="BD75"/>
  <c r="BK75"/>
  <c r="AW75"/>
  <c r="AK91"/>
  <c r="X76"/>
  <c r="AP75"/>
  <c r="AC70"/>
  <c r="AL780" s="1"/>
  <c r="AA70"/>
  <c r="AL578" s="1"/>
  <c r="AB70"/>
  <c r="AL679" s="1"/>
  <c r="Z70"/>
  <c r="B73" i="17"/>
  <c r="L73" s="1"/>
  <c r="A74"/>
  <c r="C74"/>
  <c r="M73"/>
  <c r="N79"/>
  <c r="D45" i="8"/>
  <c r="X26" i="26" l="1"/>
  <c r="P26"/>
  <c r="H26"/>
  <c r="AF27"/>
  <c r="B28"/>
  <c r="C27"/>
  <c r="E27" s="1"/>
  <c r="Z29"/>
  <c r="AA28"/>
  <c r="AC28" s="1"/>
  <c r="J28"/>
  <c r="K27"/>
  <c r="M27" s="1"/>
  <c r="R28"/>
  <c r="S27"/>
  <c r="U27" s="1"/>
  <c r="AB71" i="18"/>
  <c r="AL680" s="1"/>
  <c r="Z71"/>
  <c r="AL478" s="1"/>
  <c r="AA71"/>
  <c r="AL579" s="1"/>
  <c r="AK92"/>
  <c r="BK76"/>
  <c r="BD76"/>
  <c r="AW76"/>
  <c r="AL477"/>
  <c r="X77"/>
  <c r="AP76"/>
  <c r="B74" i="17"/>
  <c r="L74" s="1"/>
  <c r="A75"/>
  <c r="C75"/>
  <c r="M74"/>
  <c r="O73"/>
  <c r="P73" s="1"/>
  <c r="Y72" i="18" s="1"/>
  <c r="N80" i="17"/>
  <c r="D46" i="8"/>
  <c r="P27" i="26" l="1"/>
  <c r="H27"/>
  <c r="X27"/>
  <c r="AF28"/>
  <c r="J29"/>
  <c r="K28"/>
  <c r="M28" s="1"/>
  <c r="B29"/>
  <c r="C28"/>
  <c r="E28" s="1"/>
  <c r="R29"/>
  <c r="S28"/>
  <c r="U28" s="1"/>
  <c r="Z30"/>
  <c r="AA29"/>
  <c r="AC29" s="1"/>
  <c r="BK77" i="18"/>
  <c r="BD77"/>
  <c r="AW77"/>
  <c r="AK93"/>
  <c r="X78"/>
  <c r="AP77"/>
  <c r="O74" i="17"/>
  <c r="P74" s="1"/>
  <c r="Y73" i="18" s="1"/>
  <c r="Z73" s="1"/>
  <c r="AL480" s="1"/>
  <c r="AB72"/>
  <c r="AL681" s="1"/>
  <c r="Z72"/>
  <c r="AL479" s="1"/>
  <c r="AA72"/>
  <c r="AL580" s="1"/>
  <c r="AC72"/>
  <c r="AL782" s="1"/>
  <c r="C76" i="17"/>
  <c r="M75"/>
  <c r="B75"/>
  <c r="L75" s="1"/>
  <c r="A76"/>
  <c r="N81"/>
  <c r="D47" i="8"/>
  <c r="H28" i="26" l="1"/>
  <c r="AF29"/>
  <c r="X28"/>
  <c r="P28"/>
  <c r="R30"/>
  <c r="S29"/>
  <c r="U29" s="1"/>
  <c r="J30"/>
  <c r="K29"/>
  <c r="M29" s="1"/>
  <c r="Z31"/>
  <c r="AA30"/>
  <c r="AC30" s="1"/>
  <c r="B30"/>
  <c r="C29"/>
  <c r="E29" s="1"/>
  <c r="BK78" i="18"/>
  <c r="BD78"/>
  <c r="AW78"/>
  <c r="AK94"/>
  <c r="X79"/>
  <c r="AP78"/>
  <c r="AA73"/>
  <c r="AL581" s="1"/>
  <c r="AB73"/>
  <c r="AL682" s="1"/>
  <c r="AC73"/>
  <c r="AL783" s="1"/>
  <c r="A77" i="17"/>
  <c r="B76"/>
  <c r="L76" s="1"/>
  <c r="O75"/>
  <c r="P75" s="1"/>
  <c r="Y74" i="18" s="1"/>
  <c r="C77" i="17"/>
  <c r="M76"/>
  <c r="N82"/>
  <c r="D48" i="8"/>
  <c r="P29" i="26" l="1"/>
  <c r="H29"/>
  <c r="AF30"/>
  <c r="X29"/>
  <c r="Z32"/>
  <c r="AA31"/>
  <c r="AC31" s="1"/>
  <c r="R31"/>
  <c r="S30"/>
  <c r="U30" s="1"/>
  <c r="B31"/>
  <c r="C30"/>
  <c r="E30" s="1"/>
  <c r="J31"/>
  <c r="K30"/>
  <c r="M30" s="1"/>
  <c r="AK95" i="18"/>
  <c r="BD79"/>
  <c r="BK79"/>
  <c r="AW79"/>
  <c r="X80"/>
  <c r="AP79"/>
  <c r="O76" i="17"/>
  <c r="P76" s="1"/>
  <c r="Y75" i="18" s="1"/>
  <c r="AB75" s="1"/>
  <c r="AL684" s="1"/>
  <c r="M77" i="17"/>
  <c r="C78"/>
  <c r="AB74" i="18"/>
  <c r="AL683" s="1"/>
  <c r="Z74"/>
  <c r="AL481" s="1"/>
  <c r="AC74"/>
  <c r="AL784" s="1"/>
  <c r="AA74"/>
  <c r="AL582" s="1"/>
  <c r="A78" i="17"/>
  <c r="B77"/>
  <c r="L77" s="1"/>
  <c r="N83"/>
  <c r="D49" i="8"/>
  <c r="X30" i="26" l="1"/>
  <c r="P30"/>
  <c r="AF31"/>
  <c r="B32"/>
  <c r="C31"/>
  <c r="E31" s="1"/>
  <c r="Z33"/>
  <c r="AA32"/>
  <c r="AC32" s="1"/>
  <c r="J32"/>
  <c r="K31"/>
  <c r="M31" s="1"/>
  <c r="R32"/>
  <c r="S31"/>
  <c r="U31" s="1"/>
  <c r="H30"/>
  <c r="BD80" i="18"/>
  <c r="BK80"/>
  <c r="AW80"/>
  <c r="AK96"/>
  <c r="X81"/>
  <c r="AP80"/>
  <c r="AC75"/>
  <c r="AL785" s="1"/>
  <c r="AA75"/>
  <c r="AL583" s="1"/>
  <c r="Z75"/>
  <c r="AL482" s="1"/>
  <c r="O77" i="17"/>
  <c r="P77" s="1"/>
  <c r="Y76" i="18" s="1"/>
  <c r="AC76" s="1"/>
  <c r="AL786" s="1"/>
  <c r="M78" i="17"/>
  <c r="C79"/>
  <c r="B78"/>
  <c r="L78" s="1"/>
  <c r="A79"/>
  <c r="N84"/>
  <c r="D50" i="8"/>
  <c r="P31" i="26" l="1"/>
  <c r="H31"/>
  <c r="X31"/>
  <c r="AF32"/>
  <c r="R33"/>
  <c r="S32"/>
  <c r="U32" s="1"/>
  <c r="Z34"/>
  <c r="AA33"/>
  <c r="AC33" s="1"/>
  <c r="J33"/>
  <c r="K32"/>
  <c r="M32" s="1"/>
  <c r="B33"/>
  <c r="C32"/>
  <c r="E32" s="1"/>
  <c r="O78" i="17"/>
  <c r="P78" s="1"/>
  <c r="Y77" i="18" s="1"/>
  <c r="Z77" s="1"/>
  <c r="AL484" s="1"/>
  <c r="AK97"/>
  <c r="BK81"/>
  <c r="BD81"/>
  <c r="AW81"/>
  <c r="X82"/>
  <c r="AP81"/>
  <c r="Z76"/>
  <c r="AL483" s="1"/>
  <c r="AA76"/>
  <c r="AL584" s="1"/>
  <c r="AB76"/>
  <c r="AL685" s="1"/>
  <c r="B79" i="17"/>
  <c r="L79" s="1"/>
  <c r="A80"/>
  <c r="C80"/>
  <c r="M79"/>
  <c r="N85"/>
  <c r="D51" i="8"/>
  <c r="AF33" i="26" l="1"/>
  <c r="H32"/>
  <c r="P32"/>
  <c r="X32"/>
  <c r="J34"/>
  <c r="K33"/>
  <c r="M33" s="1"/>
  <c r="R34"/>
  <c r="S33"/>
  <c r="U33" s="1"/>
  <c r="B34"/>
  <c r="C33"/>
  <c r="E33" s="1"/>
  <c r="AA34"/>
  <c r="AC34" s="1"/>
  <c r="Z35"/>
  <c r="AB77" i="18"/>
  <c r="AL686" s="1"/>
  <c r="AA77"/>
  <c r="AL585" s="1"/>
  <c r="AC77"/>
  <c r="AL787" s="1"/>
  <c r="BK82"/>
  <c r="BD82"/>
  <c r="AW82"/>
  <c r="AK98"/>
  <c r="X83"/>
  <c r="AP82"/>
  <c r="O79" i="17"/>
  <c r="P79" s="1"/>
  <c r="Y78" i="18" s="1"/>
  <c r="AC78" s="1"/>
  <c r="AL788" s="1"/>
  <c r="A81" i="17"/>
  <c r="B80"/>
  <c r="L80" s="1"/>
  <c r="C81"/>
  <c r="M80"/>
  <c r="N86"/>
  <c r="D52" i="8"/>
  <c r="X33" i="26" l="1"/>
  <c r="H33"/>
  <c r="P33"/>
  <c r="AF34"/>
  <c r="AA35"/>
  <c r="AC35" s="1"/>
  <c r="Z36"/>
  <c r="C34"/>
  <c r="E34" s="1"/>
  <c r="B35"/>
  <c r="K34"/>
  <c r="M34" s="1"/>
  <c r="J35"/>
  <c r="S34"/>
  <c r="U34" s="1"/>
  <c r="R35"/>
  <c r="AK99" i="18"/>
  <c r="BD83"/>
  <c r="BK83"/>
  <c r="AW83"/>
  <c r="X84"/>
  <c r="AP83"/>
  <c r="Z78"/>
  <c r="AA78"/>
  <c r="AL586" s="1"/>
  <c r="AB78"/>
  <c r="AL687" s="1"/>
  <c r="O80" i="17"/>
  <c r="P80" s="1"/>
  <c r="Y79" i="18" s="1"/>
  <c r="AA79" s="1"/>
  <c r="AL587" s="1"/>
  <c r="M81" i="17"/>
  <c r="C82"/>
  <c r="A82"/>
  <c r="B81"/>
  <c r="L81" s="1"/>
  <c r="N87"/>
  <c r="D53" i="8"/>
  <c r="P34" i="26" l="1"/>
  <c r="AF35"/>
  <c r="X34"/>
  <c r="H34"/>
  <c r="K35"/>
  <c r="M35" s="1"/>
  <c r="J36"/>
  <c r="AA36"/>
  <c r="AC36" s="1"/>
  <c r="Z37"/>
  <c r="S35"/>
  <c r="U35" s="1"/>
  <c r="R36"/>
  <c r="C35"/>
  <c r="E35" s="1"/>
  <c r="B36"/>
  <c r="AL485" i="18"/>
  <c r="BK84"/>
  <c r="BD84"/>
  <c r="AW84"/>
  <c r="AK100"/>
  <c r="X85"/>
  <c r="AP84"/>
  <c r="Z79"/>
  <c r="AL486" s="1"/>
  <c r="AC79"/>
  <c r="AL789" s="1"/>
  <c r="O81" i="17"/>
  <c r="P81" s="1"/>
  <c r="Y80" i="18" s="1"/>
  <c r="Z80" s="1"/>
  <c r="AL487" s="1"/>
  <c r="AB79"/>
  <c r="AL688" s="1"/>
  <c r="C83" i="17"/>
  <c r="M82"/>
  <c r="A83"/>
  <c r="B82"/>
  <c r="L82" s="1"/>
  <c r="N88"/>
  <c r="D54" i="8"/>
  <c r="H35" i="26" l="1"/>
  <c r="X35"/>
  <c r="S36"/>
  <c r="U36" s="1"/>
  <c r="R37"/>
  <c r="K36"/>
  <c r="M36" s="1"/>
  <c r="J37"/>
  <c r="P35"/>
  <c r="C36"/>
  <c r="E36" s="1"/>
  <c r="B37"/>
  <c r="AA37"/>
  <c r="AC37" s="1"/>
  <c r="Z38"/>
  <c r="AF36"/>
  <c r="AK101" i="18"/>
  <c r="BK85"/>
  <c r="BD85"/>
  <c r="AW85"/>
  <c r="X86"/>
  <c r="AP85"/>
  <c r="O82" i="17"/>
  <c r="P82" s="1"/>
  <c r="Y81" i="18" s="1"/>
  <c r="Z81" s="1"/>
  <c r="AL488" s="1"/>
  <c r="AC80"/>
  <c r="AL790" s="1"/>
  <c r="AB80"/>
  <c r="AL689" s="1"/>
  <c r="AA80"/>
  <c r="A84" i="17"/>
  <c r="B83"/>
  <c r="L83" s="1"/>
  <c r="C84"/>
  <c r="M83"/>
  <c r="N89"/>
  <c r="D55" i="8"/>
  <c r="AF37" i="26" l="1"/>
  <c r="H36"/>
  <c r="AA38"/>
  <c r="AC38" s="1"/>
  <c r="Z39"/>
  <c r="P36"/>
  <c r="S37"/>
  <c r="U37" s="1"/>
  <c r="R38"/>
  <c r="C37"/>
  <c r="E37" s="1"/>
  <c r="B38"/>
  <c r="K37"/>
  <c r="M37" s="1"/>
  <c r="J38"/>
  <c r="X36"/>
  <c r="AL588" i="18"/>
  <c r="AB81"/>
  <c r="AL690" s="1"/>
  <c r="BK86"/>
  <c r="BD86"/>
  <c r="AW86"/>
  <c r="AK102"/>
  <c r="X87"/>
  <c r="AP86"/>
  <c r="AC81"/>
  <c r="AL791" s="1"/>
  <c r="AA81"/>
  <c r="AL589" s="1"/>
  <c r="O83" i="17"/>
  <c r="P83" s="1"/>
  <c r="Y82" i="18" s="1"/>
  <c r="AC82" s="1"/>
  <c r="AL792" s="1"/>
  <c r="M84" i="17"/>
  <c r="C85"/>
  <c r="A85"/>
  <c r="B84"/>
  <c r="L84" s="1"/>
  <c r="N90"/>
  <c r="D56" i="8"/>
  <c r="X37" i="26" l="1"/>
  <c r="C38"/>
  <c r="E38" s="1"/>
  <c r="B39"/>
  <c r="P37"/>
  <c r="H37"/>
  <c r="K38"/>
  <c r="M38" s="1"/>
  <c r="J39"/>
  <c r="S38"/>
  <c r="U38" s="1"/>
  <c r="R39"/>
  <c r="AA39"/>
  <c r="AC39" s="1"/>
  <c r="Z40"/>
  <c r="AF38"/>
  <c r="BD87" i="18"/>
  <c r="BK87"/>
  <c r="AW87"/>
  <c r="X88"/>
  <c r="AP87"/>
  <c r="AB82"/>
  <c r="AL691" s="1"/>
  <c r="AA82"/>
  <c r="AL590" s="1"/>
  <c r="O84" i="17"/>
  <c r="P84" s="1"/>
  <c r="Y83" i="18" s="1"/>
  <c r="Z83" s="1"/>
  <c r="AL490" s="1"/>
  <c r="Z82"/>
  <c r="M85" i="17"/>
  <c r="C86"/>
  <c r="A86"/>
  <c r="B85"/>
  <c r="L85" s="1"/>
  <c r="N91"/>
  <c r="D57" i="8"/>
  <c r="X38" i="26" l="1"/>
  <c r="AF39"/>
  <c r="P38"/>
  <c r="AA40"/>
  <c r="AC40" s="1"/>
  <c r="Z41"/>
  <c r="K39"/>
  <c r="M39" s="1"/>
  <c r="J40"/>
  <c r="S39"/>
  <c r="U39" s="1"/>
  <c r="R40"/>
  <c r="H38"/>
  <c r="C39"/>
  <c r="E39" s="1"/>
  <c r="B40"/>
  <c r="AL489" i="18"/>
  <c r="BD88"/>
  <c r="BK88"/>
  <c r="AW88"/>
  <c r="X89"/>
  <c r="AP88"/>
  <c r="AB83"/>
  <c r="AL692" s="1"/>
  <c r="AC83"/>
  <c r="AL793" s="1"/>
  <c r="O85" i="17"/>
  <c r="P85" s="1"/>
  <c r="Y84" i="18" s="1"/>
  <c r="AA84" s="1"/>
  <c r="AL592" s="1"/>
  <c r="AA83"/>
  <c r="AL591" s="1"/>
  <c r="M86" i="17"/>
  <c r="C87"/>
  <c r="A87"/>
  <c r="B86"/>
  <c r="L86" s="1"/>
  <c r="N92"/>
  <c r="D58" i="8"/>
  <c r="AF40" i="26" l="1"/>
  <c r="X39"/>
  <c r="P39"/>
  <c r="H39"/>
  <c r="K40"/>
  <c r="M40" s="1"/>
  <c r="J41"/>
  <c r="C40"/>
  <c r="E40" s="1"/>
  <c r="B41"/>
  <c r="S40"/>
  <c r="U40" s="1"/>
  <c r="R41"/>
  <c r="AA41"/>
  <c r="AC41" s="1"/>
  <c r="Z42"/>
  <c r="AC84" i="18"/>
  <c r="AL794" s="1"/>
  <c r="BK89"/>
  <c r="BD89"/>
  <c r="AW89"/>
  <c r="X90"/>
  <c r="AP89"/>
  <c r="Z84"/>
  <c r="AL491" s="1"/>
  <c r="O86" i="17"/>
  <c r="P86" s="1"/>
  <c r="Y85" i="18" s="1"/>
  <c r="Z85" s="1"/>
  <c r="AL492" s="1"/>
  <c r="AB84"/>
  <c r="AL693" s="1"/>
  <c r="A88" i="17"/>
  <c r="B87"/>
  <c r="L87" s="1"/>
  <c r="M87"/>
  <c r="C88"/>
  <c r="N93"/>
  <c r="D59" i="8"/>
  <c r="X40" i="26" l="1"/>
  <c r="P40"/>
  <c r="AF41"/>
  <c r="H40"/>
  <c r="S41"/>
  <c r="U41" s="1"/>
  <c r="R42"/>
  <c r="K41"/>
  <c r="M41" s="1"/>
  <c r="J42"/>
  <c r="AA42"/>
  <c r="AC42" s="1"/>
  <c r="Z43"/>
  <c r="C41"/>
  <c r="E41" s="1"/>
  <c r="B42"/>
  <c r="BK90" i="18"/>
  <c r="BD90"/>
  <c r="AW90"/>
  <c r="X91"/>
  <c r="AP90"/>
  <c r="AB85"/>
  <c r="AL694" s="1"/>
  <c r="AC85"/>
  <c r="AL795" s="1"/>
  <c r="AA85"/>
  <c r="AL593" s="1"/>
  <c r="O87" i="17"/>
  <c r="P87" s="1"/>
  <c r="Y86" i="18" s="1"/>
  <c r="M88" i="17"/>
  <c r="C89"/>
  <c r="A89"/>
  <c r="B88"/>
  <c r="L88" s="1"/>
  <c r="N94"/>
  <c r="D60" i="8"/>
  <c r="AA43" i="26" l="1"/>
  <c r="AC43" s="1"/>
  <c r="Z44"/>
  <c r="S42"/>
  <c r="U42" s="1"/>
  <c r="R43"/>
  <c r="AF42"/>
  <c r="X41"/>
  <c r="C42"/>
  <c r="E42" s="1"/>
  <c r="B43"/>
  <c r="K42"/>
  <c r="M42" s="1"/>
  <c r="J43"/>
  <c r="H41"/>
  <c r="P41"/>
  <c r="BD91" i="18"/>
  <c r="BK91"/>
  <c r="AW91"/>
  <c r="X92"/>
  <c r="AP91"/>
  <c r="AB86"/>
  <c r="AL695" s="1"/>
  <c r="AA86"/>
  <c r="AL594" s="1"/>
  <c r="Z86"/>
  <c r="AL493" s="1"/>
  <c r="AC86"/>
  <c r="AL796" s="1"/>
  <c r="O88" i="17"/>
  <c r="P88" s="1"/>
  <c r="Y87" i="18" s="1"/>
  <c r="AA87" s="1"/>
  <c r="AL595" s="1"/>
  <c r="A90" i="17"/>
  <c r="B89"/>
  <c r="L89" s="1"/>
  <c r="M89"/>
  <c r="C90"/>
  <c r="N95"/>
  <c r="D61" i="8"/>
  <c r="P42" i="26" l="1"/>
  <c r="AF43"/>
  <c r="H42"/>
  <c r="X42"/>
  <c r="C43"/>
  <c r="E43" s="1"/>
  <c r="B44"/>
  <c r="AA44"/>
  <c r="AC44" s="1"/>
  <c r="Z45"/>
  <c r="K43"/>
  <c r="M43" s="1"/>
  <c r="J44"/>
  <c r="S43"/>
  <c r="U43" s="1"/>
  <c r="R44"/>
  <c r="BK92" i="18"/>
  <c r="BD92"/>
  <c r="AW92"/>
  <c r="X93"/>
  <c r="AP92"/>
  <c r="Z87"/>
  <c r="AC87"/>
  <c r="AL797" s="1"/>
  <c r="O89" i="17"/>
  <c r="P89" s="1"/>
  <c r="Y88" i="18" s="1"/>
  <c r="AA88" s="1"/>
  <c r="AL596" s="1"/>
  <c r="AB87"/>
  <c r="AL696" s="1"/>
  <c r="C91" i="17"/>
  <c r="M90"/>
  <c r="A91"/>
  <c r="B90"/>
  <c r="L90" s="1"/>
  <c r="N96"/>
  <c r="D62" i="8"/>
  <c r="X43" i="26" l="1"/>
  <c r="P43"/>
  <c r="K44"/>
  <c r="M44" s="1"/>
  <c r="J45"/>
  <c r="C44"/>
  <c r="E44" s="1"/>
  <c r="B45"/>
  <c r="H43"/>
  <c r="S44"/>
  <c r="U44" s="1"/>
  <c r="R45"/>
  <c r="AA45"/>
  <c r="AC45" s="1"/>
  <c r="Z46"/>
  <c r="AF44"/>
  <c r="AL494" i="18"/>
  <c r="BK93"/>
  <c r="BD93"/>
  <c r="AW93"/>
  <c r="X94"/>
  <c r="AP93"/>
  <c r="AC88"/>
  <c r="AL798" s="1"/>
  <c r="O90" i="17"/>
  <c r="P90" s="1"/>
  <c r="Y89" i="18" s="1"/>
  <c r="AC89" s="1"/>
  <c r="AL799" s="1"/>
  <c r="Z88"/>
  <c r="AL495" s="1"/>
  <c r="AB88"/>
  <c r="AL697" s="1"/>
  <c r="A92" i="17"/>
  <c r="B91"/>
  <c r="L91" s="1"/>
  <c r="M91"/>
  <c r="C92"/>
  <c r="N97"/>
  <c r="D63" i="8"/>
  <c r="AF45" i="26" l="1"/>
  <c r="S45"/>
  <c r="U45" s="1"/>
  <c r="R46"/>
  <c r="C45"/>
  <c r="E45" s="1"/>
  <c r="B46"/>
  <c r="P44"/>
  <c r="AA46"/>
  <c r="AC46" s="1"/>
  <c r="Z47"/>
  <c r="H44"/>
  <c r="K45"/>
  <c r="M45" s="1"/>
  <c r="J46"/>
  <c r="X44"/>
  <c r="BK94" i="18"/>
  <c r="BD94"/>
  <c r="AW94"/>
  <c r="X95"/>
  <c r="AP94"/>
  <c r="Z89"/>
  <c r="AL496" s="1"/>
  <c r="AA89"/>
  <c r="AL597" s="1"/>
  <c r="AB89"/>
  <c r="AL698" s="1"/>
  <c r="M92" i="17"/>
  <c r="C93"/>
  <c r="O91"/>
  <c r="P91" s="1"/>
  <c r="Y90" i="18" s="1"/>
  <c r="A93" i="17"/>
  <c r="B92"/>
  <c r="L92" s="1"/>
  <c r="N98"/>
  <c r="D64" i="8"/>
  <c r="H45" i="26" l="1"/>
  <c r="P45"/>
  <c r="AF46"/>
  <c r="K46"/>
  <c r="M46" s="1"/>
  <c r="J47"/>
  <c r="AA47"/>
  <c r="AC47" s="1"/>
  <c r="Z48"/>
  <c r="C46"/>
  <c r="E46" s="1"/>
  <c r="B47"/>
  <c r="X45"/>
  <c r="S46"/>
  <c r="U46" s="1"/>
  <c r="R47"/>
  <c r="O92" i="17"/>
  <c r="P92" s="1"/>
  <c r="Y91" i="18" s="1"/>
  <c r="AA91" s="1"/>
  <c r="AL599" s="1"/>
  <c r="BD95"/>
  <c r="BK95"/>
  <c r="AW95"/>
  <c r="X96"/>
  <c r="AP95"/>
  <c r="A94" i="17"/>
  <c r="B93"/>
  <c r="L93" s="1"/>
  <c r="M93"/>
  <c r="C94"/>
  <c r="AB90" i="18"/>
  <c r="AL699" s="1"/>
  <c r="Z90"/>
  <c r="AL497" s="1"/>
  <c r="AC90"/>
  <c r="AL800" s="1"/>
  <c r="AA90"/>
  <c r="AL598" s="1"/>
  <c r="N99" i="17"/>
  <c r="D65" i="8"/>
  <c r="X46" i="26" l="1"/>
  <c r="H46"/>
  <c r="S47"/>
  <c r="U47" s="1"/>
  <c r="R48"/>
  <c r="C47"/>
  <c r="E47" s="1"/>
  <c r="B48"/>
  <c r="K47"/>
  <c r="M47" s="1"/>
  <c r="J48"/>
  <c r="AA48"/>
  <c r="AC48" s="1"/>
  <c r="Z49"/>
  <c r="AF47"/>
  <c r="P46"/>
  <c r="Z91" i="18"/>
  <c r="AL498" s="1"/>
  <c r="AB91"/>
  <c r="AL700" s="1"/>
  <c r="AC91"/>
  <c r="AL801" s="1"/>
  <c r="BD96"/>
  <c r="BK96"/>
  <c r="AW96"/>
  <c r="X97"/>
  <c r="AP96"/>
  <c r="O93" i="17"/>
  <c r="P93" s="1"/>
  <c r="Y92" i="18" s="1"/>
  <c r="M94" i="17"/>
  <c r="C95"/>
  <c r="A95"/>
  <c r="B94"/>
  <c r="L94" s="1"/>
  <c r="N100"/>
  <c r="D66" i="8"/>
  <c r="AF48" i="26" l="1"/>
  <c r="K48"/>
  <c r="M48" s="1"/>
  <c r="J49"/>
  <c r="S48"/>
  <c r="U48" s="1"/>
  <c r="R49"/>
  <c r="X47"/>
  <c r="P47"/>
  <c r="AA49"/>
  <c r="AC49" s="1"/>
  <c r="Z50"/>
  <c r="C48"/>
  <c r="E48" s="1"/>
  <c r="B49"/>
  <c r="H47"/>
  <c r="BK97" i="18"/>
  <c r="BD97"/>
  <c r="AW97"/>
  <c r="X98"/>
  <c r="AP97"/>
  <c r="AC92"/>
  <c r="AL802" s="1"/>
  <c r="AB92"/>
  <c r="AL701" s="1"/>
  <c r="AA92"/>
  <c r="AL600" s="1"/>
  <c r="Z92"/>
  <c r="O94" i="17"/>
  <c r="P94" s="1"/>
  <c r="Y93" i="18" s="1"/>
  <c r="AC93" s="1"/>
  <c r="AL803" s="1"/>
  <c r="M95" i="17"/>
  <c r="C96"/>
  <c r="A96"/>
  <c r="B95"/>
  <c r="L95" s="1"/>
  <c r="N101"/>
  <c r="D67" i="8"/>
  <c r="H48" i="26" l="1"/>
  <c r="AF49"/>
  <c r="C49"/>
  <c r="E49" s="1"/>
  <c r="B50"/>
  <c r="P48"/>
  <c r="S49"/>
  <c r="U49" s="1"/>
  <c r="R50"/>
  <c r="AA50"/>
  <c r="AC50" s="1"/>
  <c r="Z51"/>
  <c r="X48"/>
  <c r="K49"/>
  <c r="M49" s="1"/>
  <c r="J50"/>
  <c r="AL499" i="18"/>
  <c r="BK98"/>
  <c r="BD98"/>
  <c r="AW98"/>
  <c r="X99"/>
  <c r="AP98"/>
  <c r="Z93"/>
  <c r="AL500" s="1"/>
  <c r="AA93"/>
  <c r="AL601" s="1"/>
  <c r="AB93"/>
  <c r="AL702" s="1"/>
  <c r="O95" i="17"/>
  <c r="P95" s="1"/>
  <c r="Y94" i="18" s="1"/>
  <c r="AC94" s="1"/>
  <c r="AL804" s="1"/>
  <c r="M96" i="17"/>
  <c r="C97"/>
  <c r="A97"/>
  <c r="B96"/>
  <c r="L96" s="1"/>
  <c r="N102"/>
  <c r="D68" i="8"/>
  <c r="K50" i="26" l="1"/>
  <c r="M50" s="1"/>
  <c r="J51"/>
  <c r="AA51"/>
  <c r="AC51" s="1"/>
  <c r="Z52"/>
  <c r="P49"/>
  <c r="AF50"/>
  <c r="X49"/>
  <c r="S50"/>
  <c r="U50" s="1"/>
  <c r="R51"/>
  <c r="C50"/>
  <c r="E50" s="1"/>
  <c r="B51"/>
  <c r="H49"/>
  <c r="BD99" i="18"/>
  <c r="BK99"/>
  <c r="AW99"/>
  <c r="X100"/>
  <c r="AP99"/>
  <c r="Z94"/>
  <c r="AL501" s="1"/>
  <c r="AA94"/>
  <c r="AL602" s="1"/>
  <c r="O96" i="17"/>
  <c r="P96" s="1"/>
  <c r="Y95" i="18" s="1"/>
  <c r="Z95" s="1"/>
  <c r="AL502" s="1"/>
  <c r="AB94"/>
  <c r="AL703" s="1"/>
  <c r="M97" i="17"/>
  <c r="C98"/>
  <c r="A98"/>
  <c r="B97"/>
  <c r="L97" s="1"/>
  <c r="N103"/>
  <c r="D69" i="8"/>
  <c r="H50" i="26" l="1"/>
  <c r="X50"/>
  <c r="C51"/>
  <c r="E51" s="1"/>
  <c r="B52"/>
  <c r="P50"/>
  <c r="K51"/>
  <c r="M51" s="1"/>
  <c r="J52"/>
  <c r="S51"/>
  <c r="U51" s="1"/>
  <c r="R52"/>
  <c r="AF51"/>
  <c r="AA52"/>
  <c r="AC52" s="1"/>
  <c r="Z53"/>
  <c r="BK100" i="18"/>
  <c r="BD100"/>
  <c r="AW100"/>
  <c r="X101"/>
  <c r="AP100"/>
  <c r="AB95"/>
  <c r="AL704" s="1"/>
  <c r="O97" i="17"/>
  <c r="P97" s="1"/>
  <c r="Y96" i="18" s="1"/>
  <c r="AC96" s="1"/>
  <c r="AL806" s="1"/>
  <c r="AA95"/>
  <c r="AL603" s="1"/>
  <c r="AC95"/>
  <c r="AL805" s="1"/>
  <c r="M98" i="17"/>
  <c r="C99"/>
  <c r="A99"/>
  <c r="B98"/>
  <c r="L98" s="1"/>
  <c r="N104"/>
  <c r="D70" i="8"/>
  <c r="X51" i="26" l="1"/>
  <c r="P51"/>
  <c r="AF52"/>
  <c r="H51"/>
  <c r="K52"/>
  <c r="M52" s="1"/>
  <c r="J53"/>
  <c r="C52"/>
  <c r="E52" s="1"/>
  <c r="B53"/>
  <c r="AA53"/>
  <c r="AC53" s="1"/>
  <c r="Z54"/>
  <c r="S52"/>
  <c r="U52" s="1"/>
  <c r="R53"/>
  <c r="BK101" i="18"/>
  <c r="BD101"/>
  <c r="AW101"/>
  <c r="X102"/>
  <c r="AP101"/>
  <c r="AA96"/>
  <c r="AL604" s="1"/>
  <c r="Z96"/>
  <c r="AL503" s="1"/>
  <c r="AB96"/>
  <c r="AL705" s="1"/>
  <c r="O98" i="17"/>
  <c r="P98" s="1"/>
  <c r="Y97" i="18" s="1"/>
  <c r="AC97" s="1"/>
  <c r="AL807" s="1"/>
  <c r="M99" i="17"/>
  <c r="C100"/>
  <c r="A100"/>
  <c r="B99"/>
  <c r="L99" s="1"/>
  <c r="N105"/>
  <c r="D71" i="8"/>
  <c r="AA54" i="26" l="1"/>
  <c r="AC54" s="1"/>
  <c r="Z55"/>
  <c r="K53"/>
  <c r="J54"/>
  <c r="AF53"/>
  <c r="X52"/>
  <c r="S53"/>
  <c r="U53" s="1"/>
  <c r="R54"/>
  <c r="C53"/>
  <c r="E53" s="1"/>
  <c r="B54"/>
  <c r="H52"/>
  <c r="P52"/>
  <c r="M53"/>
  <c r="BK102" i="18"/>
  <c r="BD102"/>
  <c r="AW102"/>
  <c r="X104"/>
  <c r="AP102"/>
  <c r="Z97"/>
  <c r="AA97"/>
  <c r="AL605" s="1"/>
  <c r="AB97"/>
  <c r="AL706" s="1"/>
  <c r="O99" i="17"/>
  <c r="P99" s="1"/>
  <c r="Y98" i="18" s="1"/>
  <c r="AC98" s="1"/>
  <c r="AL808" s="1"/>
  <c r="M100" i="17"/>
  <c r="C101"/>
  <c r="A101"/>
  <c r="B100"/>
  <c r="L100" s="1"/>
  <c r="N106"/>
  <c r="D72" i="8"/>
  <c r="X53" i="26" l="1"/>
  <c r="H53"/>
  <c r="S54"/>
  <c r="U54" s="1"/>
  <c r="R55"/>
  <c r="AF54"/>
  <c r="AA55"/>
  <c r="AC55" s="1"/>
  <c r="Z56"/>
  <c r="P53"/>
  <c r="C54"/>
  <c r="E54" s="1"/>
  <c r="B55"/>
  <c r="K54"/>
  <c r="M54" s="1"/>
  <c r="J55"/>
  <c r="AL504" i="18"/>
  <c r="BK104"/>
  <c r="BD104"/>
  <c r="AW104"/>
  <c r="X105"/>
  <c r="AP104"/>
  <c r="Z98"/>
  <c r="AL505" s="1"/>
  <c r="AA98"/>
  <c r="AL606" s="1"/>
  <c r="AB98"/>
  <c r="AL707" s="1"/>
  <c r="O100" i="17"/>
  <c r="P100" s="1"/>
  <c r="Y99" i="18" s="1"/>
  <c r="AA99" s="1"/>
  <c r="AL607" s="1"/>
  <c r="M101" i="17"/>
  <c r="C102"/>
  <c r="A102"/>
  <c r="B101"/>
  <c r="L101" s="1"/>
  <c r="N107"/>
  <c r="D73" i="8"/>
  <c r="H54" i="26" l="1"/>
  <c r="AF55"/>
  <c r="P54"/>
  <c r="X54"/>
  <c r="C55"/>
  <c r="E55" s="1"/>
  <c r="B56"/>
  <c r="AA56"/>
  <c r="AC56" s="1"/>
  <c r="Z57"/>
  <c r="S55"/>
  <c r="U55" s="1"/>
  <c r="R56"/>
  <c r="K55"/>
  <c r="M55" s="1"/>
  <c r="J56"/>
  <c r="BD105" i="18"/>
  <c r="BK105"/>
  <c r="AW105"/>
  <c r="X106"/>
  <c r="AP105"/>
  <c r="Z99"/>
  <c r="AL506" s="1"/>
  <c r="AC99"/>
  <c r="AL809" s="1"/>
  <c r="O101" i="17"/>
  <c r="P101" s="1"/>
  <c r="Y100" i="18" s="1"/>
  <c r="Z100" s="1"/>
  <c r="AL507" s="1"/>
  <c r="AB99"/>
  <c r="AL708" s="1"/>
  <c r="M102" i="17"/>
  <c r="C103"/>
  <c r="A103"/>
  <c r="B102"/>
  <c r="L102" s="1"/>
  <c r="N108"/>
  <c r="D74" i="8"/>
  <c r="S56" i="26" l="1"/>
  <c r="U56" s="1"/>
  <c r="R57"/>
  <c r="C56"/>
  <c r="E56" s="1"/>
  <c r="B57"/>
  <c r="P55"/>
  <c r="H55"/>
  <c r="K56"/>
  <c r="M56" s="1"/>
  <c r="J57"/>
  <c r="AA57"/>
  <c r="AC57" s="1"/>
  <c r="Z58"/>
  <c r="X55"/>
  <c r="AF56"/>
  <c r="BK106" i="18"/>
  <c r="BD106"/>
  <c r="AW106"/>
  <c r="X107"/>
  <c r="AP106"/>
  <c r="AC100"/>
  <c r="AL810" s="1"/>
  <c r="AB100"/>
  <c r="AL709" s="1"/>
  <c r="O102" i="17"/>
  <c r="P102" s="1"/>
  <c r="Y101" i="18" s="1"/>
  <c r="AA100"/>
  <c r="AL608" s="1"/>
  <c r="M103" i="17"/>
  <c r="C104"/>
  <c r="A104"/>
  <c r="B103"/>
  <c r="L103" s="1"/>
  <c r="N109"/>
  <c r="D75" i="8"/>
  <c r="P56" i="26" l="1"/>
  <c r="AF57"/>
  <c r="X56"/>
  <c r="K57"/>
  <c r="M57" s="1"/>
  <c r="J58"/>
  <c r="S57"/>
  <c r="U57" s="1"/>
  <c r="R58"/>
  <c r="AA58"/>
  <c r="AC58" s="1"/>
  <c r="Z59"/>
  <c r="H56"/>
  <c r="C57"/>
  <c r="E57" s="1"/>
  <c r="B58"/>
  <c r="BK107" i="18"/>
  <c r="AW107"/>
  <c r="BD107"/>
  <c r="X108"/>
  <c r="AP107"/>
  <c r="AA101"/>
  <c r="AL609" s="1"/>
  <c r="Z101"/>
  <c r="AL508" s="1"/>
  <c r="AC101"/>
  <c r="AL811" s="1"/>
  <c r="AB101"/>
  <c r="AL710" s="1"/>
  <c r="O103" i="17"/>
  <c r="P103" s="1"/>
  <c r="Y102" i="18" s="1"/>
  <c r="M104" i="17"/>
  <c r="C105"/>
  <c r="A105"/>
  <c r="B104"/>
  <c r="L104" s="1"/>
  <c r="N110"/>
  <c r="D76" i="8"/>
  <c r="AF58" i="26" l="1"/>
  <c r="P57"/>
  <c r="X57"/>
  <c r="H57"/>
  <c r="S58"/>
  <c r="U58" s="1"/>
  <c r="R59"/>
  <c r="C58"/>
  <c r="E58" s="1"/>
  <c r="B59"/>
  <c r="AA59"/>
  <c r="AC59" s="1"/>
  <c r="Z60"/>
  <c r="K58"/>
  <c r="M58" s="1"/>
  <c r="J59"/>
  <c r="BK108" i="18"/>
  <c r="BD108"/>
  <c r="AW108"/>
  <c r="X109"/>
  <c r="AP108"/>
  <c r="AC102"/>
  <c r="AL812" s="1"/>
  <c r="Z102"/>
  <c r="AL509" s="1"/>
  <c r="AA102"/>
  <c r="AL610" s="1"/>
  <c r="O104" i="17"/>
  <c r="P104" s="1"/>
  <c r="Y103" i="18" s="1"/>
  <c r="AB102"/>
  <c r="AL711" s="1"/>
  <c r="M105" i="17"/>
  <c r="C106"/>
  <c r="A106"/>
  <c r="B105"/>
  <c r="L105" s="1"/>
  <c r="N111"/>
  <c r="D77" i="8"/>
  <c r="AF59" i="26" l="1"/>
  <c r="X58"/>
  <c r="P58"/>
  <c r="H58"/>
  <c r="AA60"/>
  <c r="AC60" s="1"/>
  <c r="Z61"/>
  <c r="S59"/>
  <c r="U59" s="1"/>
  <c r="R60"/>
  <c r="K59"/>
  <c r="M59" s="1"/>
  <c r="J60"/>
  <c r="C59"/>
  <c r="E59" s="1"/>
  <c r="B60"/>
  <c r="Z103" i="18"/>
  <c r="AL813" s="1"/>
  <c r="D79" a="1"/>
  <c r="D79" s="1"/>
  <c r="BK109"/>
  <c r="BD109"/>
  <c r="AW109"/>
  <c r="X110"/>
  <c r="AP109"/>
  <c r="AB103"/>
  <c r="AL1015" s="1"/>
  <c r="AC103"/>
  <c r="AL1116" s="1"/>
  <c r="AA103"/>
  <c r="AL914" s="1"/>
  <c r="O105" i="17"/>
  <c r="P105" s="1"/>
  <c r="Y104" i="18" s="1"/>
  <c r="AC104" s="1"/>
  <c r="AL1117" s="1"/>
  <c r="M106" i="17"/>
  <c r="C107"/>
  <c r="A107"/>
  <c r="B106"/>
  <c r="L106" s="1"/>
  <c r="N112"/>
  <c r="D78" i="8"/>
  <c r="K60" i="26" l="1"/>
  <c r="M60" s="1"/>
  <c r="J61"/>
  <c r="Z62"/>
  <c r="AA61"/>
  <c r="AC61" s="1"/>
  <c r="AF60"/>
  <c r="P59"/>
  <c r="C60"/>
  <c r="E60" s="1"/>
  <c r="B61"/>
  <c r="S60"/>
  <c r="U60" s="1"/>
  <c r="R61"/>
  <c r="H59"/>
  <c r="X59"/>
  <c r="BK110" i="18"/>
  <c r="BD110"/>
  <c r="AW110"/>
  <c r="AI409"/>
  <c r="X111"/>
  <c r="AP110"/>
  <c r="AB104"/>
  <c r="AL1016" s="1"/>
  <c r="AA104"/>
  <c r="AL915" s="1"/>
  <c r="Z104"/>
  <c r="AL814" s="1"/>
  <c r="O106" i="17"/>
  <c r="P106" s="1"/>
  <c r="Y105" i="18" s="1"/>
  <c r="AB105" s="1"/>
  <c r="AL1017" s="1"/>
  <c r="M107" i="17"/>
  <c r="C108"/>
  <c r="A108"/>
  <c r="B107"/>
  <c r="L107" s="1"/>
  <c r="N113"/>
  <c r="D79" i="8"/>
  <c r="AF61" i="26" l="1"/>
  <c r="X60"/>
  <c r="R62"/>
  <c r="S61"/>
  <c r="U61" s="1"/>
  <c r="P60"/>
  <c r="H60"/>
  <c r="C61"/>
  <c r="E61" s="1"/>
  <c r="B62"/>
  <c r="J62"/>
  <c r="K61"/>
  <c r="M61" s="1"/>
  <c r="AA62"/>
  <c r="AC62" s="1"/>
  <c r="Z63"/>
  <c r="BK111" i="18"/>
  <c r="AW111"/>
  <c r="BD111"/>
  <c r="X112"/>
  <c r="AP111"/>
  <c r="AA105"/>
  <c r="AL916" s="1"/>
  <c r="Z105"/>
  <c r="AL815" s="1"/>
  <c r="AC105"/>
  <c r="AL1118" s="1"/>
  <c r="A109" i="17"/>
  <c r="B108"/>
  <c r="L108" s="1"/>
  <c r="O107"/>
  <c r="P107" s="1"/>
  <c r="Y106" i="18" s="1"/>
  <c r="M108" i="17"/>
  <c r="C109"/>
  <c r="N114"/>
  <c r="D80" i="8"/>
  <c r="X61" i="26" l="1"/>
  <c r="AF62"/>
  <c r="P61"/>
  <c r="AA63"/>
  <c r="AC63" s="1"/>
  <c r="Z64"/>
  <c r="B63"/>
  <c r="C62"/>
  <c r="E62" s="1"/>
  <c r="J63"/>
  <c r="K62"/>
  <c r="M62" s="1"/>
  <c r="S62"/>
  <c r="U62" s="1"/>
  <c r="R63"/>
  <c r="H61"/>
  <c r="BK112" i="18"/>
  <c r="BD112"/>
  <c r="AW112"/>
  <c r="X113"/>
  <c r="AP112"/>
  <c r="M109" i="17"/>
  <c r="C110"/>
  <c r="AC106" i="18"/>
  <c r="AL1119" s="1"/>
  <c r="AA106"/>
  <c r="AL917" s="1"/>
  <c r="AB106"/>
  <c r="AL1018" s="1"/>
  <c r="Z106"/>
  <c r="AL816" s="1"/>
  <c r="B109" i="17"/>
  <c r="L109" s="1"/>
  <c r="A110"/>
  <c r="O108"/>
  <c r="P108" s="1"/>
  <c r="Y107" i="18" s="1"/>
  <c r="N115" i="17"/>
  <c r="D81" i="8"/>
  <c r="H62" i="26" l="1"/>
  <c r="P62"/>
  <c r="AF63"/>
  <c r="C63"/>
  <c r="E63" s="1"/>
  <c r="B64"/>
  <c r="S63"/>
  <c r="U63" s="1"/>
  <c r="R64"/>
  <c r="X62"/>
  <c r="K63"/>
  <c r="M63" s="1"/>
  <c r="J64"/>
  <c r="AA64"/>
  <c r="AC64" s="1"/>
  <c r="Z65"/>
  <c r="O109" i="17"/>
  <c r="P109" s="1"/>
  <c r="Y108" i="18" s="1"/>
  <c r="AB108" s="1"/>
  <c r="AL1020" s="1"/>
  <c r="BD113"/>
  <c r="BK113"/>
  <c r="AW113"/>
  <c r="X114"/>
  <c r="AP113"/>
  <c r="AB107"/>
  <c r="AL1019" s="1"/>
  <c r="Z107"/>
  <c r="AL817" s="1"/>
  <c r="AC107"/>
  <c r="AL1120" s="1"/>
  <c r="AA107"/>
  <c r="AL918" s="1"/>
  <c r="B110" i="17"/>
  <c r="L110" s="1"/>
  <c r="A111"/>
  <c r="C111"/>
  <c r="M110"/>
  <c r="N116"/>
  <c r="D82" i="8"/>
  <c r="AA65" i="26" l="1"/>
  <c r="AC65" s="1"/>
  <c r="Z66"/>
  <c r="X63"/>
  <c r="C64"/>
  <c r="E64" s="1"/>
  <c r="B65"/>
  <c r="P63"/>
  <c r="K64"/>
  <c r="M64" s="1"/>
  <c r="J65"/>
  <c r="S64"/>
  <c r="U64" s="1"/>
  <c r="R65"/>
  <c r="AF64"/>
  <c r="H63"/>
  <c r="AA108" i="18"/>
  <c r="AL919" s="1"/>
  <c r="AC108"/>
  <c r="AL1121" s="1"/>
  <c r="Z108"/>
  <c r="AL818" s="1"/>
  <c r="BK114"/>
  <c r="BD114"/>
  <c r="AW114"/>
  <c r="X115"/>
  <c r="AP114"/>
  <c r="A112" i="17"/>
  <c r="B111"/>
  <c r="L111" s="1"/>
  <c r="C112"/>
  <c r="M111"/>
  <c r="O110"/>
  <c r="P110" s="1"/>
  <c r="Y109" i="18" s="1"/>
  <c r="N117" i="17"/>
  <c r="D83" i="8"/>
  <c r="S65" i="26" l="1"/>
  <c r="U65" s="1"/>
  <c r="R66"/>
  <c r="AF65"/>
  <c r="K65"/>
  <c r="J66"/>
  <c r="C65"/>
  <c r="E65" s="1"/>
  <c r="B66"/>
  <c r="AA66"/>
  <c r="AC66" s="1"/>
  <c r="Z67"/>
  <c r="H64"/>
  <c r="P64"/>
  <c r="M65"/>
  <c r="X64"/>
  <c r="BK115" i="18"/>
  <c r="AW115"/>
  <c r="BD115"/>
  <c r="X116"/>
  <c r="AP115"/>
  <c r="AB109"/>
  <c r="AL1021" s="1"/>
  <c r="Z109"/>
  <c r="AL819" s="1"/>
  <c r="AC109"/>
  <c r="AL1122" s="1"/>
  <c r="AA109"/>
  <c r="AL920" s="1"/>
  <c r="O111" i="17"/>
  <c r="P111" s="1"/>
  <c r="Y110" i="18" s="1"/>
  <c r="M112" i="17"/>
  <c r="C113"/>
  <c r="A113"/>
  <c r="B112"/>
  <c r="L112" s="1"/>
  <c r="N118"/>
  <c r="D84" i="8"/>
  <c r="AF66" i="26" l="1"/>
  <c r="X65"/>
  <c r="P65"/>
  <c r="K66"/>
  <c r="M66" s="1"/>
  <c r="J67"/>
  <c r="S66"/>
  <c r="U66" s="1"/>
  <c r="R67"/>
  <c r="AA67"/>
  <c r="AC67" s="1"/>
  <c r="Z68"/>
  <c r="H65"/>
  <c r="C66"/>
  <c r="E66" s="1"/>
  <c r="B67"/>
  <c r="BD116" i="18"/>
  <c r="AW116"/>
  <c r="BK116"/>
  <c r="X117"/>
  <c r="AP116"/>
  <c r="AB110"/>
  <c r="AL1022" s="1"/>
  <c r="Z110"/>
  <c r="AL820" s="1"/>
  <c r="AC110"/>
  <c r="AL1123" s="1"/>
  <c r="AA110"/>
  <c r="AL921" s="1"/>
  <c r="A114" i="17"/>
  <c r="B113"/>
  <c r="L113" s="1"/>
  <c r="O112"/>
  <c r="P112" s="1"/>
  <c r="Y111" i="18" s="1"/>
  <c r="M113" i="17"/>
  <c r="C114"/>
  <c r="N119"/>
  <c r="D85" i="8"/>
  <c r="C67" i="26" l="1"/>
  <c r="B68"/>
  <c r="AA68"/>
  <c r="AC68" s="1"/>
  <c r="Z69"/>
  <c r="K67"/>
  <c r="J68"/>
  <c r="X66"/>
  <c r="H66"/>
  <c r="E67"/>
  <c r="S67"/>
  <c r="U67" s="1"/>
  <c r="R68"/>
  <c r="P66"/>
  <c r="M67"/>
  <c r="AF67"/>
  <c r="BK117" i="18"/>
  <c r="BD117"/>
  <c r="AW117"/>
  <c r="X118"/>
  <c r="AP117"/>
  <c r="AB111"/>
  <c r="AL1023" s="1"/>
  <c r="Z111"/>
  <c r="AL821" s="1"/>
  <c r="AC111"/>
  <c r="AL1124" s="1"/>
  <c r="AA111"/>
  <c r="AL922" s="1"/>
  <c r="O113" i="17"/>
  <c r="P113" s="1"/>
  <c r="Y112" i="18" s="1"/>
  <c r="M114" i="17"/>
  <c r="C115"/>
  <c r="B114"/>
  <c r="L114" s="1"/>
  <c r="A115"/>
  <c r="N120"/>
  <c r="D86" i="8"/>
  <c r="X67" i="26" l="1"/>
  <c r="P67"/>
  <c r="K68"/>
  <c r="M68" s="1"/>
  <c r="J69"/>
  <c r="C68"/>
  <c r="E68" s="1"/>
  <c r="B69"/>
  <c r="H67"/>
  <c r="AF68"/>
  <c r="S68"/>
  <c r="U68" s="1"/>
  <c r="R69"/>
  <c r="AA69"/>
  <c r="AC69" s="1"/>
  <c r="Z70"/>
  <c r="O114" i="17"/>
  <c r="P114" s="1"/>
  <c r="Y113" i="18" s="1"/>
  <c r="AA113" s="1"/>
  <c r="AL924" s="1"/>
  <c r="BK118"/>
  <c r="BD118"/>
  <c r="AW118"/>
  <c r="X119"/>
  <c r="AP118"/>
  <c r="AB112"/>
  <c r="AL1024" s="1"/>
  <c r="Z112"/>
  <c r="AL822" s="1"/>
  <c r="AC112"/>
  <c r="AL1125" s="1"/>
  <c r="AA112"/>
  <c r="AL923" s="1"/>
  <c r="B115" i="17"/>
  <c r="L115" s="1"/>
  <c r="A116"/>
  <c r="C116"/>
  <c r="M115"/>
  <c r="N121"/>
  <c r="D87" i="8"/>
  <c r="AA70" i="26" l="1"/>
  <c r="AC70" s="1"/>
  <c r="Z71"/>
  <c r="AF69"/>
  <c r="C69"/>
  <c r="E69" s="1"/>
  <c r="B70"/>
  <c r="P68"/>
  <c r="S69"/>
  <c r="U69" s="1"/>
  <c r="R70"/>
  <c r="H68"/>
  <c r="K69"/>
  <c r="M69" s="1"/>
  <c r="J70"/>
  <c r="X68"/>
  <c r="Z113" i="18"/>
  <c r="AL823" s="1"/>
  <c r="AC113"/>
  <c r="AL1126" s="1"/>
  <c r="AB113"/>
  <c r="AL1025" s="1"/>
  <c r="BK119"/>
  <c r="AW119"/>
  <c r="BD119"/>
  <c r="X120"/>
  <c r="AP119"/>
  <c r="B116" i="17"/>
  <c r="L116" s="1"/>
  <c r="A117"/>
  <c r="C117"/>
  <c r="M116"/>
  <c r="O115"/>
  <c r="P115" s="1"/>
  <c r="Y114" i="18" s="1"/>
  <c r="N122" i="17"/>
  <c r="D88" i="8"/>
  <c r="H69" i="26" l="1"/>
  <c r="K70"/>
  <c r="M70" s="1"/>
  <c r="J71"/>
  <c r="S70"/>
  <c r="U70" s="1"/>
  <c r="R71"/>
  <c r="C70"/>
  <c r="E70" s="1"/>
  <c r="B71"/>
  <c r="AA71"/>
  <c r="AC71" s="1"/>
  <c r="Z72"/>
  <c r="X69"/>
  <c r="P69"/>
  <c r="AF70"/>
  <c r="BK120" i="18"/>
  <c r="BD120"/>
  <c r="AW120"/>
  <c r="X121"/>
  <c r="AP120"/>
  <c r="AB114"/>
  <c r="AL1026" s="1"/>
  <c r="Z114"/>
  <c r="AL824" s="1"/>
  <c r="AC114"/>
  <c r="AL1127" s="1"/>
  <c r="AA114"/>
  <c r="AL925" s="1"/>
  <c r="B117" i="17"/>
  <c r="L117" s="1"/>
  <c r="A118"/>
  <c r="C118"/>
  <c r="M117"/>
  <c r="O116"/>
  <c r="P116" s="1"/>
  <c r="Y115" i="18" s="1"/>
  <c r="N123" i="17"/>
  <c r="D89" i="8"/>
  <c r="AF71" i="26" l="1"/>
  <c r="P70"/>
  <c r="S71"/>
  <c r="U71" s="1"/>
  <c r="R72"/>
  <c r="H70"/>
  <c r="AA72"/>
  <c r="AC72" s="1"/>
  <c r="Z73"/>
  <c r="X70"/>
  <c r="C71"/>
  <c r="E71" s="1"/>
  <c r="B72"/>
  <c r="K71"/>
  <c r="M71" s="1"/>
  <c r="J72"/>
  <c r="BD121" i="18"/>
  <c r="BK121"/>
  <c r="AW121"/>
  <c r="X122"/>
  <c r="AP121"/>
  <c r="AB115"/>
  <c r="AL1027" s="1"/>
  <c r="Z115"/>
  <c r="AL825" s="1"/>
  <c r="AC115"/>
  <c r="AL1128" s="1"/>
  <c r="AA115"/>
  <c r="AL926" s="1"/>
  <c r="A119" i="17"/>
  <c r="B118"/>
  <c r="L118" s="1"/>
  <c r="C119"/>
  <c r="M118"/>
  <c r="O117"/>
  <c r="P117" s="1"/>
  <c r="Y116" i="18" s="1"/>
  <c r="N124" i="17"/>
  <c r="D90" i="8"/>
  <c r="P71" i="26" l="1"/>
  <c r="H71"/>
  <c r="AF72"/>
  <c r="C72"/>
  <c r="E72" s="1"/>
  <c r="B73"/>
  <c r="AA73"/>
  <c r="AC73" s="1"/>
  <c r="Z74"/>
  <c r="S72"/>
  <c r="U72" s="1"/>
  <c r="R73"/>
  <c r="K72"/>
  <c r="M72" s="1"/>
  <c r="J73"/>
  <c r="X71"/>
  <c r="BK122" i="18"/>
  <c r="BD122"/>
  <c r="AW122"/>
  <c r="X123"/>
  <c r="AP122"/>
  <c r="AB116"/>
  <c r="AL1028" s="1"/>
  <c r="Z116"/>
  <c r="AL826" s="1"/>
  <c r="AC116"/>
  <c r="AL1129" s="1"/>
  <c r="AA116"/>
  <c r="AL927" s="1"/>
  <c r="O118" i="17"/>
  <c r="P118" s="1"/>
  <c r="Y117" i="18" s="1"/>
  <c r="M119" i="17"/>
  <c r="C120"/>
  <c r="B119"/>
  <c r="L119" s="1"/>
  <c r="A120"/>
  <c r="N125"/>
  <c r="D91" i="8"/>
  <c r="H72" i="26" l="1"/>
  <c r="X72"/>
  <c r="P72"/>
  <c r="AF73"/>
  <c r="K73"/>
  <c r="M73" s="1"/>
  <c r="J74"/>
  <c r="AA74"/>
  <c r="AC74" s="1"/>
  <c r="Z75"/>
  <c r="S73"/>
  <c r="U73" s="1"/>
  <c r="R74"/>
  <c r="C73"/>
  <c r="E73" s="1"/>
  <c r="B74"/>
  <c r="O119" i="17"/>
  <c r="P119" s="1"/>
  <c r="Y118" i="18" s="1"/>
  <c r="AA118" s="1"/>
  <c r="AL929" s="1"/>
  <c r="BK123"/>
  <c r="AW123"/>
  <c r="BD123"/>
  <c r="X124"/>
  <c r="AP123"/>
  <c r="AB117"/>
  <c r="AL1029" s="1"/>
  <c r="Z117"/>
  <c r="AL827" s="1"/>
  <c r="AC117"/>
  <c r="AL1130" s="1"/>
  <c r="AA117"/>
  <c r="AL928" s="1"/>
  <c r="B120" i="17"/>
  <c r="L120" s="1"/>
  <c r="A121"/>
  <c r="C121"/>
  <c r="M120"/>
  <c r="N126"/>
  <c r="D92" i="8"/>
  <c r="C74" i="26" l="1"/>
  <c r="E74" s="1"/>
  <c r="B75"/>
  <c r="AA75"/>
  <c r="AC75" s="1"/>
  <c r="Z76"/>
  <c r="AF74"/>
  <c r="X73"/>
  <c r="S74"/>
  <c r="U74" s="1"/>
  <c r="R75"/>
  <c r="K74"/>
  <c r="M74" s="1"/>
  <c r="J75"/>
  <c r="P73"/>
  <c r="H73"/>
  <c r="AB118" i="18"/>
  <c r="AL1030" s="1"/>
  <c r="AC118"/>
  <c r="AL1131" s="1"/>
  <c r="Z118"/>
  <c r="AL828" s="1"/>
  <c r="BK124"/>
  <c r="BD124"/>
  <c r="AW124"/>
  <c r="X125"/>
  <c r="AP124"/>
  <c r="B121" i="17"/>
  <c r="L121" s="1"/>
  <c r="A122"/>
  <c r="C122"/>
  <c r="M121"/>
  <c r="O120"/>
  <c r="P120" s="1"/>
  <c r="Y119" i="18" s="1"/>
  <c r="N127" i="17"/>
  <c r="D93" i="8"/>
  <c r="H74" i="26" l="1"/>
  <c r="X74"/>
  <c r="P74"/>
  <c r="S75"/>
  <c r="U75" s="1"/>
  <c r="R76"/>
  <c r="AF75"/>
  <c r="C75"/>
  <c r="E75" s="1"/>
  <c r="B76"/>
  <c r="K75"/>
  <c r="M75" s="1"/>
  <c r="J76"/>
  <c r="AA76"/>
  <c r="AC76" s="1"/>
  <c r="Z77"/>
  <c r="BK125" i="18"/>
  <c r="BD125"/>
  <c r="AW125"/>
  <c r="X126"/>
  <c r="AP125"/>
  <c r="AB119"/>
  <c r="AL1031" s="1"/>
  <c r="Z119"/>
  <c r="AL829" s="1"/>
  <c r="AC119"/>
  <c r="AL1132" s="1"/>
  <c r="AA119"/>
  <c r="AL930" s="1"/>
  <c r="B122" i="17"/>
  <c r="L122" s="1"/>
  <c r="A123"/>
  <c r="C123"/>
  <c r="M122"/>
  <c r="O121"/>
  <c r="P121" s="1"/>
  <c r="Y120" i="18" s="1"/>
  <c r="N128" i="17"/>
  <c r="D94" i="8"/>
  <c r="X75" i="26" l="1"/>
  <c r="P75"/>
  <c r="AF76"/>
  <c r="H75"/>
  <c r="K76"/>
  <c r="M76" s="1"/>
  <c r="J77"/>
  <c r="AA77"/>
  <c r="AC77" s="1"/>
  <c r="Z78"/>
  <c r="C76"/>
  <c r="E76" s="1"/>
  <c r="B77"/>
  <c r="S76"/>
  <c r="U76" s="1"/>
  <c r="R77"/>
  <c r="BK126" i="18"/>
  <c r="BD126"/>
  <c r="AW126"/>
  <c r="X127"/>
  <c r="AP126"/>
  <c r="AB120"/>
  <c r="AL1032" s="1"/>
  <c r="Z120"/>
  <c r="AL830" s="1"/>
  <c r="AC120"/>
  <c r="AL1133" s="1"/>
  <c r="AA120"/>
  <c r="AL931" s="1"/>
  <c r="A124" i="17"/>
  <c r="B123"/>
  <c r="L123" s="1"/>
  <c r="C124"/>
  <c r="M123"/>
  <c r="O122"/>
  <c r="P122" s="1"/>
  <c r="Y121" i="18" s="1"/>
  <c r="N129" i="17"/>
  <c r="D95" i="8"/>
  <c r="AF77" i="26" l="1"/>
  <c r="AF78" s="1"/>
  <c r="AF79" s="1"/>
  <c r="AF80" s="1"/>
  <c r="AF81" s="1"/>
  <c r="AF82" s="1"/>
  <c r="AF83" s="1"/>
  <c r="AF84" s="1"/>
  <c r="AF85" s="1"/>
  <c r="AF86" s="1"/>
  <c r="AF87" s="1"/>
  <c r="AF88" s="1"/>
  <c r="AF89" s="1"/>
  <c r="AF90" s="1"/>
  <c r="AF91" s="1"/>
  <c r="S77"/>
  <c r="R78"/>
  <c r="AA78"/>
  <c r="Z79"/>
  <c r="H76"/>
  <c r="P76"/>
  <c r="C77"/>
  <c r="E77" s="1"/>
  <c r="B78"/>
  <c r="K77"/>
  <c r="M77" s="1"/>
  <c r="J78"/>
  <c r="X76"/>
  <c r="U77"/>
  <c r="BK127" i="18"/>
  <c r="AW127"/>
  <c r="BD127"/>
  <c r="X128"/>
  <c r="AP127"/>
  <c r="AB121"/>
  <c r="AL1033" s="1"/>
  <c r="Z121"/>
  <c r="AL831" s="1"/>
  <c r="AC121"/>
  <c r="AL1134" s="1"/>
  <c r="AA121"/>
  <c r="AL932" s="1"/>
  <c r="O123" i="17"/>
  <c r="P123" s="1"/>
  <c r="Y122" i="18" s="1"/>
  <c r="M124" i="17"/>
  <c r="C125"/>
  <c r="B124"/>
  <c r="L124" s="1"/>
  <c r="A125"/>
  <c r="N130"/>
  <c r="D96" i="8"/>
  <c r="P77" i="26" l="1"/>
  <c r="P78" s="1"/>
  <c r="P79" s="1"/>
  <c r="P80" s="1"/>
  <c r="P81" s="1"/>
  <c r="P82" s="1"/>
  <c r="P83" s="1"/>
  <c r="P84" s="1"/>
  <c r="P85" s="1"/>
  <c r="P86" s="1"/>
  <c r="P87" s="1"/>
  <c r="P88" s="1"/>
  <c r="P89" s="1"/>
  <c r="P90" s="1"/>
  <c r="P91" s="1"/>
  <c r="H77"/>
  <c r="H78" s="1"/>
  <c r="H79" s="1"/>
  <c r="H80" s="1"/>
  <c r="H81" s="1"/>
  <c r="H82" s="1"/>
  <c r="H83" s="1"/>
  <c r="H84" s="1"/>
  <c r="H85" s="1"/>
  <c r="H86" s="1"/>
  <c r="H87" s="1"/>
  <c r="H88" s="1"/>
  <c r="H89" s="1"/>
  <c r="H90" s="1"/>
  <c r="H91" s="1"/>
  <c r="C78"/>
  <c r="B79"/>
  <c r="S78"/>
  <c r="R79"/>
  <c r="X77"/>
  <c r="X78" s="1"/>
  <c r="X79" s="1"/>
  <c r="X80" s="1"/>
  <c r="X81" s="1"/>
  <c r="X82" s="1"/>
  <c r="X83" s="1"/>
  <c r="X84" s="1"/>
  <c r="X85" s="1"/>
  <c r="X86" s="1"/>
  <c r="X87" s="1"/>
  <c r="X88" s="1"/>
  <c r="X89" s="1"/>
  <c r="X90" s="1"/>
  <c r="X91" s="1"/>
  <c r="K78"/>
  <c r="J79"/>
  <c r="AA79"/>
  <c r="Z80"/>
  <c r="O124" i="17"/>
  <c r="P124" s="1"/>
  <c r="Y123" i="18" s="1"/>
  <c r="AA123" s="1"/>
  <c r="AL934" s="1"/>
  <c r="BK128"/>
  <c r="BD128"/>
  <c r="AW128"/>
  <c r="X129"/>
  <c r="AP128"/>
  <c r="AB122"/>
  <c r="AL1034" s="1"/>
  <c r="Z122"/>
  <c r="AL832" s="1"/>
  <c r="AC122"/>
  <c r="AL1135" s="1"/>
  <c r="AA122"/>
  <c r="AL933" s="1"/>
  <c r="B125" i="17"/>
  <c r="L125" s="1"/>
  <c r="A126"/>
  <c r="C126"/>
  <c r="M125"/>
  <c r="N131"/>
  <c r="D97" i="8"/>
  <c r="C79" i="26" l="1"/>
  <c r="B80"/>
  <c r="AA80"/>
  <c r="Z81"/>
  <c r="K79"/>
  <c r="J80"/>
  <c r="S79"/>
  <c r="R80"/>
  <c r="Z123" i="18"/>
  <c r="AL833" s="1"/>
  <c r="AB123"/>
  <c r="AL1035" s="1"/>
  <c r="AC123"/>
  <c r="AL1136" s="1"/>
  <c r="BD129"/>
  <c r="BK129"/>
  <c r="AW129"/>
  <c r="X130"/>
  <c r="AP129"/>
  <c r="B126" i="17"/>
  <c r="L126" s="1"/>
  <c r="A127"/>
  <c r="C127"/>
  <c r="M126"/>
  <c r="O125"/>
  <c r="P125" s="1"/>
  <c r="Y124" i="18" s="1"/>
  <c r="N132" i="17"/>
  <c r="D98" i="8"/>
  <c r="K80" i="26" l="1"/>
  <c r="J81"/>
  <c r="C80"/>
  <c r="B81"/>
  <c r="S80"/>
  <c r="R81"/>
  <c r="AA81"/>
  <c r="Z82"/>
  <c r="BK130" i="18"/>
  <c r="BD130"/>
  <c r="AW130"/>
  <c r="X131"/>
  <c r="AP130"/>
  <c r="AB124"/>
  <c r="AL1036" s="1"/>
  <c r="Z124"/>
  <c r="AL834" s="1"/>
  <c r="AC124"/>
  <c r="AL1137" s="1"/>
  <c r="AA124"/>
  <c r="AL935" s="1"/>
  <c r="B127" i="17"/>
  <c r="L127" s="1"/>
  <c r="A128"/>
  <c r="C128"/>
  <c r="M127"/>
  <c r="O126"/>
  <c r="P126" s="1"/>
  <c r="Y125" i="18" s="1"/>
  <c r="N133" i="17"/>
  <c r="D99" i="8"/>
  <c r="S81" i="26" l="1"/>
  <c r="R82"/>
  <c r="K81"/>
  <c r="J82"/>
  <c r="AA82"/>
  <c r="Z83"/>
  <c r="C81"/>
  <c r="B82"/>
  <c r="BK131" i="18"/>
  <c r="AW131"/>
  <c r="BD131"/>
  <c r="X132"/>
  <c r="AP131"/>
  <c r="AB125"/>
  <c r="AL1037" s="1"/>
  <c r="Z125"/>
  <c r="AL835" s="1"/>
  <c r="AC125"/>
  <c r="AL1138" s="1"/>
  <c r="AA125"/>
  <c r="AL936" s="1"/>
  <c r="A129" i="17"/>
  <c r="B128"/>
  <c r="L128" s="1"/>
  <c r="C129"/>
  <c r="M128"/>
  <c r="O127"/>
  <c r="P127" s="1"/>
  <c r="Y126" i="18" s="1"/>
  <c r="N134" i="17"/>
  <c r="D100" i="8"/>
  <c r="AA83" i="26" l="1"/>
  <c r="Z84"/>
  <c r="S82"/>
  <c r="R83"/>
  <c r="C82"/>
  <c r="B83"/>
  <c r="K82"/>
  <c r="J83"/>
  <c r="BD132" i="18"/>
  <c r="AW132"/>
  <c r="BK132"/>
  <c r="X133"/>
  <c r="AP132"/>
  <c r="AB126"/>
  <c r="AL1038" s="1"/>
  <c r="Z126"/>
  <c r="AL836" s="1"/>
  <c r="AC126"/>
  <c r="AL1139" s="1"/>
  <c r="AA126"/>
  <c r="AL937" s="1"/>
  <c r="O128" i="17"/>
  <c r="P128" s="1"/>
  <c r="Y127" i="18" s="1"/>
  <c r="M129" i="17"/>
  <c r="C130"/>
  <c r="B129"/>
  <c r="L129" s="1"/>
  <c r="A130"/>
  <c r="N135"/>
  <c r="D101" i="8"/>
  <c r="C83" i="26" l="1"/>
  <c r="B84"/>
  <c r="AA84"/>
  <c r="Z85"/>
  <c r="K83"/>
  <c r="J84"/>
  <c r="S83"/>
  <c r="R84"/>
  <c r="O129" i="17"/>
  <c r="P129" s="1"/>
  <c r="Y128" i="18" s="1"/>
  <c r="AA128" s="1"/>
  <c r="AL939" s="1"/>
  <c r="BK133"/>
  <c r="BD133"/>
  <c r="AW133"/>
  <c r="X134"/>
  <c r="AP133"/>
  <c r="AB127"/>
  <c r="AL1039" s="1"/>
  <c r="Z127"/>
  <c r="AL837" s="1"/>
  <c r="AC127"/>
  <c r="AL1140" s="1"/>
  <c r="AA127"/>
  <c r="AL938" s="1"/>
  <c r="B130" i="17"/>
  <c r="L130" s="1"/>
  <c r="A131"/>
  <c r="C131"/>
  <c r="M130"/>
  <c r="N136"/>
  <c r="D102" i="8"/>
  <c r="K84" i="26" l="1"/>
  <c r="J85"/>
  <c r="C84"/>
  <c r="B85"/>
  <c r="S84"/>
  <c r="R85"/>
  <c r="AA85"/>
  <c r="Z86"/>
  <c r="Z128" i="18"/>
  <c r="AL838" s="1"/>
  <c r="AB128"/>
  <c r="AL1040" s="1"/>
  <c r="AC128"/>
  <c r="AL1141" s="1"/>
  <c r="BK134"/>
  <c r="BD134"/>
  <c r="AW134"/>
  <c r="X135"/>
  <c r="AP134"/>
  <c r="B131" i="17"/>
  <c r="L131" s="1"/>
  <c r="A132"/>
  <c r="C132"/>
  <c r="M131"/>
  <c r="O130"/>
  <c r="P130" s="1"/>
  <c r="Y129" i="18" s="1"/>
  <c r="N137" i="17"/>
  <c r="D103" i="8"/>
  <c r="S85" i="26" l="1"/>
  <c r="R86"/>
  <c r="K85"/>
  <c r="J86"/>
  <c r="AA86"/>
  <c r="Z87"/>
  <c r="C85"/>
  <c r="B86"/>
  <c r="BK135" i="18"/>
  <c r="AW135"/>
  <c r="BD135"/>
  <c r="X136"/>
  <c r="AP135"/>
  <c r="AB129"/>
  <c r="AL1041" s="1"/>
  <c r="Z129"/>
  <c r="AL839" s="1"/>
  <c r="AC129"/>
  <c r="AL1142" s="1"/>
  <c r="AA129"/>
  <c r="AL940" s="1"/>
  <c r="B132" i="17"/>
  <c r="L132" s="1"/>
  <c r="A133"/>
  <c r="C133"/>
  <c r="M132"/>
  <c r="O131"/>
  <c r="P131" s="1"/>
  <c r="Y130" i="18" s="1"/>
  <c r="N138" i="17"/>
  <c r="D104" i="8"/>
  <c r="AA87" i="26" l="1"/>
  <c r="Z88"/>
  <c r="S86"/>
  <c r="R87"/>
  <c r="C86"/>
  <c r="B87"/>
  <c r="K86"/>
  <c r="J87"/>
  <c r="BK136" i="18"/>
  <c r="BD136"/>
  <c r="AW136"/>
  <c r="X137"/>
  <c r="AP136"/>
  <c r="AB130"/>
  <c r="AL1042" s="1"/>
  <c r="Z130"/>
  <c r="AL840" s="1"/>
  <c r="AC130"/>
  <c r="AL1143" s="1"/>
  <c r="AA130"/>
  <c r="AL941" s="1"/>
  <c r="A134" i="17"/>
  <c r="B133"/>
  <c r="L133" s="1"/>
  <c r="C134"/>
  <c r="M133"/>
  <c r="O132"/>
  <c r="P132" s="1"/>
  <c r="Y131" i="18" s="1"/>
  <c r="N139" i="17"/>
  <c r="D105" i="8"/>
  <c r="C87" i="26" l="1"/>
  <c r="B88"/>
  <c r="AA88"/>
  <c r="Z89"/>
  <c r="K87"/>
  <c r="J88"/>
  <c r="S87"/>
  <c r="R88"/>
  <c r="BD137" i="18"/>
  <c r="BK137"/>
  <c r="AW137"/>
  <c r="X138"/>
  <c r="AP137"/>
  <c r="AB131"/>
  <c r="AL1043" s="1"/>
  <c r="Z131"/>
  <c r="AL841" s="1"/>
  <c r="AC131"/>
  <c r="AL1144" s="1"/>
  <c r="AA131"/>
  <c r="AL942" s="1"/>
  <c r="O133" i="17"/>
  <c r="P133" s="1"/>
  <c r="Y132" i="18" s="1"/>
  <c r="M134" i="17"/>
  <c r="C135"/>
  <c r="B134"/>
  <c r="L134" s="1"/>
  <c r="A135"/>
  <c r="N140"/>
  <c r="D106" i="8"/>
  <c r="K88" i="26" l="1"/>
  <c r="J89"/>
  <c r="C88"/>
  <c r="B89"/>
  <c r="S88"/>
  <c r="R89"/>
  <c r="AA89"/>
  <c r="Z90"/>
  <c r="AA9"/>
  <c r="O134" i="17"/>
  <c r="P134" s="1"/>
  <c r="Y133" i="18" s="1"/>
  <c r="AA133" s="1"/>
  <c r="AL944" s="1"/>
  <c r="BK138"/>
  <c r="BD138"/>
  <c r="AW138"/>
  <c r="X139"/>
  <c r="AP138"/>
  <c r="AB132"/>
  <c r="AL1044" s="1"/>
  <c r="Z132"/>
  <c r="AL842" s="1"/>
  <c r="AC132"/>
  <c r="AL1145" s="1"/>
  <c r="AA132"/>
  <c r="AL943" s="1"/>
  <c r="B135" i="17"/>
  <c r="L135" s="1"/>
  <c r="A136"/>
  <c r="C136"/>
  <c r="M135"/>
  <c r="N141"/>
  <c r="D107" i="8"/>
  <c r="S89" i="26" l="1"/>
  <c r="R90"/>
  <c r="S9"/>
  <c r="K89"/>
  <c r="J90"/>
  <c r="K9"/>
  <c r="AA90"/>
  <c r="Z91"/>
  <c r="AA91" s="1"/>
  <c r="C89"/>
  <c r="B90"/>
  <c r="C9"/>
  <c r="M66" i="18" s="1"/>
  <c r="Z133"/>
  <c r="AL843" s="1"/>
  <c r="AC133"/>
  <c r="AL1146" s="1"/>
  <c r="AB133"/>
  <c r="AL1045" s="1"/>
  <c r="BK139"/>
  <c r="AW139"/>
  <c r="BD139"/>
  <c r="X140"/>
  <c r="AP139"/>
  <c r="B136" i="17"/>
  <c r="L136" s="1"/>
  <c r="A137"/>
  <c r="C137"/>
  <c r="M136"/>
  <c r="O135"/>
  <c r="P135" s="1"/>
  <c r="Y134" i="18" s="1"/>
  <c r="N142" i="17"/>
  <c r="D108" i="8"/>
  <c r="K90" i="26" l="1"/>
  <c r="J91"/>
  <c r="K91" s="1"/>
  <c r="C90"/>
  <c r="B91"/>
  <c r="C91" s="1"/>
  <c r="S90"/>
  <c r="R91"/>
  <c r="S91" s="1"/>
  <c r="BK140" i="18"/>
  <c r="BD140"/>
  <c r="AW140"/>
  <c r="X141"/>
  <c r="AP140"/>
  <c r="AB134"/>
  <c r="AL1046" s="1"/>
  <c r="Z134"/>
  <c r="AL844" s="1"/>
  <c r="AC134"/>
  <c r="AL1147" s="1"/>
  <c r="AA134"/>
  <c r="AL945" s="1"/>
  <c r="A138" i="17"/>
  <c r="B137"/>
  <c r="L137" s="1"/>
  <c r="C138"/>
  <c r="M137"/>
  <c r="O136"/>
  <c r="P136" s="1"/>
  <c r="Y135" i="18" s="1"/>
  <c r="N143" i="17"/>
  <c r="D109" i="8"/>
  <c r="BK141" i="18" l="1"/>
  <c r="BD141"/>
  <c r="AW141"/>
  <c r="X142"/>
  <c r="AP141"/>
  <c r="AB135"/>
  <c r="AL1047" s="1"/>
  <c r="Z135"/>
  <c r="AL845" s="1"/>
  <c r="AC135"/>
  <c r="AL1148" s="1"/>
  <c r="AA135"/>
  <c r="AL946" s="1"/>
  <c r="O137" i="17"/>
  <c r="P137" s="1"/>
  <c r="Y136" i="18" s="1"/>
  <c r="C139" i="17"/>
  <c r="M138"/>
  <c r="B138"/>
  <c r="L138" s="1"/>
  <c r="A139"/>
  <c r="N144"/>
  <c r="D110" i="8"/>
  <c r="BK142" i="18" l="1"/>
  <c r="BD142"/>
  <c r="AW142"/>
  <c r="X143"/>
  <c r="AP142"/>
  <c r="O138" i="17"/>
  <c r="P138" s="1"/>
  <c r="Y137" i="18" s="1"/>
  <c r="AB137" s="1"/>
  <c r="AL1049" s="1"/>
  <c r="AB136"/>
  <c r="AL1048" s="1"/>
  <c r="Z136"/>
  <c r="AL846" s="1"/>
  <c r="AC136"/>
  <c r="AL1149" s="1"/>
  <c r="AA136"/>
  <c r="AL947" s="1"/>
  <c r="M139" i="17"/>
  <c r="C140"/>
  <c r="A140"/>
  <c r="B139"/>
  <c r="L139" s="1"/>
  <c r="N145"/>
  <c r="D111" i="8"/>
  <c r="BK143" i="18" l="1"/>
  <c r="AW143"/>
  <c r="BD143"/>
  <c r="X144"/>
  <c r="AP143"/>
  <c r="AA137"/>
  <c r="AL948" s="1"/>
  <c r="Z137"/>
  <c r="AL847" s="1"/>
  <c r="AC137"/>
  <c r="AL1150" s="1"/>
  <c r="O139" i="17"/>
  <c r="P139" s="1"/>
  <c r="Y138" i="18" s="1"/>
  <c r="AB138" s="1"/>
  <c r="AL1050" s="1"/>
  <c r="C141" i="17"/>
  <c r="M140"/>
  <c r="A141"/>
  <c r="B140"/>
  <c r="L140" s="1"/>
  <c r="N146"/>
  <c r="D112" i="8"/>
  <c r="BK144" i="18" l="1"/>
  <c r="BD144"/>
  <c r="AW144"/>
  <c r="X145"/>
  <c r="AP144"/>
  <c r="AA138"/>
  <c r="AL949" s="1"/>
  <c r="Z138"/>
  <c r="AL848" s="1"/>
  <c r="O140" i="17"/>
  <c r="P140" s="1"/>
  <c r="Y139" i="18" s="1"/>
  <c r="Z139" s="1"/>
  <c r="AL849" s="1"/>
  <c r="AC138"/>
  <c r="AL1151" s="1"/>
  <c r="A142" i="17"/>
  <c r="B141"/>
  <c r="L141" s="1"/>
  <c r="C142"/>
  <c r="M141"/>
  <c r="N147"/>
  <c r="D113" i="8"/>
  <c r="BD145" i="18" l="1"/>
  <c r="BK145"/>
  <c r="AW145"/>
  <c r="X146"/>
  <c r="AP145"/>
  <c r="AB139"/>
  <c r="AL1051" s="1"/>
  <c r="AC139"/>
  <c r="AL1152" s="1"/>
  <c r="AA139"/>
  <c r="AL950" s="1"/>
  <c r="O141" i="17"/>
  <c r="P141" s="1"/>
  <c r="Y140" i="18" s="1"/>
  <c r="C143" i="17"/>
  <c r="M142"/>
  <c r="B142"/>
  <c r="L142" s="1"/>
  <c r="A143"/>
  <c r="N148"/>
  <c r="D114" i="8"/>
  <c r="BK146" i="18" l="1"/>
  <c r="BD146"/>
  <c r="AW146"/>
  <c r="X147"/>
  <c r="AP146"/>
  <c r="O142" i="17"/>
  <c r="P142" s="1"/>
  <c r="Y141" i="18" s="1"/>
  <c r="AB141" s="1"/>
  <c r="AL1053" s="1"/>
  <c r="AB140"/>
  <c r="AL1052" s="1"/>
  <c r="Z140"/>
  <c r="AL850" s="1"/>
  <c r="AC140"/>
  <c r="AL1153" s="1"/>
  <c r="AA140"/>
  <c r="AL951" s="1"/>
  <c r="M143" i="17"/>
  <c r="C144"/>
  <c r="B143"/>
  <c r="L143" s="1"/>
  <c r="A144"/>
  <c r="N149"/>
  <c r="D115" i="8"/>
  <c r="O143" i="17" l="1"/>
  <c r="P143" s="1"/>
  <c r="Y142" i="18" s="1"/>
  <c r="AB142" s="1"/>
  <c r="AL1054" s="1"/>
  <c r="BK147"/>
  <c r="AW147"/>
  <c r="BD147"/>
  <c r="X148"/>
  <c r="AP147"/>
  <c r="AA141"/>
  <c r="AL952" s="1"/>
  <c r="Z141"/>
  <c r="AL851" s="1"/>
  <c r="AC141"/>
  <c r="AL1154" s="1"/>
  <c r="B144" i="17"/>
  <c r="L144" s="1"/>
  <c r="A145"/>
  <c r="M144"/>
  <c r="C145"/>
  <c r="N150"/>
  <c r="D116" i="8"/>
  <c r="AA142" i="18" l="1"/>
  <c r="AL953" s="1"/>
  <c r="AC142"/>
  <c r="AL1155" s="1"/>
  <c r="Z142"/>
  <c r="AL852" s="1"/>
  <c r="BD148"/>
  <c r="AW148"/>
  <c r="BK148"/>
  <c r="X149"/>
  <c r="AP148"/>
  <c r="M145" i="17"/>
  <c r="C146"/>
  <c r="A146"/>
  <c r="B145"/>
  <c r="L145" s="1"/>
  <c r="O144"/>
  <c r="P144" s="1"/>
  <c r="Y143" i="18" s="1"/>
  <c r="N151" i="17"/>
  <c r="D117" i="8"/>
  <c r="BK149" i="18" l="1"/>
  <c r="BD149"/>
  <c r="AW149"/>
  <c r="X150"/>
  <c r="AP149"/>
  <c r="O145" i="17"/>
  <c r="P145" s="1"/>
  <c r="Y144" i="18" s="1"/>
  <c r="AB144" s="1"/>
  <c r="AL1056" s="1"/>
  <c r="AB143"/>
  <c r="AL1055" s="1"/>
  <c r="Z143"/>
  <c r="AL853" s="1"/>
  <c r="AC143"/>
  <c r="AL1156" s="1"/>
  <c r="AA143"/>
  <c r="AL954" s="1"/>
  <c r="C147" i="17"/>
  <c r="M146"/>
  <c r="B146"/>
  <c r="L146" s="1"/>
  <c r="A147"/>
  <c r="N152"/>
  <c r="D118" i="8"/>
  <c r="BK150" i="18" l="1"/>
  <c r="BD150"/>
  <c r="AW150"/>
  <c r="X151"/>
  <c r="AP150"/>
  <c r="AC144"/>
  <c r="AL1157" s="1"/>
  <c r="AA144"/>
  <c r="AL955" s="1"/>
  <c r="Z144"/>
  <c r="AL854" s="1"/>
  <c r="B147" i="17"/>
  <c r="L147" s="1"/>
  <c r="A148"/>
  <c r="O146"/>
  <c r="P146" s="1"/>
  <c r="Y145" i="18" s="1"/>
  <c r="M147" i="17"/>
  <c r="C148"/>
  <c r="N153"/>
  <c r="D119" i="8"/>
  <c r="BK151" i="18" l="1"/>
  <c r="AW151"/>
  <c r="BD151"/>
  <c r="X152"/>
  <c r="AP151"/>
  <c r="AB145"/>
  <c r="AL1057" s="1"/>
  <c r="Z145"/>
  <c r="AL855" s="1"/>
  <c r="AC145"/>
  <c r="AL1158" s="1"/>
  <c r="AA145"/>
  <c r="AL956" s="1"/>
  <c r="A149" i="17"/>
  <c r="B148"/>
  <c r="L148" s="1"/>
  <c r="M148"/>
  <c r="C149"/>
  <c r="O147"/>
  <c r="P147" s="1"/>
  <c r="Y146" i="18" s="1"/>
  <c r="N154" i="17"/>
  <c r="D120" i="8"/>
  <c r="BK152" i="18" l="1"/>
  <c r="BD152"/>
  <c r="AW152"/>
  <c r="X153"/>
  <c r="AP152"/>
  <c r="O148" i="17"/>
  <c r="P148" s="1"/>
  <c r="Y147" i="18" s="1"/>
  <c r="AB147" s="1"/>
  <c r="AL1059" s="1"/>
  <c r="AB146"/>
  <c r="AL1058" s="1"/>
  <c r="Z146"/>
  <c r="AL856" s="1"/>
  <c r="AC146"/>
  <c r="AL1159" s="1"/>
  <c r="AA146"/>
  <c r="AL957" s="1"/>
  <c r="C150" i="17"/>
  <c r="M149"/>
  <c r="B149"/>
  <c r="L149" s="1"/>
  <c r="A150"/>
  <c r="N155"/>
  <c r="D121" i="8"/>
  <c r="BK153" i="18" l="1"/>
  <c r="BD153"/>
  <c r="AW153"/>
  <c r="X154"/>
  <c r="AP153"/>
  <c r="AA147"/>
  <c r="AL958" s="1"/>
  <c r="Z147"/>
  <c r="AL857" s="1"/>
  <c r="O149" i="17"/>
  <c r="P149" s="1"/>
  <c r="Y148" i="18" s="1"/>
  <c r="Z148" s="1"/>
  <c r="AL858" s="1"/>
  <c r="AC147"/>
  <c r="AL1160" s="1"/>
  <c r="A151" i="17"/>
  <c r="B150"/>
  <c r="L150" s="1"/>
  <c r="M150"/>
  <c r="C151"/>
  <c r="N156"/>
  <c r="D122" i="8"/>
  <c r="BK154" i="18" l="1"/>
  <c r="BD154"/>
  <c r="AW154"/>
  <c r="X155"/>
  <c r="AP154"/>
  <c r="AB148"/>
  <c r="AL1060" s="1"/>
  <c r="AC148"/>
  <c r="AL1161" s="1"/>
  <c r="O150" i="17"/>
  <c r="P150" s="1"/>
  <c r="Y149" i="18" s="1"/>
  <c r="Z149" s="1"/>
  <c r="AL859" s="1"/>
  <c r="AA148"/>
  <c r="AL959" s="1"/>
  <c r="C152" i="17"/>
  <c r="M151"/>
  <c r="A152"/>
  <c r="B151"/>
  <c r="L151" s="1"/>
  <c r="N157"/>
  <c r="D123" i="8"/>
  <c r="BK155" i="18" l="1"/>
  <c r="AW155"/>
  <c r="BD155"/>
  <c r="X156"/>
  <c r="AP155"/>
  <c r="AB149"/>
  <c r="AL1061" s="1"/>
  <c r="AC149"/>
  <c r="AL1162" s="1"/>
  <c r="AA149"/>
  <c r="AL960" s="1"/>
  <c r="O151" i="17"/>
  <c r="P151" s="1"/>
  <c r="Y150" i="18" s="1"/>
  <c r="AB150" s="1"/>
  <c r="AL1062" s="1"/>
  <c r="A153" i="17"/>
  <c r="B152"/>
  <c r="L152" s="1"/>
  <c r="C153"/>
  <c r="M152"/>
  <c r="N158"/>
  <c r="D124" i="8"/>
  <c r="BK156" i="18" l="1"/>
  <c r="BD156"/>
  <c r="AW156"/>
  <c r="X157"/>
  <c r="AP156"/>
  <c r="AA150"/>
  <c r="AL961" s="1"/>
  <c r="Z150"/>
  <c r="AL860" s="1"/>
  <c r="O152" i="17"/>
  <c r="P152" s="1"/>
  <c r="Y151" i="18" s="1"/>
  <c r="Z151" s="1"/>
  <c r="AL861" s="1"/>
  <c r="AC150"/>
  <c r="AL1163" s="1"/>
  <c r="C154" i="17"/>
  <c r="M153"/>
  <c r="B153"/>
  <c r="L153" s="1"/>
  <c r="A154"/>
  <c r="N159"/>
  <c r="D125" i="8"/>
  <c r="BK157" i="18" l="1"/>
  <c r="BD157"/>
  <c r="AW157"/>
  <c r="X158"/>
  <c r="AP157"/>
  <c r="AB151"/>
  <c r="AL1063" s="1"/>
  <c r="AC151"/>
  <c r="AL1164" s="1"/>
  <c r="AA151"/>
  <c r="AL962" s="1"/>
  <c r="O153" i="17"/>
  <c r="P153" s="1"/>
  <c r="Y152" i="18" s="1"/>
  <c r="AB152" s="1"/>
  <c r="AL1064" s="1"/>
  <c r="B154" i="17"/>
  <c r="L154" s="1"/>
  <c r="A155"/>
  <c r="M154"/>
  <c r="C155"/>
  <c r="N160"/>
  <c r="D126" i="8"/>
  <c r="BK158" i="18" l="1"/>
  <c r="BD158"/>
  <c r="AW158"/>
  <c r="X159"/>
  <c r="AP158"/>
  <c r="AA152"/>
  <c r="AL963" s="1"/>
  <c r="Z152"/>
  <c r="AL862" s="1"/>
  <c r="AC152"/>
  <c r="AL1165" s="1"/>
  <c r="M155" i="17"/>
  <c r="C156"/>
  <c r="B155"/>
  <c r="L155" s="1"/>
  <c r="A156"/>
  <c r="O154"/>
  <c r="P154" s="1"/>
  <c r="Y153" i="18" s="1"/>
  <c r="N161" i="17"/>
  <c r="D127" i="8"/>
  <c r="AW159" i="18" l="1"/>
  <c r="BK159"/>
  <c r="BD159"/>
  <c r="X160"/>
  <c r="AP159"/>
  <c r="O155" i="17"/>
  <c r="P155" s="1"/>
  <c r="Y154" i="18" s="1"/>
  <c r="AB154" s="1"/>
  <c r="AL1066" s="1"/>
  <c r="AB153"/>
  <c r="AL1065" s="1"/>
  <c r="Z153"/>
  <c r="AL863" s="1"/>
  <c r="AC153"/>
  <c r="AL1166" s="1"/>
  <c r="AA153"/>
  <c r="AL964" s="1"/>
  <c r="A157" i="17"/>
  <c r="B156"/>
  <c r="L156" s="1"/>
  <c r="M156"/>
  <c r="C157"/>
  <c r="N162"/>
  <c r="D128" i="8"/>
  <c r="BK160" i="18" l="1"/>
  <c r="BD160"/>
  <c r="AW160"/>
  <c r="X161"/>
  <c r="AP160"/>
  <c r="AC154"/>
  <c r="AL1167" s="1"/>
  <c r="AA154"/>
  <c r="AL965" s="1"/>
  <c r="Z154"/>
  <c r="O156" i="17"/>
  <c r="P156" s="1"/>
  <c r="Y155" i="18" s="1"/>
  <c r="AB155" s="1"/>
  <c r="AL1067" s="1"/>
  <c r="C158" i="17"/>
  <c r="M157"/>
  <c r="B157"/>
  <c r="L157" s="1"/>
  <c r="A158"/>
  <c r="N163"/>
  <c r="D129" i="8"/>
  <c r="AL864" i="18" l="1"/>
  <c r="BK161"/>
  <c r="BD161"/>
  <c r="AW161"/>
  <c r="X162"/>
  <c r="AP161"/>
  <c r="AA155"/>
  <c r="AL966" s="1"/>
  <c r="Z155"/>
  <c r="AL865" s="1"/>
  <c r="O157" i="17"/>
  <c r="P157" s="1"/>
  <c r="Y156" i="18" s="1"/>
  <c r="Z156" s="1"/>
  <c r="AL866" s="1"/>
  <c r="AC155"/>
  <c r="AL1168" s="1"/>
  <c r="B158" i="17"/>
  <c r="L158" s="1"/>
  <c r="A159"/>
  <c r="M158"/>
  <c r="C159"/>
  <c r="N164"/>
  <c r="D130" i="8"/>
  <c r="BK162" i="18" l="1"/>
  <c r="BD162"/>
  <c r="AW162"/>
  <c r="X163"/>
  <c r="AP162"/>
  <c r="AB156"/>
  <c r="AL1068" s="1"/>
  <c r="AA156"/>
  <c r="AL967" s="1"/>
  <c r="AC156"/>
  <c r="AL1169" s="1"/>
  <c r="M159" i="17"/>
  <c r="C160"/>
  <c r="B159"/>
  <c r="L159" s="1"/>
  <c r="A160"/>
  <c r="O158"/>
  <c r="P158" s="1"/>
  <c r="Y157" i="18" s="1"/>
  <c r="N165" i="17"/>
  <c r="D131" i="8"/>
  <c r="BK163" i="18" l="1"/>
  <c r="AW163"/>
  <c r="BD163"/>
  <c r="X164"/>
  <c r="AP163"/>
  <c r="O159" i="17"/>
  <c r="P159" s="1"/>
  <c r="Y158" i="18" s="1"/>
  <c r="AB158" s="1"/>
  <c r="AL1070" s="1"/>
  <c r="AB157"/>
  <c r="AL1069" s="1"/>
  <c r="Z157"/>
  <c r="AL867" s="1"/>
  <c r="AC157"/>
  <c r="AL1170" s="1"/>
  <c r="AA157"/>
  <c r="AL968" s="1"/>
  <c r="A161" i="17"/>
  <c r="B160"/>
  <c r="L160" s="1"/>
  <c r="M160"/>
  <c r="C161"/>
  <c r="N166"/>
  <c r="D132" i="8"/>
  <c r="BD164" i="18" l="1"/>
  <c r="AW164"/>
  <c r="BK164"/>
  <c r="X165"/>
  <c r="AP164"/>
  <c r="AC158"/>
  <c r="AL1171" s="1"/>
  <c r="AA158"/>
  <c r="AL969" s="1"/>
  <c r="Z158"/>
  <c r="O160" i="17"/>
  <c r="P160" s="1"/>
  <c r="Y159" i="18" s="1"/>
  <c r="AB159" s="1"/>
  <c r="AL1071" s="1"/>
  <c r="C162" i="17"/>
  <c r="M161"/>
  <c r="A162"/>
  <c r="B161"/>
  <c r="L161" s="1"/>
  <c r="N167"/>
  <c r="D133" i="8"/>
  <c r="AL868" i="18" l="1"/>
  <c r="BK165"/>
  <c r="BD165"/>
  <c r="AW165"/>
  <c r="X166"/>
  <c r="AP165"/>
  <c r="AA159"/>
  <c r="AL970" s="1"/>
  <c r="Z159"/>
  <c r="AL869" s="1"/>
  <c r="O161" i="17"/>
  <c r="P161" s="1"/>
  <c r="Y160" i="18" s="1"/>
  <c r="Z160" s="1"/>
  <c r="AL870" s="1"/>
  <c r="AC159"/>
  <c r="AL1172" s="1"/>
  <c r="A163" i="17"/>
  <c r="B162"/>
  <c r="L162" s="1"/>
  <c r="C163"/>
  <c r="M162"/>
  <c r="N168"/>
  <c r="D134" i="8"/>
  <c r="BK166" i="18" l="1"/>
  <c r="BD166"/>
  <c r="AW166"/>
  <c r="X167"/>
  <c r="AP166"/>
  <c r="AB160"/>
  <c r="AL1072" s="1"/>
  <c r="AC160"/>
  <c r="AL1173" s="1"/>
  <c r="O162" i="17"/>
  <c r="P162" s="1"/>
  <c r="Y161" i="18" s="1"/>
  <c r="Z161" s="1"/>
  <c r="AL871" s="1"/>
  <c r="AA160"/>
  <c r="AL971" s="1"/>
  <c r="C164" i="17"/>
  <c r="M163"/>
  <c r="B163"/>
  <c r="L163" s="1"/>
  <c r="A164"/>
  <c r="N169"/>
  <c r="D135" i="8"/>
  <c r="AB161" i="18" l="1"/>
  <c r="AL1073" s="1"/>
  <c r="BK167"/>
  <c r="AW167"/>
  <c r="BD167"/>
  <c r="X168"/>
  <c r="AP167"/>
  <c r="AC161"/>
  <c r="AL1174" s="1"/>
  <c r="AA161"/>
  <c r="AL972" s="1"/>
  <c r="O163" i="17"/>
  <c r="P163" s="1"/>
  <c r="Y162" i="18" s="1"/>
  <c r="AB162" s="1"/>
  <c r="AL1074" s="1"/>
  <c r="B164" i="17"/>
  <c r="L164" s="1"/>
  <c r="A165"/>
  <c r="M164"/>
  <c r="C165"/>
  <c r="N170"/>
  <c r="D136" i="8"/>
  <c r="BK168" i="18" l="1"/>
  <c r="BD168"/>
  <c r="AW168"/>
  <c r="X169"/>
  <c r="AP168"/>
  <c r="AA162"/>
  <c r="AL973" s="1"/>
  <c r="Z162"/>
  <c r="AL872" s="1"/>
  <c r="AC162"/>
  <c r="AL1175" s="1"/>
  <c r="M165" i="17"/>
  <c r="C166"/>
  <c r="B165"/>
  <c r="L165" s="1"/>
  <c r="A166"/>
  <c r="O164"/>
  <c r="P164" s="1"/>
  <c r="Y163" i="18" s="1"/>
  <c r="N171" i="17"/>
  <c r="D137" i="8"/>
  <c r="BK169" i="18" l="1"/>
  <c r="BD169"/>
  <c r="AW169"/>
  <c r="X170"/>
  <c r="AP169"/>
  <c r="O165" i="17"/>
  <c r="P165" s="1"/>
  <c r="Y164" i="18" s="1"/>
  <c r="AB164" s="1"/>
  <c r="AL1076" s="1"/>
  <c r="AB163"/>
  <c r="AL1075" s="1"/>
  <c r="Z163"/>
  <c r="AL873" s="1"/>
  <c r="AC163"/>
  <c r="AL1176" s="1"/>
  <c r="AA163"/>
  <c r="AL974" s="1"/>
  <c r="A167" i="17"/>
  <c r="B166"/>
  <c r="L166" s="1"/>
  <c r="M166"/>
  <c r="C167"/>
  <c r="N172"/>
  <c r="D138" i="8"/>
  <c r="BK170" i="18" l="1"/>
  <c r="BD170"/>
  <c r="AW170"/>
  <c r="X171"/>
  <c r="AP170"/>
  <c r="AA164"/>
  <c r="AL975" s="1"/>
  <c r="Z164"/>
  <c r="AC164"/>
  <c r="AL1177" s="1"/>
  <c r="O166" i="17"/>
  <c r="P166" s="1"/>
  <c r="Y165" i="18" s="1"/>
  <c r="AB165" s="1"/>
  <c r="AL1077" s="1"/>
  <c r="C168" i="17"/>
  <c r="M167"/>
  <c r="B167"/>
  <c r="L167" s="1"/>
  <c r="A168"/>
  <c r="N173"/>
  <c r="D139" i="8"/>
  <c r="AL874" i="18" l="1"/>
  <c r="BK171"/>
  <c r="AW171"/>
  <c r="BD171"/>
  <c r="X172"/>
  <c r="AP171"/>
  <c r="AA165"/>
  <c r="AL976" s="1"/>
  <c r="Z165"/>
  <c r="AL875" s="1"/>
  <c r="O167" i="17"/>
  <c r="P167" s="1"/>
  <c r="Y166" i="18" s="1"/>
  <c r="Z166" s="1"/>
  <c r="AL876" s="1"/>
  <c r="AC165"/>
  <c r="AL1178" s="1"/>
  <c r="B168" i="17"/>
  <c r="L168" s="1"/>
  <c r="A169"/>
  <c r="C169"/>
  <c r="M168"/>
  <c r="N174"/>
  <c r="D140" i="8"/>
  <c r="AB166" i="18" l="1"/>
  <c r="AL1078" s="1"/>
  <c r="BK172"/>
  <c r="BD172"/>
  <c r="AW172"/>
  <c r="X173"/>
  <c r="AP172"/>
  <c r="AC166"/>
  <c r="AL1179" s="1"/>
  <c r="AA166"/>
  <c r="AL977" s="1"/>
  <c r="O168" i="17"/>
  <c r="P168" s="1"/>
  <c r="Y167" i="18" s="1"/>
  <c r="AB167" s="1"/>
  <c r="AL1079" s="1"/>
  <c r="B169" i="17"/>
  <c r="L169" s="1"/>
  <c r="A170"/>
  <c r="M169"/>
  <c r="C170"/>
  <c r="N175"/>
  <c r="D141" i="8"/>
  <c r="BK173" i="18" l="1"/>
  <c r="BD173"/>
  <c r="AW173"/>
  <c r="X174"/>
  <c r="AP173"/>
  <c r="AA167"/>
  <c r="AL978" s="1"/>
  <c r="Z167"/>
  <c r="AL877" s="1"/>
  <c r="AC167"/>
  <c r="AL1180" s="1"/>
  <c r="M170" i="17"/>
  <c r="C171"/>
  <c r="A171"/>
  <c r="B170"/>
  <c r="L170" s="1"/>
  <c r="O169"/>
  <c r="P169" s="1"/>
  <c r="Y168" i="18" s="1"/>
  <c r="N176" i="17"/>
  <c r="D142" i="8"/>
  <c r="BK174" i="18" l="1"/>
  <c r="BD174"/>
  <c r="AW174"/>
  <c r="X175"/>
  <c r="AP174"/>
  <c r="O170" i="17"/>
  <c r="P170" s="1"/>
  <c r="Y169" i="18" s="1"/>
  <c r="AB169" s="1"/>
  <c r="AL1081" s="1"/>
  <c r="AB168"/>
  <c r="AL1080" s="1"/>
  <c r="Z168"/>
  <c r="AL878" s="1"/>
  <c r="AC168"/>
  <c r="AL1181" s="1"/>
  <c r="AA168"/>
  <c r="AL979" s="1"/>
  <c r="C172" i="17"/>
  <c r="M171"/>
  <c r="A172"/>
  <c r="B171"/>
  <c r="L171" s="1"/>
  <c r="N177"/>
  <c r="D143" i="8"/>
  <c r="AW175" i="18" l="1"/>
  <c r="BK175"/>
  <c r="BD175"/>
  <c r="X176"/>
  <c r="AP175"/>
  <c r="AA169"/>
  <c r="AL980" s="1"/>
  <c r="Z169"/>
  <c r="AC169"/>
  <c r="AL1182" s="1"/>
  <c r="O171" i="17"/>
  <c r="P171" s="1"/>
  <c r="Y170" i="18" s="1"/>
  <c r="AB170" s="1"/>
  <c r="AL1082" s="1"/>
  <c r="A173" i="17"/>
  <c r="B172"/>
  <c r="L172" s="1"/>
  <c r="C173"/>
  <c r="M172"/>
  <c r="N178"/>
  <c r="D144" i="8"/>
  <c r="AL879" i="18" l="1"/>
  <c r="BK176"/>
  <c r="BD176"/>
  <c r="AW176"/>
  <c r="X177"/>
  <c r="AP176"/>
  <c r="AA170"/>
  <c r="AL981" s="1"/>
  <c r="Z170"/>
  <c r="AL880" s="1"/>
  <c r="O172" i="17"/>
  <c r="P172" s="1"/>
  <c r="Y171" i="18" s="1"/>
  <c r="Z171" s="1"/>
  <c r="AL881" s="1"/>
  <c r="AC170"/>
  <c r="AL1183" s="1"/>
  <c r="C174" i="17"/>
  <c r="M173"/>
  <c r="A174"/>
  <c r="B173"/>
  <c r="L173" s="1"/>
  <c r="N179"/>
  <c r="D145" i="8"/>
  <c r="AB171" i="18" l="1"/>
  <c r="AL1083" s="1"/>
  <c r="BK177"/>
  <c r="BD177"/>
  <c r="AW177"/>
  <c r="X178"/>
  <c r="AP177"/>
  <c r="AA171"/>
  <c r="AL982" s="1"/>
  <c r="AC171"/>
  <c r="AL1184" s="1"/>
  <c r="O173" i="17"/>
  <c r="P173" s="1"/>
  <c r="Y172" i="18" s="1"/>
  <c r="AB172" s="1"/>
  <c r="AL1084" s="1"/>
  <c r="B174" i="17"/>
  <c r="L174" s="1"/>
  <c r="A175"/>
  <c r="C175"/>
  <c r="M174"/>
  <c r="N180"/>
  <c r="D146" i="8"/>
  <c r="BK178" i="18" l="1"/>
  <c r="BD178"/>
  <c r="AW178"/>
  <c r="X179"/>
  <c r="AP178"/>
  <c r="AA172"/>
  <c r="AL983" s="1"/>
  <c r="Z172"/>
  <c r="AL882" s="1"/>
  <c r="O174" i="17"/>
  <c r="P174" s="1"/>
  <c r="Y173" i="18" s="1"/>
  <c r="Z173" s="1"/>
  <c r="AL883" s="1"/>
  <c r="AC172"/>
  <c r="AL1185" s="1"/>
  <c r="M175" i="17"/>
  <c r="C176"/>
  <c r="B175"/>
  <c r="L175" s="1"/>
  <c r="A176"/>
  <c r="N181"/>
  <c r="D147" i="8"/>
  <c r="O175" i="17" l="1"/>
  <c r="P175" s="1"/>
  <c r="Y174" i="18" s="1"/>
  <c r="AB174" s="1"/>
  <c r="AL1086" s="1"/>
  <c r="AB173"/>
  <c r="AL1085" s="1"/>
  <c r="BK179"/>
  <c r="AW179"/>
  <c r="BD179"/>
  <c r="X180"/>
  <c r="AP179"/>
  <c r="AA173"/>
  <c r="AL984" s="1"/>
  <c r="AC173"/>
  <c r="AL1186" s="1"/>
  <c r="B176" i="17"/>
  <c r="L176" s="1"/>
  <c r="A177"/>
  <c r="M176"/>
  <c r="C177"/>
  <c r="N182"/>
  <c r="D148" i="8"/>
  <c r="AC174" i="18" l="1"/>
  <c r="AL1187" s="1"/>
  <c r="AA174"/>
  <c r="AL985" s="1"/>
  <c r="Z174"/>
  <c r="AL884" s="1"/>
  <c r="BD180"/>
  <c r="AW180"/>
  <c r="BK180"/>
  <c r="X181"/>
  <c r="AP180"/>
  <c r="M177" i="17"/>
  <c r="C178"/>
  <c r="A178"/>
  <c r="B177"/>
  <c r="L177" s="1"/>
  <c r="O176"/>
  <c r="P176" s="1"/>
  <c r="Y175" i="18" s="1"/>
  <c r="N183" i="17"/>
  <c r="D149" i="8"/>
  <c r="BK181" i="18" l="1"/>
  <c r="BD181"/>
  <c r="AW181"/>
  <c r="X182"/>
  <c r="AP181"/>
  <c r="O177" i="17"/>
  <c r="P177" s="1"/>
  <c r="Y176" i="18" s="1"/>
  <c r="AB176" s="1"/>
  <c r="AL1088" s="1"/>
  <c r="AB175"/>
  <c r="AL1087" s="1"/>
  <c r="Z175"/>
  <c r="AL885" s="1"/>
  <c r="AC175"/>
  <c r="AL1188" s="1"/>
  <c r="AA175"/>
  <c r="AL986" s="1"/>
  <c r="C179" i="17"/>
  <c r="M178"/>
  <c r="A179"/>
  <c r="B178"/>
  <c r="L178" s="1"/>
  <c r="N184"/>
  <c r="D150" i="8"/>
  <c r="BK182" i="18" l="1"/>
  <c r="BD182"/>
  <c r="AW182"/>
  <c r="X183"/>
  <c r="AP182"/>
  <c r="AA176"/>
  <c r="AL987" s="1"/>
  <c r="Z176"/>
  <c r="AC176"/>
  <c r="AL1189" s="1"/>
  <c r="O178" i="17"/>
  <c r="P178" s="1"/>
  <c r="Y177" i="18" s="1"/>
  <c r="AB177" s="1"/>
  <c r="AL1089" s="1"/>
  <c r="B179" i="17"/>
  <c r="L179" s="1"/>
  <c r="A180"/>
  <c r="C180"/>
  <c r="M179"/>
  <c r="N185"/>
  <c r="D151" i="8"/>
  <c r="AL886" i="18" l="1"/>
  <c r="BK183"/>
  <c r="AW183"/>
  <c r="BD183"/>
  <c r="X184"/>
  <c r="AP183"/>
  <c r="AA177"/>
  <c r="AL988" s="1"/>
  <c r="Z177"/>
  <c r="AL887" s="1"/>
  <c r="O179" i="17"/>
  <c r="P179" s="1"/>
  <c r="Y178" i="18" s="1"/>
  <c r="Z178" s="1"/>
  <c r="AL888" s="1"/>
  <c r="AC177"/>
  <c r="AL1190" s="1"/>
  <c r="M180" i="17"/>
  <c r="C181"/>
  <c r="A181"/>
  <c r="B180"/>
  <c r="L180" s="1"/>
  <c r="N186"/>
  <c r="D152" i="8"/>
  <c r="AB178" i="18" l="1"/>
  <c r="AL1090" s="1"/>
  <c r="BK184"/>
  <c r="BD184"/>
  <c r="AW184"/>
  <c r="X185"/>
  <c r="AP184"/>
  <c r="AC178"/>
  <c r="AL1191" s="1"/>
  <c r="O180" i="17"/>
  <c r="P180" s="1"/>
  <c r="Y179" i="18" s="1"/>
  <c r="Z179" s="1"/>
  <c r="AL889" s="1"/>
  <c r="AA178"/>
  <c r="C182" i="17"/>
  <c r="M181"/>
  <c r="B181"/>
  <c r="L181" s="1"/>
  <c r="A182"/>
  <c r="N187"/>
  <c r="D153" i="8"/>
  <c r="AL989" i="18" l="1"/>
  <c r="BK185"/>
  <c r="BD185"/>
  <c r="AW185"/>
  <c r="X186"/>
  <c r="AP185"/>
  <c r="AB179"/>
  <c r="AL1091" s="1"/>
  <c r="AC179"/>
  <c r="AL1192" s="1"/>
  <c r="AA179"/>
  <c r="AL990" s="1"/>
  <c r="O181" i="17"/>
  <c r="P181" s="1"/>
  <c r="Y180" i="18" s="1"/>
  <c r="AB180" s="1"/>
  <c r="AL1092" s="1"/>
  <c r="A183" i="17"/>
  <c r="B182"/>
  <c r="L182" s="1"/>
  <c r="M182"/>
  <c r="C183"/>
  <c r="N188"/>
  <c r="D154" i="8"/>
  <c r="BK186" i="18" l="1"/>
  <c r="BD186"/>
  <c r="AW186"/>
  <c r="X187"/>
  <c r="AP186"/>
  <c r="AA180"/>
  <c r="AL991" s="1"/>
  <c r="Z180"/>
  <c r="AL890" s="1"/>
  <c r="O182" i="17"/>
  <c r="P182" s="1"/>
  <c r="Y181" i="18" s="1"/>
  <c r="Z181" s="1"/>
  <c r="AL891" s="1"/>
  <c r="AC180"/>
  <c r="AL1193" s="1"/>
  <c r="M183" i="17"/>
  <c r="C184"/>
  <c r="B183"/>
  <c r="L183" s="1"/>
  <c r="A184"/>
  <c r="N189"/>
  <c r="D155" i="8"/>
  <c r="O183" i="17" l="1"/>
  <c r="P183" s="1"/>
  <c r="Y182" i="18" s="1"/>
  <c r="AB182" s="1"/>
  <c r="AL1094" s="1"/>
  <c r="AB181"/>
  <c r="AL1093" s="1"/>
  <c r="BK187"/>
  <c r="AW187"/>
  <c r="BD187"/>
  <c r="X188"/>
  <c r="AP187"/>
  <c r="AA181"/>
  <c r="AL992" s="1"/>
  <c r="AC181"/>
  <c r="AL1194" s="1"/>
  <c r="A185" i="17"/>
  <c r="B184"/>
  <c r="L184" s="1"/>
  <c r="M184"/>
  <c r="C185"/>
  <c r="N190"/>
  <c r="D156" i="8"/>
  <c r="AA182" i="18" l="1"/>
  <c r="AL993" s="1"/>
  <c r="AC182"/>
  <c r="AL1195" s="1"/>
  <c r="Z182"/>
  <c r="AL892" s="1"/>
  <c r="BK188"/>
  <c r="BD188"/>
  <c r="AW188"/>
  <c r="X189"/>
  <c r="AP188"/>
  <c r="O184" i="17"/>
  <c r="P184" s="1"/>
  <c r="Y183" i="18" s="1"/>
  <c r="C186" i="17"/>
  <c r="M185"/>
  <c r="B185"/>
  <c r="L185" s="1"/>
  <c r="A186"/>
  <c r="N191"/>
  <c r="D157" i="8"/>
  <c r="BK189" i="18" l="1"/>
  <c r="BD189"/>
  <c r="AW189"/>
  <c r="X190"/>
  <c r="AP189"/>
  <c r="AB183"/>
  <c r="AL1095" s="1"/>
  <c r="AA183"/>
  <c r="AL994" s="1"/>
  <c r="Z183"/>
  <c r="AL893" s="1"/>
  <c r="O185" i="17"/>
  <c r="P185" s="1"/>
  <c r="Y184" i="18" s="1"/>
  <c r="Z184" s="1"/>
  <c r="AL894" s="1"/>
  <c r="AC183"/>
  <c r="AL1196" s="1"/>
  <c r="A187" i="17"/>
  <c r="B186"/>
  <c r="L186" s="1"/>
  <c r="M186"/>
  <c r="C187"/>
  <c r="N192"/>
  <c r="D158" i="8"/>
  <c r="BK190" i="18" l="1"/>
  <c r="BD190"/>
  <c r="AW190"/>
  <c r="X191"/>
  <c r="AP190"/>
  <c r="AB184"/>
  <c r="AL1096" s="1"/>
  <c r="AC184"/>
  <c r="AL1197" s="1"/>
  <c r="O186" i="17"/>
  <c r="P186" s="1"/>
  <c r="Y185" i="18" s="1"/>
  <c r="AA184"/>
  <c r="C188" i="17"/>
  <c r="M187"/>
  <c r="B187"/>
  <c r="L187" s="1"/>
  <c r="A188"/>
  <c r="N193"/>
  <c r="D159" i="8"/>
  <c r="AL995" i="18" l="1"/>
  <c r="AW191"/>
  <c r="BK191"/>
  <c r="BD191"/>
  <c r="X192"/>
  <c r="AP191"/>
  <c r="Z185"/>
  <c r="AL895" s="1"/>
  <c r="AB185"/>
  <c r="AL1097" s="1"/>
  <c r="AA185"/>
  <c r="AL996" s="1"/>
  <c r="AC185"/>
  <c r="AL1198" s="1"/>
  <c r="O187" i="17"/>
  <c r="P187" s="1"/>
  <c r="Y186" i="18" s="1"/>
  <c r="AB186" s="1"/>
  <c r="AL1098" s="1"/>
  <c r="A189" i="17"/>
  <c r="B188"/>
  <c r="L188" s="1"/>
  <c r="M188"/>
  <c r="C189"/>
  <c r="N194"/>
  <c r="D160" i="8"/>
  <c r="BK192" i="18" l="1"/>
  <c r="BD192"/>
  <c r="AW192"/>
  <c r="X193"/>
  <c r="AP192"/>
  <c r="AA186"/>
  <c r="AL997" s="1"/>
  <c r="Z186"/>
  <c r="AC186"/>
  <c r="AL1199" s="1"/>
  <c r="O188" i="17"/>
  <c r="P188" s="1"/>
  <c r="Y187" i="18" s="1"/>
  <c r="AB187" s="1"/>
  <c r="AL1099" s="1"/>
  <c r="C190" i="17"/>
  <c r="M189"/>
  <c r="B189"/>
  <c r="L189" s="1"/>
  <c r="A190"/>
  <c r="N195"/>
  <c r="D161" i="8"/>
  <c r="AL896" i="18" l="1"/>
  <c r="BK193"/>
  <c r="BD193"/>
  <c r="AW193"/>
  <c r="X194"/>
  <c r="AP193"/>
  <c r="AA187"/>
  <c r="AL998" s="1"/>
  <c r="Z187"/>
  <c r="AL897" s="1"/>
  <c r="O189" i="17"/>
  <c r="P189" s="1"/>
  <c r="Y188" i="18" s="1"/>
  <c r="Z188" s="1"/>
  <c r="AL898" s="1"/>
  <c r="AC187"/>
  <c r="AL1200" s="1"/>
  <c r="A191" i="17"/>
  <c r="B190"/>
  <c r="L190" s="1"/>
  <c r="M190"/>
  <c r="C191"/>
  <c r="N196"/>
  <c r="D162" i="8"/>
  <c r="AB188" i="18" l="1"/>
  <c r="AL1100" s="1"/>
  <c r="BK194"/>
  <c r="BD194"/>
  <c r="AW194"/>
  <c r="X195"/>
  <c r="AP194"/>
  <c r="AC188"/>
  <c r="AL1201" s="1"/>
  <c r="AA188"/>
  <c r="AL999" s="1"/>
  <c r="O190" i="17"/>
  <c r="P190" s="1"/>
  <c r="Y189" i="18" s="1"/>
  <c r="AB189" s="1"/>
  <c r="AL1101" s="1"/>
  <c r="M191" i="17"/>
  <c r="C192"/>
  <c r="B191"/>
  <c r="L191" s="1"/>
  <c r="A192"/>
  <c r="N197"/>
  <c r="D163" i="8"/>
  <c r="O191" i="17" l="1"/>
  <c r="P191" s="1"/>
  <c r="Y190" i="18" s="1"/>
  <c r="AB190" s="1"/>
  <c r="AL1102" s="1"/>
  <c r="BK195"/>
  <c r="AW195"/>
  <c r="BD195"/>
  <c r="X196"/>
  <c r="AP195"/>
  <c r="AA189"/>
  <c r="AL1000" s="1"/>
  <c r="Z189"/>
  <c r="AL899" s="1"/>
  <c r="AC189"/>
  <c r="AL1202" s="1"/>
  <c r="A193" i="17"/>
  <c r="B192"/>
  <c r="L192" s="1"/>
  <c r="M192"/>
  <c r="C193"/>
  <c r="N198"/>
  <c r="D164" i="8"/>
  <c r="AA190" i="18" l="1"/>
  <c r="AL1001" s="1"/>
  <c r="Z190"/>
  <c r="AL900" s="1"/>
  <c r="AC190"/>
  <c r="AL1203" s="1"/>
  <c r="BD196"/>
  <c r="AW196"/>
  <c r="BK196"/>
  <c r="X197"/>
  <c r="AP196"/>
  <c r="O192" i="17"/>
  <c r="P192" s="1"/>
  <c r="Y191" i="18" s="1"/>
  <c r="C194" i="17"/>
  <c r="M193"/>
  <c r="B193"/>
  <c r="L193" s="1"/>
  <c r="A194"/>
  <c r="N199"/>
  <c r="D165" i="8"/>
  <c r="BK197" i="18" l="1"/>
  <c r="BD197"/>
  <c r="AW197"/>
  <c r="X198"/>
  <c r="AP197"/>
  <c r="AA191"/>
  <c r="AL1002" s="1"/>
  <c r="AC191"/>
  <c r="AL1204" s="1"/>
  <c r="Z191"/>
  <c r="AL901" s="1"/>
  <c r="AB191"/>
  <c r="AL1103" s="1"/>
  <c r="O193" i="17"/>
  <c r="P193" s="1"/>
  <c r="Y192" i="18" s="1"/>
  <c r="AB192" s="1"/>
  <c r="AL1104" s="1"/>
  <c r="A195" i="17"/>
  <c r="B194"/>
  <c r="L194" s="1"/>
  <c r="M194"/>
  <c r="C195"/>
  <c r="N200"/>
  <c r="D166" i="8"/>
  <c r="BK198" i="18" l="1"/>
  <c r="BD198"/>
  <c r="AW198"/>
  <c r="X199"/>
  <c r="AP198"/>
  <c r="AA192"/>
  <c r="AL1003" s="1"/>
  <c r="Z192"/>
  <c r="AC192"/>
  <c r="AL1205" s="1"/>
  <c r="O194" i="17"/>
  <c r="P194" s="1"/>
  <c r="Y193" i="18" s="1"/>
  <c r="AB193" s="1"/>
  <c r="AL1105" s="1"/>
  <c r="C196" i="17"/>
  <c r="M195"/>
  <c r="B195"/>
  <c r="L195" s="1"/>
  <c r="A196"/>
  <c r="N201"/>
  <c r="D167" i="8"/>
  <c r="AL902" i="18" l="1"/>
  <c r="BK199"/>
  <c r="AW199"/>
  <c r="BD199"/>
  <c r="X200"/>
  <c r="AP199"/>
  <c r="AA193"/>
  <c r="AL1004" s="1"/>
  <c r="Z193"/>
  <c r="AL903" s="1"/>
  <c r="O195" i="17"/>
  <c r="P195" s="1"/>
  <c r="Y194" i="18" s="1"/>
  <c r="Z194" s="1"/>
  <c r="AL904" s="1"/>
  <c r="AC193"/>
  <c r="AL1206" s="1"/>
  <c r="A197" i="17"/>
  <c r="B196"/>
  <c r="L196" s="1"/>
  <c r="M196"/>
  <c r="C197"/>
  <c r="N202"/>
  <c r="D168" i="8"/>
  <c r="BK200" i="18" l="1"/>
  <c r="BD200"/>
  <c r="AW200"/>
  <c r="X201"/>
  <c r="AP200"/>
  <c r="AB194"/>
  <c r="AL1106" s="1"/>
  <c r="AC194"/>
  <c r="AL1207" s="1"/>
  <c r="O196" i="17"/>
  <c r="P196" s="1"/>
  <c r="Y195" i="18" s="1"/>
  <c r="Z195" s="1"/>
  <c r="AL905" s="1"/>
  <c r="AA194"/>
  <c r="AL1005" s="1"/>
  <c r="C198" i="17"/>
  <c r="M197"/>
  <c r="B197"/>
  <c r="L197" s="1"/>
  <c r="A198"/>
  <c r="N203"/>
  <c r="D169" i="8"/>
  <c r="BK201" i="18" l="1"/>
  <c r="BD201"/>
  <c r="AW201"/>
  <c r="X202"/>
  <c r="AP201"/>
  <c r="AB195"/>
  <c r="AL1107" s="1"/>
  <c r="AC195"/>
  <c r="AL1208" s="1"/>
  <c r="AA195"/>
  <c r="AL1006" s="1"/>
  <c r="O197" i="17"/>
  <c r="P197" s="1"/>
  <c r="Y196" i="18" s="1"/>
  <c r="AB196" s="1"/>
  <c r="AL1108" s="1"/>
  <c r="A199" i="17"/>
  <c r="B198"/>
  <c r="L198" s="1"/>
  <c r="M198"/>
  <c r="C199"/>
  <c r="N204"/>
  <c r="D170" i="8"/>
  <c r="BK202" i="18" l="1"/>
  <c r="BD202"/>
  <c r="AW202"/>
  <c r="X203"/>
  <c r="AP202"/>
  <c r="AA196"/>
  <c r="AL1007" s="1"/>
  <c r="Z196"/>
  <c r="AL906" s="1"/>
  <c r="O198" i="17"/>
  <c r="P198" s="1"/>
  <c r="Y197" i="18" s="1"/>
  <c r="Z197" s="1"/>
  <c r="AL907" s="1"/>
  <c r="AC196"/>
  <c r="AL1209" s="1"/>
  <c r="C200" i="17"/>
  <c r="M199"/>
  <c r="B199"/>
  <c r="L199" s="1"/>
  <c r="A200"/>
  <c r="N205"/>
  <c r="D171" i="8"/>
  <c r="AB197" i="18" l="1"/>
  <c r="AL1109" s="1"/>
  <c r="BK203"/>
  <c r="AW203"/>
  <c r="BD203"/>
  <c r="X205"/>
  <c r="AP203"/>
  <c r="AC197"/>
  <c r="AL1210" s="1"/>
  <c r="AA197"/>
  <c r="AL1008" s="1"/>
  <c r="O199" i="17"/>
  <c r="P199" s="1"/>
  <c r="Y198" i="18" s="1"/>
  <c r="AB198" s="1"/>
  <c r="AL1110" s="1"/>
  <c r="A201" i="17"/>
  <c r="B200"/>
  <c r="L200" s="1"/>
  <c r="M200"/>
  <c r="C201"/>
  <c r="N206"/>
  <c r="D172" i="8"/>
  <c r="BK205" i="18" l="1"/>
  <c r="BD205"/>
  <c r="AW205"/>
  <c r="X206"/>
  <c r="AP205"/>
  <c r="AA198"/>
  <c r="AL1009" s="1"/>
  <c r="Z198"/>
  <c r="AL908" s="1"/>
  <c r="O200" i="17"/>
  <c r="P200" s="1"/>
  <c r="Y199" i="18" s="1"/>
  <c r="AC198"/>
  <c r="AL1211" s="1"/>
  <c r="C202" i="17"/>
  <c r="M201"/>
  <c r="B201"/>
  <c r="L201" s="1"/>
  <c r="A202"/>
  <c r="N207"/>
  <c r="D173" i="8"/>
  <c r="BK206" i="18" l="1"/>
  <c r="BD206"/>
  <c r="AW206"/>
  <c r="X207"/>
  <c r="AP206"/>
  <c r="Z199"/>
  <c r="AL909" s="1"/>
  <c r="AB199"/>
  <c r="AL1111" s="1"/>
  <c r="AC199"/>
  <c r="AL1212" s="1"/>
  <c r="AA199"/>
  <c r="AL1010" s="1"/>
  <c r="O201" i="17"/>
  <c r="P201" s="1"/>
  <c r="Y200" i="18" s="1"/>
  <c r="AB200" s="1"/>
  <c r="AL1112" s="1"/>
  <c r="A203" i="17"/>
  <c r="B202"/>
  <c r="L202" s="1"/>
  <c r="M202"/>
  <c r="C203"/>
  <c r="N208"/>
  <c r="D174" i="8"/>
  <c r="AW207" i="18" l="1"/>
  <c r="BK207"/>
  <c r="BD207"/>
  <c r="X208"/>
  <c r="AP207"/>
  <c r="AA200"/>
  <c r="AL1011" s="1"/>
  <c r="Z200"/>
  <c r="O202" i="17"/>
  <c r="P202" s="1"/>
  <c r="Y201" i="18" s="1"/>
  <c r="Z201" s="1"/>
  <c r="AL911" s="1"/>
  <c r="AC200"/>
  <c r="AL1213" s="1"/>
  <c r="C204" i="17"/>
  <c r="M203"/>
  <c r="B203"/>
  <c r="L203" s="1"/>
  <c r="A204"/>
  <c r="N209"/>
  <c r="D175" i="8"/>
  <c r="AL910" i="18" l="1"/>
  <c r="AB201"/>
  <c r="AL1113" s="1"/>
  <c r="BK208"/>
  <c r="BD208"/>
  <c r="AW208"/>
  <c r="X209"/>
  <c r="AP208"/>
  <c r="O203" i="17"/>
  <c r="P203" s="1"/>
  <c r="Y202" i="18" s="1"/>
  <c r="AB202" s="1"/>
  <c r="AL1114" s="1"/>
  <c r="AC201"/>
  <c r="AL1214" s="1"/>
  <c r="AA201"/>
  <c r="AL1012" s="1"/>
  <c r="A205" i="17"/>
  <c r="B204"/>
  <c r="L204" s="1"/>
  <c r="M204"/>
  <c r="C205"/>
  <c r="N210"/>
  <c r="D176" i="8"/>
  <c r="BK209" i="18" l="1"/>
  <c r="BD209"/>
  <c r="AW209"/>
  <c r="X210"/>
  <c r="AP209"/>
  <c r="AA202"/>
  <c r="AL1013" s="1"/>
  <c r="AC202"/>
  <c r="AL1215" s="1"/>
  <c r="Z202"/>
  <c r="AL912" s="1"/>
  <c r="O204" i="17"/>
  <c r="P204" s="1"/>
  <c r="Y203" i="18" s="1"/>
  <c r="C206" i="17"/>
  <c r="M205"/>
  <c r="B205"/>
  <c r="L205" s="1"/>
  <c r="A206"/>
  <c r="N211"/>
  <c r="D177" i="8"/>
  <c r="BK210" i="18" l="1"/>
  <c r="BD210"/>
  <c r="AW210"/>
  <c r="X211"/>
  <c r="AP210"/>
  <c r="AB203"/>
  <c r="AL1115" s="1"/>
  <c r="AA203"/>
  <c r="AL1014" s="1"/>
  <c r="Z203"/>
  <c r="AL913" s="1"/>
  <c r="O205" i="17"/>
  <c r="P205" s="1"/>
  <c r="Y204" i="18" s="1"/>
  <c r="AC203"/>
  <c r="AL1216" s="1"/>
  <c r="A207" i="17"/>
  <c r="B206"/>
  <c r="L206" s="1"/>
  <c r="M206"/>
  <c r="C207"/>
  <c r="N212"/>
  <c r="D178" i="8"/>
  <c r="D82" i="18" l="1" a="1"/>
  <c r="D82" s="1"/>
  <c r="M74" s="1"/>
  <c r="BK211"/>
  <c r="AW211"/>
  <c r="BD211"/>
  <c r="X212"/>
  <c r="AP211"/>
  <c r="AB204"/>
  <c r="AL1419" s="1"/>
  <c r="O206" i="17"/>
  <c r="P206" s="1"/>
  <c r="Y205" i="18" s="1"/>
  <c r="Z205" s="1"/>
  <c r="AL1218" s="1"/>
  <c r="AA204"/>
  <c r="AL1318" s="1"/>
  <c r="Z204"/>
  <c r="AL1217" s="1"/>
  <c r="AC204"/>
  <c r="AL1520" s="1"/>
  <c r="C208" i="17"/>
  <c r="M207"/>
  <c r="B207"/>
  <c r="L207" s="1"/>
  <c r="A208"/>
  <c r="N213"/>
  <c r="D179" i="8"/>
  <c r="AB205" i="18" l="1"/>
  <c r="AL1420" s="1"/>
  <c r="BD212"/>
  <c r="AW212"/>
  <c r="BK212"/>
  <c r="X213"/>
  <c r="AP212"/>
  <c r="AA205"/>
  <c r="AL1319" s="1"/>
  <c r="AC205"/>
  <c r="AL1521" s="1"/>
  <c r="O207" i="17"/>
  <c r="P207" s="1"/>
  <c r="Y206" i="18" s="1"/>
  <c r="AB206" s="1"/>
  <c r="AL1421" s="1"/>
  <c r="A209" i="17"/>
  <c r="B208"/>
  <c r="L208" s="1"/>
  <c r="M208"/>
  <c r="C209"/>
  <c r="N214"/>
  <c r="D180" i="8"/>
  <c r="BK213" i="18" l="1"/>
  <c r="BD213"/>
  <c r="AW213"/>
  <c r="X214"/>
  <c r="AP213"/>
  <c r="AC206"/>
  <c r="AL1522" s="1"/>
  <c r="AA206"/>
  <c r="AL1320" s="1"/>
  <c r="Z206"/>
  <c r="AL1219" s="1"/>
  <c r="O208" i="17"/>
  <c r="P208" s="1"/>
  <c r="Y207" i="18" s="1"/>
  <c r="AB207" s="1"/>
  <c r="AL1422" s="1"/>
  <c r="C210" i="17"/>
  <c r="M209"/>
  <c r="B209"/>
  <c r="L209" s="1"/>
  <c r="A210"/>
  <c r="N215"/>
  <c r="D181" i="8"/>
  <c r="BK214" i="18" l="1"/>
  <c r="BD214"/>
  <c r="AW214"/>
  <c r="X215"/>
  <c r="AP214"/>
  <c r="AA207"/>
  <c r="AL1321" s="1"/>
  <c r="Z207"/>
  <c r="AL1220" s="1"/>
  <c r="O209" i="17"/>
  <c r="P209" s="1"/>
  <c r="Y208" i="18" s="1"/>
  <c r="Z208" s="1"/>
  <c r="AL1221" s="1"/>
  <c r="AC207"/>
  <c r="AL1523" s="1"/>
  <c r="A211" i="17"/>
  <c r="B210"/>
  <c r="L210" s="1"/>
  <c r="M210"/>
  <c r="C211"/>
  <c r="N216"/>
  <c r="D182" i="8"/>
  <c r="BK215" i="18" l="1"/>
  <c r="AW215"/>
  <c r="BD215"/>
  <c r="X216"/>
  <c r="AP215"/>
  <c r="AB208"/>
  <c r="AL1423" s="1"/>
  <c r="AC208"/>
  <c r="AL1524" s="1"/>
  <c r="O210" i="17"/>
  <c r="P210" s="1"/>
  <c r="Y209" i="18" s="1"/>
  <c r="Z209" s="1"/>
  <c r="AL1222" s="1"/>
  <c r="AA208"/>
  <c r="AL1322" s="1"/>
  <c r="C212" i="17"/>
  <c r="M211"/>
  <c r="B211"/>
  <c r="L211" s="1"/>
  <c r="A212"/>
  <c r="N217"/>
  <c r="D183" i="8"/>
  <c r="BK216" i="18" l="1"/>
  <c r="BD216"/>
  <c r="AW216"/>
  <c r="X217"/>
  <c r="AP216"/>
  <c r="AB209"/>
  <c r="AL1424" s="1"/>
  <c r="AC209"/>
  <c r="AL1525" s="1"/>
  <c r="AA209"/>
  <c r="AL1323" s="1"/>
  <c r="O211" i="17"/>
  <c r="P211" s="1"/>
  <c r="Y210" i="18" s="1"/>
  <c r="AB210" s="1"/>
  <c r="AL1425" s="1"/>
  <c r="A213" i="17"/>
  <c r="B212"/>
  <c r="L212" s="1"/>
  <c r="M212"/>
  <c r="C213"/>
  <c r="N218"/>
  <c r="D184" i="8"/>
  <c r="BK217" i="18" l="1"/>
  <c r="BD217"/>
  <c r="AW217"/>
  <c r="X218"/>
  <c r="AP217"/>
  <c r="AA210"/>
  <c r="AL1324" s="1"/>
  <c r="Z210"/>
  <c r="AL1223" s="1"/>
  <c r="AC210"/>
  <c r="AL1526" s="1"/>
  <c r="O212" i="17"/>
  <c r="P212" s="1"/>
  <c r="Y211" i="18" s="1"/>
  <c r="AB211" s="1"/>
  <c r="AL1426" s="1"/>
  <c r="M213" i="17"/>
  <c r="C214"/>
  <c r="B213"/>
  <c r="L213" s="1"/>
  <c r="A214"/>
  <c r="N219"/>
  <c r="D185" i="8"/>
  <c r="O213" i="17" l="1"/>
  <c r="P213" s="1"/>
  <c r="Y212" i="18" s="1"/>
  <c r="Z212" s="1"/>
  <c r="AL1225" s="1"/>
  <c r="BK218"/>
  <c r="BD218"/>
  <c r="AW218"/>
  <c r="X219"/>
  <c r="AP218"/>
  <c r="AA211"/>
  <c r="AL1325" s="1"/>
  <c r="Z211"/>
  <c r="AL1224" s="1"/>
  <c r="AC211"/>
  <c r="AL1527" s="1"/>
  <c r="B214" i="17"/>
  <c r="L214" s="1"/>
  <c r="A215"/>
  <c r="M214"/>
  <c r="C215"/>
  <c r="N220"/>
  <c r="D186" i="8"/>
  <c r="AC212" i="18" l="1"/>
  <c r="AL1528" s="1"/>
  <c r="AB212"/>
  <c r="AL1427" s="1"/>
  <c r="AA212"/>
  <c r="AL1326" s="1"/>
  <c r="BK219"/>
  <c r="AW219"/>
  <c r="BD219"/>
  <c r="X220"/>
  <c r="AP219"/>
  <c r="C216" i="17"/>
  <c r="M215"/>
  <c r="B215"/>
  <c r="L215" s="1"/>
  <c r="A216"/>
  <c r="O214"/>
  <c r="P214" s="1"/>
  <c r="Y213" i="18" s="1"/>
  <c r="N221" i="17"/>
  <c r="D187" i="8"/>
  <c r="BK220" i="18" l="1"/>
  <c r="BD220"/>
  <c r="AW220"/>
  <c r="X221"/>
  <c r="AP220"/>
  <c r="O215" i="17"/>
  <c r="P215" s="1"/>
  <c r="Y214" i="18" s="1"/>
  <c r="AB214" s="1"/>
  <c r="AL1429" s="1"/>
  <c r="AB213"/>
  <c r="AL1428" s="1"/>
  <c r="Z213"/>
  <c r="AL1226" s="1"/>
  <c r="AC213"/>
  <c r="AL1529" s="1"/>
  <c r="AA213"/>
  <c r="AL1327" s="1"/>
  <c r="A217" i="17"/>
  <c r="B216"/>
  <c r="L216" s="1"/>
  <c r="M216"/>
  <c r="C217"/>
  <c r="N222"/>
  <c r="D188" i="8"/>
  <c r="BK221" i="18" l="1"/>
  <c r="BD221"/>
  <c r="AW221"/>
  <c r="X222"/>
  <c r="AP221"/>
  <c r="AC214"/>
  <c r="AL1530" s="1"/>
  <c r="AA214"/>
  <c r="AL1328" s="1"/>
  <c r="Z214"/>
  <c r="AL1227" s="1"/>
  <c r="O216" i="17"/>
  <c r="P216" s="1"/>
  <c r="Y215" i="18" s="1"/>
  <c r="AB215" s="1"/>
  <c r="AL1430" s="1"/>
  <c r="M217" i="17"/>
  <c r="C218"/>
  <c r="A218"/>
  <c r="B217"/>
  <c r="L217" s="1"/>
  <c r="N223"/>
  <c r="D189" i="8"/>
  <c r="BK222" i="18" l="1"/>
  <c r="BD222"/>
  <c r="AW222"/>
  <c r="X223"/>
  <c r="AP222"/>
  <c r="AA215"/>
  <c r="AL1329" s="1"/>
  <c r="Z215"/>
  <c r="AL1228" s="1"/>
  <c r="AC215"/>
  <c r="AL1531" s="1"/>
  <c r="O217" i="17"/>
  <c r="P217" s="1"/>
  <c r="Y216" i="18" s="1"/>
  <c r="AB216" s="1"/>
  <c r="AL1431" s="1"/>
  <c r="M218" i="17"/>
  <c r="C219"/>
  <c r="B218"/>
  <c r="L218" s="1"/>
  <c r="A219"/>
  <c r="N224"/>
  <c r="D190" i="8"/>
  <c r="O218" i="17" l="1"/>
  <c r="P218" s="1"/>
  <c r="Y217" i="18" s="1"/>
  <c r="Z217" s="1"/>
  <c r="AL1230" s="1"/>
  <c r="AW223"/>
  <c r="BK223"/>
  <c r="BD223"/>
  <c r="X224"/>
  <c r="AP223"/>
  <c r="AA216"/>
  <c r="AL1330" s="1"/>
  <c r="Z216"/>
  <c r="AL1229" s="1"/>
  <c r="AC216"/>
  <c r="AL1532" s="1"/>
  <c r="B219" i="17"/>
  <c r="L219" s="1"/>
  <c r="A220"/>
  <c r="M219"/>
  <c r="C220"/>
  <c r="N225"/>
  <c r="D191" i="8"/>
  <c r="AB217" i="18" l="1"/>
  <c r="AL1432" s="1"/>
  <c r="AA217"/>
  <c r="AL1331" s="1"/>
  <c r="AC217"/>
  <c r="AL1533" s="1"/>
  <c r="BK224"/>
  <c r="BD224"/>
  <c r="AW224"/>
  <c r="X225"/>
  <c r="AP224"/>
  <c r="M220" i="17"/>
  <c r="C221"/>
  <c r="B220"/>
  <c r="L220" s="1"/>
  <c r="A221"/>
  <c r="O219"/>
  <c r="P219" s="1"/>
  <c r="Y218" i="18" s="1"/>
  <c r="N226" i="17"/>
  <c r="D192" i="8"/>
  <c r="BK225" i="18" l="1"/>
  <c r="BD225"/>
  <c r="AW225"/>
  <c r="X226"/>
  <c r="AP225"/>
  <c r="O220" i="17"/>
  <c r="P220" s="1"/>
  <c r="Y219" i="18" s="1"/>
  <c r="AB219" s="1"/>
  <c r="AL1434" s="1"/>
  <c r="AB218"/>
  <c r="AL1433" s="1"/>
  <c r="Z218"/>
  <c r="AL1231" s="1"/>
  <c r="AC218"/>
  <c r="AL1534" s="1"/>
  <c r="AA218"/>
  <c r="AL1332" s="1"/>
  <c r="A222" i="17"/>
  <c r="B221"/>
  <c r="L221" s="1"/>
  <c r="M221"/>
  <c r="C222"/>
  <c r="N227"/>
  <c r="D193" i="8"/>
  <c r="BK226" i="18" l="1"/>
  <c r="BD226"/>
  <c r="AW226"/>
  <c r="X227"/>
  <c r="AP226"/>
  <c r="AA219"/>
  <c r="AL1333" s="1"/>
  <c r="AC219"/>
  <c r="AL1535" s="1"/>
  <c r="Z219"/>
  <c r="AL1232" s="1"/>
  <c r="O221" i="17"/>
  <c r="P221" s="1"/>
  <c r="Y220" i="18" s="1"/>
  <c r="AB220" s="1"/>
  <c r="AL1435" s="1"/>
  <c r="C223" i="17"/>
  <c r="M222"/>
  <c r="B222"/>
  <c r="L222" s="1"/>
  <c r="A223"/>
  <c r="N228"/>
  <c r="D194" i="8"/>
  <c r="BK227" i="18" l="1"/>
  <c r="AW227"/>
  <c r="BD227"/>
  <c r="X228"/>
  <c r="AP227"/>
  <c r="AA220"/>
  <c r="AL1334" s="1"/>
  <c r="Z220"/>
  <c r="AL1233" s="1"/>
  <c r="O222" i="17"/>
  <c r="P222" s="1"/>
  <c r="Y221" i="18" s="1"/>
  <c r="Z221" s="1"/>
  <c r="AL1234" s="1"/>
  <c r="AC220"/>
  <c r="AL1536" s="1"/>
  <c r="B223" i="17"/>
  <c r="L223" s="1"/>
  <c r="A224"/>
  <c r="M223"/>
  <c r="C224"/>
  <c r="N229"/>
  <c r="D195" i="8"/>
  <c r="AB221" i="18" l="1"/>
  <c r="AL1436" s="1"/>
  <c r="BD228"/>
  <c r="AW228"/>
  <c r="BK228"/>
  <c r="X229"/>
  <c r="AP228"/>
  <c r="AC221"/>
  <c r="AL1537" s="1"/>
  <c r="AA221"/>
  <c r="AL1335" s="1"/>
  <c r="M224" i="17"/>
  <c r="C225"/>
  <c r="B224"/>
  <c r="L224" s="1"/>
  <c r="A225"/>
  <c r="O223"/>
  <c r="P223" s="1"/>
  <c r="Y222" i="18" s="1"/>
  <c r="N230" i="17"/>
  <c r="D196" i="8"/>
  <c r="BK229" i="18" l="1"/>
  <c r="BD229"/>
  <c r="AW229"/>
  <c r="X230"/>
  <c r="AP229"/>
  <c r="O224" i="17"/>
  <c r="P224" s="1"/>
  <c r="Y223" i="18" s="1"/>
  <c r="AB223" s="1"/>
  <c r="AL1438" s="1"/>
  <c r="AB222"/>
  <c r="AL1437" s="1"/>
  <c r="Z222"/>
  <c r="AL1235" s="1"/>
  <c r="AC222"/>
  <c r="AL1538" s="1"/>
  <c r="AA222"/>
  <c r="AL1336" s="1"/>
  <c r="A226" i="17"/>
  <c r="B225"/>
  <c r="L225" s="1"/>
  <c r="M225"/>
  <c r="C226"/>
  <c r="N231"/>
  <c r="D197" i="8"/>
  <c r="BK230" i="18" l="1"/>
  <c r="BD230"/>
  <c r="AW230"/>
  <c r="X231"/>
  <c r="AP230"/>
  <c r="AA223"/>
  <c r="AL1337" s="1"/>
  <c r="AC223"/>
  <c r="AL1539" s="1"/>
  <c r="Z223"/>
  <c r="AL1236" s="1"/>
  <c r="O225" i="17"/>
  <c r="P225" s="1"/>
  <c r="Y224" i="18" s="1"/>
  <c r="AB224" s="1"/>
  <c r="AL1439" s="1"/>
  <c r="C227" i="17"/>
  <c r="M226"/>
  <c r="A227"/>
  <c r="B226"/>
  <c r="L226" s="1"/>
  <c r="N232"/>
  <c r="D198" i="8"/>
  <c r="O226" i="17" l="1"/>
  <c r="P226" s="1"/>
  <c r="Y225" i="18" s="1"/>
  <c r="AB225" s="1"/>
  <c r="AL1440" s="1"/>
  <c r="BK231"/>
  <c r="AW231"/>
  <c r="BD231"/>
  <c r="X232"/>
  <c r="AP231"/>
  <c r="AC224"/>
  <c r="AL1540" s="1"/>
  <c r="AA224"/>
  <c r="AL1338" s="1"/>
  <c r="Z224"/>
  <c r="AL1237" s="1"/>
  <c r="B227" i="17"/>
  <c r="L227" s="1"/>
  <c r="A228"/>
  <c r="C228"/>
  <c r="M227"/>
  <c r="N233"/>
  <c r="D199" i="8"/>
  <c r="AA225" i="18" l="1"/>
  <c r="AL1339" s="1"/>
  <c r="Z225"/>
  <c r="AL1238" s="1"/>
  <c r="AC225"/>
  <c r="AL1541" s="1"/>
  <c r="BK232"/>
  <c r="BD232"/>
  <c r="AW232"/>
  <c r="X233"/>
  <c r="AP232"/>
  <c r="O227" i="17"/>
  <c r="P227" s="1"/>
  <c r="Y226" i="18" s="1"/>
  <c r="AB226" s="1"/>
  <c r="AL1441" s="1"/>
  <c r="M228" i="17"/>
  <c r="C229"/>
  <c r="B228"/>
  <c r="L228" s="1"/>
  <c r="A229"/>
  <c r="N234"/>
  <c r="D200" i="8"/>
  <c r="O228" i="17" l="1"/>
  <c r="P228" s="1"/>
  <c r="Y227" i="18" s="1"/>
  <c r="Z227" s="1"/>
  <c r="AL1240" s="1"/>
  <c r="BK233"/>
  <c r="BD233"/>
  <c r="AW233"/>
  <c r="X234"/>
  <c r="AP233"/>
  <c r="AC226"/>
  <c r="AL1542" s="1"/>
  <c r="AA226"/>
  <c r="AL1340" s="1"/>
  <c r="Z226"/>
  <c r="AL1239" s="1"/>
  <c r="B229" i="17"/>
  <c r="L229" s="1"/>
  <c r="A230"/>
  <c r="M229"/>
  <c r="C230"/>
  <c r="N235"/>
  <c r="D201" i="8"/>
  <c r="AB227" i="18" l="1"/>
  <c r="AL1442" s="1"/>
  <c r="AA227"/>
  <c r="AL1341" s="1"/>
  <c r="AC227"/>
  <c r="AL1543" s="1"/>
  <c r="BK234"/>
  <c r="BD234"/>
  <c r="AW234"/>
  <c r="X235"/>
  <c r="AP234"/>
  <c r="M230" i="17"/>
  <c r="C231"/>
  <c r="B230"/>
  <c r="L230" s="1"/>
  <c r="A231"/>
  <c r="O229"/>
  <c r="P229" s="1"/>
  <c r="Y228" i="18" s="1"/>
  <c r="N236" i="17"/>
  <c r="D202" i="8"/>
  <c r="BK235" i="18" l="1"/>
  <c r="AW235"/>
  <c r="BD235"/>
  <c r="X236"/>
  <c r="AP235"/>
  <c r="O230" i="17"/>
  <c r="P230" s="1"/>
  <c r="Y229" i="18" s="1"/>
  <c r="AB229" s="1"/>
  <c r="AL1444" s="1"/>
  <c r="AB228"/>
  <c r="AL1443" s="1"/>
  <c r="Z228"/>
  <c r="AL1241" s="1"/>
  <c r="AC228"/>
  <c r="AL1544" s="1"/>
  <c r="AA228"/>
  <c r="AL1342" s="1"/>
  <c r="A232" i="17"/>
  <c r="B231"/>
  <c r="L231" s="1"/>
  <c r="C232"/>
  <c r="M231"/>
  <c r="N237"/>
  <c r="D203" i="8"/>
  <c r="BK236" i="18" l="1"/>
  <c r="BD236"/>
  <c r="AW236"/>
  <c r="X237"/>
  <c r="AP236"/>
  <c r="AA229"/>
  <c r="AL1343" s="1"/>
  <c r="AC229"/>
  <c r="AL1545" s="1"/>
  <c r="Z229"/>
  <c r="AL1242" s="1"/>
  <c r="O231" i="17"/>
  <c r="P231" s="1"/>
  <c r="Y230" i="18" s="1"/>
  <c r="AB230" s="1"/>
  <c r="AL1445" s="1"/>
  <c r="C233" i="17"/>
  <c r="M232"/>
  <c r="A233"/>
  <c r="B232"/>
  <c r="L232" s="1"/>
  <c r="N238"/>
  <c r="D204" i="8"/>
  <c r="BK237" i="18" l="1"/>
  <c r="BD237"/>
  <c r="AW237"/>
  <c r="X238"/>
  <c r="AP237"/>
  <c r="AA230"/>
  <c r="AL1344" s="1"/>
  <c r="Z230"/>
  <c r="AL1243" s="1"/>
  <c r="O232" i="17"/>
  <c r="P232" s="1"/>
  <c r="Y231" i="18" s="1"/>
  <c r="Z231" s="1"/>
  <c r="AL1244" s="1"/>
  <c r="AC230"/>
  <c r="AL1546" s="1"/>
  <c r="B233" i="17"/>
  <c r="L233" s="1"/>
  <c r="A234"/>
  <c r="M233"/>
  <c r="C234"/>
  <c r="N239"/>
  <c r="D205" i="8"/>
  <c r="AB231" i="18" l="1"/>
  <c r="AL1446" s="1"/>
  <c r="BK238"/>
  <c r="BD238"/>
  <c r="AW238"/>
  <c r="X239"/>
  <c r="AP238"/>
  <c r="AC231"/>
  <c r="AL1547" s="1"/>
  <c r="AA231"/>
  <c r="AL1345" s="1"/>
  <c r="M234" i="17"/>
  <c r="C235"/>
  <c r="B234"/>
  <c r="L234" s="1"/>
  <c r="A235"/>
  <c r="O233"/>
  <c r="P233" s="1"/>
  <c r="Y232" i="18" s="1"/>
  <c r="N240" i="17"/>
  <c r="D206" i="8"/>
  <c r="AW239" i="18" l="1"/>
  <c r="BK239"/>
  <c r="BD239"/>
  <c r="X240"/>
  <c r="AP239"/>
  <c r="O234" i="17"/>
  <c r="P234" s="1"/>
  <c r="Y233" i="18" s="1"/>
  <c r="AB233" s="1"/>
  <c r="AL1448" s="1"/>
  <c r="AB232"/>
  <c r="AL1447" s="1"/>
  <c r="Z232"/>
  <c r="AL1245" s="1"/>
  <c r="AC232"/>
  <c r="AL1548" s="1"/>
  <c r="AA232"/>
  <c r="AL1346" s="1"/>
  <c r="B235" i="17"/>
  <c r="L235" s="1"/>
  <c r="A236"/>
  <c r="M235"/>
  <c r="C236"/>
  <c r="N241"/>
  <c r="D207" i="8"/>
  <c r="BK240" i="18" l="1"/>
  <c r="BD240"/>
  <c r="AW240"/>
  <c r="X241"/>
  <c r="AP240"/>
  <c r="AA233"/>
  <c r="AL1347" s="1"/>
  <c r="Z233"/>
  <c r="AL1246" s="1"/>
  <c r="AC233"/>
  <c r="AL1549" s="1"/>
  <c r="M236" i="17"/>
  <c r="C237"/>
  <c r="A237"/>
  <c r="B236"/>
  <c r="L236" s="1"/>
  <c r="O235"/>
  <c r="P235" s="1"/>
  <c r="Y234" i="18" s="1"/>
  <c r="N242" i="17"/>
  <c r="D208" i="8"/>
  <c r="BK241" i="18" l="1"/>
  <c r="BD241"/>
  <c r="AW241"/>
  <c r="X242"/>
  <c r="AP241"/>
  <c r="O236" i="17"/>
  <c r="P236" s="1"/>
  <c r="Y235" i="18" s="1"/>
  <c r="AB235" s="1"/>
  <c r="AL1450" s="1"/>
  <c r="AB234"/>
  <c r="AL1449" s="1"/>
  <c r="Z234"/>
  <c r="AL1247" s="1"/>
  <c r="AC234"/>
  <c r="AL1550" s="1"/>
  <c r="AA234"/>
  <c r="AL1348" s="1"/>
  <c r="M237" i="17"/>
  <c r="C238"/>
  <c r="B237"/>
  <c r="L237" s="1"/>
  <c r="A238"/>
  <c r="N243"/>
  <c r="D209" i="8"/>
  <c r="O237" i="17" l="1"/>
  <c r="P237" s="1"/>
  <c r="Y236" i="18" s="1"/>
  <c r="AB236" s="1"/>
  <c r="AL1451" s="1"/>
  <c r="BK242"/>
  <c r="BD242"/>
  <c r="AW242"/>
  <c r="X243"/>
  <c r="AP242"/>
  <c r="AA235"/>
  <c r="AL1349" s="1"/>
  <c r="AC235"/>
  <c r="AL1551" s="1"/>
  <c r="Z235"/>
  <c r="AL1248" s="1"/>
  <c r="B238" i="17"/>
  <c r="L238" s="1"/>
  <c r="A239"/>
  <c r="M238"/>
  <c r="C239"/>
  <c r="N244"/>
  <c r="D210" i="8"/>
  <c r="AA236" i="18" l="1"/>
  <c r="AL1350" s="1"/>
  <c r="AC236"/>
  <c r="AL1552" s="1"/>
  <c r="Z236"/>
  <c r="AL1249" s="1"/>
  <c r="BK243"/>
  <c r="AW243"/>
  <c r="BD243"/>
  <c r="X244"/>
  <c r="AP243"/>
  <c r="O238" i="17"/>
  <c r="P238" s="1"/>
  <c r="Y237" i="18" s="1"/>
  <c r="AB237" s="1"/>
  <c r="AL1452" s="1"/>
  <c r="M239" i="17"/>
  <c r="C240"/>
  <c r="A240"/>
  <c r="B239"/>
  <c r="L239" s="1"/>
  <c r="N245"/>
  <c r="D211" i="8"/>
  <c r="BK244" i="18" l="1"/>
  <c r="BD244"/>
  <c r="AW244"/>
  <c r="X245"/>
  <c r="AP244"/>
  <c r="AA237"/>
  <c r="AL1351" s="1"/>
  <c r="Z237"/>
  <c r="AC237"/>
  <c r="AL1553" s="1"/>
  <c r="O239" i="17"/>
  <c r="P239" s="1"/>
  <c r="Y238" i="18" s="1"/>
  <c r="AB238" s="1"/>
  <c r="AL1453" s="1"/>
  <c r="C241" i="17"/>
  <c r="M240"/>
  <c r="A241"/>
  <c r="B240"/>
  <c r="L240" s="1"/>
  <c r="N246"/>
  <c r="D212" i="8"/>
  <c r="AL1250" i="18" l="1"/>
  <c r="BK245"/>
  <c r="BD245"/>
  <c r="AW245"/>
  <c r="X246"/>
  <c r="AP245"/>
  <c r="AA238"/>
  <c r="AL1352" s="1"/>
  <c r="Z238"/>
  <c r="AL1251" s="1"/>
  <c r="AC238"/>
  <c r="AL1554" s="1"/>
  <c r="O240" i="17"/>
  <c r="P240" s="1"/>
  <c r="Y239" i="18" s="1"/>
  <c r="AB239" s="1"/>
  <c r="AL1454" s="1"/>
  <c r="A242" i="17"/>
  <c r="B241"/>
  <c r="L241" s="1"/>
  <c r="C242"/>
  <c r="M241"/>
  <c r="N247"/>
  <c r="D213" i="8"/>
  <c r="BK246" i="18" l="1"/>
  <c r="BD246"/>
  <c r="AW246"/>
  <c r="X247"/>
  <c r="AP246"/>
  <c r="AA239"/>
  <c r="AL1353" s="1"/>
  <c r="Z239"/>
  <c r="AL1252" s="1"/>
  <c r="AC239"/>
  <c r="AL1555" s="1"/>
  <c r="O241" i="17"/>
  <c r="P241" s="1"/>
  <c r="Y240" i="18" s="1"/>
  <c r="AB240" s="1"/>
  <c r="AL1455" s="1"/>
  <c r="C243" i="17"/>
  <c r="M242"/>
  <c r="B242"/>
  <c r="L242" s="1"/>
  <c r="A243"/>
  <c r="N248"/>
  <c r="D214" i="8"/>
  <c r="BK247" i="18" l="1"/>
  <c r="AW247"/>
  <c r="BD247"/>
  <c r="X248"/>
  <c r="AP247"/>
  <c r="AA240"/>
  <c r="AL1354" s="1"/>
  <c r="Z240"/>
  <c r="AL1253" s="1"/>
  <c r="O242" i="17"/>
  <c r="P242" s="1"/>
  <c r="Y241" i="18" s="1"/>
  <c r="Z241" s="1"/>
  <c r="AL1254" s="1"/>
  <c r="AC240"/>
  <c r="AL1556" s="1"/>
  <c r="B243" i="17"/>
  <c r="L243" s="1"/>
  <c r="A244"/>
  <c r="M243"/>
  <c r="C244"/>
  <c r="N249"/>
  <c r="D215" i="8"/>
  <c r="BK248" i="18" l="1"/>
  <c r="BD248"/>
  <c r="AW248"/>
  <c r="X249"/>
  <c r="AP248"/>
  <c r="AB241"/>
  <c r="AL1456" s="1"/>
  <c r="AA241"/>
  <c r="AL1355" s="1"/>
  <c r="AC241"/>
  <c r="AL1557" s="1"/>
  <c r="M244" i="17"/>
  <c r="C245"/>
  <c r="B244"/>
  <c r="L244" s="1"/>
  <c r="A245"/>
  <c r="O243"/>
  <c r="P243" s="1"/>
  <c r="Y242" i="18" s="1"/>
  <c r="N250" i="17"/>
  <c r="D216" i="8"/>
  <c r="BK249" i="18" l="1"/>
  <c r="BD249"/>
  <c r="AW249"/>
  <c r="X250"/>
  <c r="AP249"/>
  <c r="O244" i="17"/>
  <c r="P244" s="1"/>
  <c r="Y243" i="18" s="1"/>
  <c r="AB243" s="1"/>
  <c r="AL1458" s="1"/>
  <c r="AB242"/>
  <c r="AL1457" s="1"/>
  <c r="Z242"/>
  <c r="AL1255" s="1"/>
  <c r="AC242"/>
  <c r="AL1558" s="1"/>
  <c r="AA242"/>
  <c r="AL1356" s="1"/>
  <c r="A246" i="17"/>
  <c r="B245"/>
  <c r="L245" s="1"/>
  <c r="M245"/>
  <c r="C246"/>
  <c r="N251"/>
  <c r="D217" i="8"/>
  <c r="BK250" i="18" l="1"/>
  <c r="BD250"/>
  <c r="AW250"/>
  <c r="X251"/>
  <c r="AP250"/>
  <c r="AA243"/>
  <c r="AL1357" s="1"/>
  <c r="AC243"/>
  <c r="AL1559" s="1"/>
  <c r="Z243"/>
  <c r="AL1256" s="1"/>
  <c r="O245" i="17"/>
  <c r="P245" s="1"/>
  <c r="Y244" i="18" s="1"/>
  <c r="AB244" s="1"/>
  <c r="AL1459" s="1"/>
  <c r="C247" i="17"/>
  <c r="M246"/>
  <c r="B246"/>
  <c r="L246" s="1"/>
  <c r="A247"/>
  <c r="N252"/>
  <c r="D218" i="8"/>
  <c r="BK251" i="18" l="1"/>
  <c r="AW251"/>
  <c r="BD251"/>
  <c r="X252"/>
  <c r="AP251"/>
  <c r="AA244"/>
  <c r="AL1358" s="1"/>
  <c r="Z244"/>
  <c r="AL1257" s="1"/>
  <c r="AC244"/>
  <c r="AL1560" s="1"/>
  <c r="B247" i="17"/>
  <c r="L247" s="1"/>
  <c r="A248"/>
  <c r="O246"/>
  <c r="P246" s="1"/>
  <c r="Y245" i="18" s="1"/>
  <c r="M247" i="17"/>
  <c r="C248"/>
  <c r="N253"/>
  <c r="D219" i="8"/>
  <c r="BK252" i="18" l="1"/>
  <c r="BD252"/>
  <c r="AW252"/>
  <c r="X253"/>
  <c r="AP252"/>
  <c r="O247" i="17"/>
  <c r="P247" s="1"/>
  <c r="Y246" i="18" s="1"/>
  <c r="AB246" s="1"/>
  <c r="AL1461" s="1"/>
  <c r="AB245"/>
  <c r="AL1460" s="1"/>
  <c r="Z245"/>
  <c r="AL1258" s="1"/>
  <c r="AC245"/>
  <c r="AL1561" s="1"/>
  <c r="AA245"/>
  <c r="AL1359" s="1"/>
  <c r="M248" i="17"/>
  <c r="C249"/>
  <c r="B248"/>
  <c r="L248" s="1"/>
  <c r="A249"/>
  <c r="N254"/>
  <c r="D220" i="8"/>
  <c r="O248" i="17" l="1"/>
  <c r="P248" s="1"/>
  <c r="Y247" i="18" s="1"/>
  <c r="AB247" s="1"/>
  <c r="AL1462" s="1"/>
  <c r="BD253"/>
  <c r="BK253"/>
  <c r="AW253"/>
  <c r="X254"/>
  <c r="AP253"/>
  <c r="AA246"/>
  <c r="AL1360" s="1"/>
  <c r="AC246"/>
  <c r="AL1562" s="1"/>
  <c r="Z246"/>
  <c r="AL1259" s="1"/>
  <c r="B249" i="17"/>
  <c r="L249" s="1"/>
  <c r="A250"/>
  <c r="M249"/>
  <c r="C250"/>
  <c r="N255"/>
  <c r="D221" i="8"/>
  <c r="AA247" i="18" l="1"/>
  <c r="AL1361" s="1"/>
  <c r="AC247"/>
  <c r="AL1563" s="1"/>
  <c r="Z247"/>
  <c r="AL1260" s="1"/>
  <c r="BK254"/>
  <c r="BD254"/>
  <c r="AW254"/>
  <c r="X255"/>
  <c r="AP254"/>
  <c r="O249" i="17"/>
  <c r="P249" s="1"/>
  <c r="Y248" i="18" s="1"/>
  <c r="AB248" s="1"/>
  <c r="AL1463" s="1"/>
  <c r="M250" i="17"/>
  <c r="C251"/>
  <c r="B250"/>
  <c r="L250" s="1"/>
  <c r="A251"/>
  <c r="N256"/>
  <c r="D222" i="8"/>
  <c r="O250" i="17" l="1"/>
  <c r="P250" s="1"/>
  <c r="Y249" i="18" s="1"/>
  <c r="AB249" s="1"/>
  <c r="AL1464" s="1"/>
  <c r="BK255"/>
  <c r="BD255"/>
  <c r="AW255"/>
  <c r="X256"/>
  <c r="AP255"/>
  <c r="AA248"/>
  <c r="AL1362" s="1"/>
  <c r="Z248"/>
  <c r="AL1261" s="1"/>
  <c r="AC248"/>
  <c r="AL1564" s="1"/>
  <c r="A252" i="17"/>
  <c r="B251"/>
  <c r="L251" s="1"/>
  <c r="M251"/>
  <c r="C252"/>
  <c r="N257"/>
  <c r="D223" i="8"/>
  <c r="AA249" i="18" l="1"/>
  <c r="AL1363" s="1"/>
  <c r="AC249"/>
  <c r="AL1565" s="1"/>
  <c r="Z249"/>
  <c r="AL1262" s="1"/>
  <c r="BK256"/>
  <c r="BD256"/>
  <c r="AW256"/>
  <c r="X257"/>
  <c r="AP256"/>
  <c r="O251" i="17"/>
  <c r="P251" s="1"/>
  <c r="Y250" i="18" s="1"/>
  <c r="AB250" s="1"/>
  <c r="AL1465" s="1"/>
  <c r="C253" i="17"/>
  <c r="M252"/>
  <c r="A253"/>
  <c r="B252"/>
  <c r="L252" s="1"/>
  <c r="N258"/>
  <c r="D224" i="8"/>
  <c r="BK257" i="18" l="1"/>
  <c r="BD257"/>
  <c r="AW257"/>
  <c r="X258"/>
  <c r="AP257"/>
  <c r="AA250"/>
  <c r="AL1364" s="1"/>
  <c r="Z250"/>
  <c r="AL1263" s="1"/>
  <c r="AC250"/>
  <c r="AL1566" s="1"/>
  <c r="O252" i="17"/>
  <c r="P252" s="1"/>
  <c r="Y251" i="18" s="1"/>
  <c r="AB251" s="1"/>
  <c r="AL1466" s="1"/>
  <c r="A254" i="17"/>
  <c r="B253"/>
  <c r="L253" s="1"/>
  <c r="C254"/>
  <c r="M253"/>
  <c r="N259"/>
  <c r="D225" i="8"/>
  <c r="BK258" i="18" l="1"/>
  <c r="BD258"/>
  <c r="AW258"/>
  <c r="X259"/>
  <c r="AP258"/>
  <c r="AA251"/>
  <c r="AL1365" s="1"/>
  <c r="Z251"/>
  <c r="AL1264" s="1"/>
  <c r="O253" i="17"/>
  <c r="P253" s="1"/>
  <c r="Y252" i="18" s="1"/>
  <c r="Z252" s="1"/>
  <c r="AL1265" s="1"/>
  <c r="AC251"/>
  <c r="AL1567" s="1"/>
  <c r="C255" i="17"/>
  <c r="M254"/>
  <c r="B254"/>
  <c r="L254" s="1"/>
  <c r="A255"/>
  <c r="N260"/>
  <c r="D226" i="8"/>
  <c r="BK259" i="18" l="1"/>
  <c r="AW259"/>
  <c r="BD259"/>
  <c r="X260"/>
  <c r="AP259"/>
  <c r="AB252"/>
  <c r="AL1467" s="1"/>
  <c r="AC252"/>
  <c r="AL1568" s="1"/>
  <c r="AA252"/>
  <c r="AL1366" s="1"/>
  <c r="O254" i="17"/>
  <c r="P254" s="1"/>
  <c r="Y253" i="18" s="1"/>
  <c r="AB253" s="1"/>
  <c r="AL1468" s="1"/>
  <c r="B255" i="17"/>
  <c r="L255" s="1"/>
  <c r="A256"/>
  <c r="M255"/>
  <c r="C256"/>
  <c r="N261"/>
  <c r="D227" i="8"/>
  <c r="BK260" i="18" l="1"/>
  <c r="BD260"/>
  <c r="AW260"/>
  <c r="X261"/>
  <c r="AP260"/>
  <c r="AA253"/>
  <c r="AL1367" s="1"/>
  <c r="Z253"/>
  <c r="AL1266" s="1"/>
  <c r="O255" i="17"/>
  <c r="P255" s="1"/>
  <c r="Y254" i="18" s="1"/>
  <c r="Z254" s="1"/>
  <c r="AL1267" s="1"/>
  <c r="AC253"/>
  <c r="AL1569" s="1"/>
  <c r="M256" i="17"/>
  <c r="C257"/>
  <c r="B256"/>
  <c r="L256" s="1"/>
  <c r="A257"/>
  <c r="N262"/>
  <c r="D228" i="8"/>
  <c r="AB254" i="18" l="1"/>
  <c r="AL1469" s="1"/>
  <c r="O256" i="17"/>
  <c r="P256" s="1"/>
  <c r="Y255" i="18" s="1"/>
  <c r="Z255" s="1"/>
  <c r="AL1268" s="1"/>
  <c r="BD261"/>
  <c r="BK261"/>
  <c r="AW261"/>
  <c r="X262"/>
  <c r="AP261"/>
  <c r="AC254"/>
  <c r="AL1570" s="1"/>
  <c r="AA254"/>
  <c r="AL1368" s="1"/>
  <c r="A258" i="17"/>
  <c r="B257"/>
  <c r="L257" s="1"/>
  <c r="M257"/>
  <c r="C258"/>
  <c r="N263"/>
  <c r="D229" i="8"/>
  <c r="AB255" i="18" l="1"/>
  <c r="AL1470" s="1"/>
  <c r="AC255"/>
  <c r="AL1571" s="1"/>
  <c r="AA255"/>
  <c r="AL1369" s="1"/>
  <c r="BK262"/>
  <c r="BD262"/>
  <c r="AW262"/>
  <c r="X263"/>
  <c r="AP262"/>
  <c r="O257" i="17"/>
  <c r="P257" s="1"/>
  <c r="Y256" i="18" s="1"/>
  <c r="C259" i="17"/>
  <c r="M258"/>
  <c r="A259"/>
  <c r="B258"/>
  <c r="L258" s="1"/>
  <c r="N264"/>
  <c r="D230" i="8"/>
  <c r="BK263" i="18" l="1"/>
  <c r="BD263"/>
  <c r="AW263"/>
  <c r="X264"/>
  <c r="AP263"/>
  <c r="AB256"/>
  <c r="AL1471" s="1"/>
  <c r="AA256"/>
  <c r="AL1370" s="1"/>
  <c r="Z256"/>
  <c r="AC256"/>
  <c r="AL1572" s="1"/>
  <c r="O258" i="17"/>
  <c r="P258" s="1"/>
  <c r="Y257" i="18" s="1"/>
  <c r="AB257" s="1"/>
  <c r="AL1472" s="1"/>
  <c r="A260" i="17"/>
  <c r="B259"/>
  <c r="L259" s="1"/>
  <c r="C260"/>
  <c r="M259"/>
  <c r="N265"/>
  <c r="D231" i="8"/>
  <c r="AL1269" i="18" l="1"/>
  <c r="BK264"/>
  <c r="BD264"/>
  <c r="AW264"/>
  <c r="X265"/>
  <c r="AP264"/>
  <c r="AA257"/>
  <c r="AL1371" s="1"/>
  <c r="Z257"/>
  <c r="AL1270" s="1"/>
  <c r="O259" i="17"/>
  <c r="P259" s="1"/>
  <c r="Y258" i="18" s="1"/>
  <c r="Z258" s="1"/>
  <c r="AL1271" s="1"/>
  <c r="AC257"/>
  <c r="AL1573" s="1"/>
  <c r="C261" i="17"/>
  <c r="M260"/>
  <c r="B260"/>
  <c r="L260" s="1"/>
  <c r="A261"/>
  <c r="N266"/>
  <c r="D232" i="8"/>
  <c r="BK265" i="18" l="1"/>
  <c r="BD265"/>
  <c r="AW265"/>
  <c r="X266"/>
  <c r="AP265"/>
  <c r="AB258"/>
  <c r="AL1473" s="1"/>
  <c r="AC258"/>
  <c r="AL1574" s="1"/>
  <c r="AA258"/>
  <c r="AL1372" s="1"/>
  <c r="O260" i="17"/>
  <c r="P260" s="1"/>
  <c r="Y259" i="18" s="1"/>
  <c r="AB259" s="1"/>
  <c r="AL1474" s="1"/>
  <c r="B261" i="17"/>
  <c r="L261" s="1"/>
  <c r="A262"/>
  <c r="M261"/>
  <c r="C262"/>
  <c r="N267"/>
  <c r="D233" i="8"/>
  <c r="BK266" i="18" l="1"/>
  <c r="BD266"/>
  <c r="AW266"/>
  <c r="X267"/>
  <c r="AP266"/>
  <c r="AA259"/>
  <c r="AL1373" s="1"/>
  <c r="Z259"/>
  <c r="AL1272" s="1"/>
  <c r="O261" i="17"/>
  <c r="P261" s="1"/>
  <c r="Y260" i="18" s="1"/>
  <c r="Z260" s="1"/>
  <c r="AL1273" s="1"/>
  <c r="AC259"/>
  <c r="AL1575" s="1"/>
  <c r="M262" i="17"/>
  <c r="C263"/>
  <c r="B262"/>
  <c r="L262" s="1"/>
  <c r="A263"/>
  <c r="N268"/>
  <c r="D234" i="8"/>
  <c r="O262" i="17" l="1"/>
  <c r="P262" s="1"/>
  <c r="Y261" i="18" s="1"/>
  <c r="AB261" s="1"/>
  <c r="AL1476" s="1"/>
  <c r="BK267"/>
  <c r="AW267"/>
  <c r="BD267"/>
  <c r="X268"/>
  <c r="AP267"/>
  <c r="AB260"/>
  <c r="AL1475" s="1"/>
  <c r="AC260"/>
  <c r="AL1576" s="1"/>
  <c r="AA260"/>
  <c r="AL1374" s="1"/>
  <c r="A264" i="17"/>
  <c r="B263"/>
  <c r="L263" s="1"/>
  <c r="M263"/>
  <c r="C264"/>
  <c r="N269"/>
  <c r="D235" i="8"/>
  <c r="AC261" i="18" l="1"/>
  <c r="AL1577" s="1"/>
  <c r="Z261"/>
  <c r="AL1274" s="1"/>
  <c r="AA261"/>
  <c r="AL1375" s="1"/>
  <c r="BD268"/>
  <c r="AW268"/>
  <c r="BK268"/>
  <c r="X269"/>
  <c r="AP268"/>
  <c r="O263" i="17"/>
  <c r="P263" s="1"/>
  <c r="Y262" i="18" s="1"/>
  <c r="C265" i="17"/>
  <c r="M264"/>
  <c r="A265"/>
  <c r="B264"/>
  <c r="L264" s="1"/>
  <c r="N270"/>
  <c r="D236" i="8"/>
  <c r="AB262" i="18" l="1"/>
  <c r="AL1477" s="1"/>
  <c r="BD269"/>
  <c r="BK269"/>
  <c r="AW269"/>
  <c r="X270"/>
  <c r="AP269"/>
  <c r="AA262"/>
  <c r="AL1376" s="1"/>
  <c r="Z262"/>
  <c r="AL1275" s="1"/>
  <c r="AC262"/>
  <c r="AL1578" s="1"/>
  <c r="O264" i="17"/>
  <c r="P264" s="1"/>
  <c r="Y263" i="18" s="1"/>
  <c r="AB263" s="1"/>
  <c r="AL1478" s="1"/>
  <c r="A266" i="17"/>
  <c r="B265"/>
  <c r="L265" s="1"/>
  <c r="C266"/>
  <c r="M265"/>
  <c r="N271"/>
  <c r="D237" i="8"/>
  <c r="BK270" i="18" l="1"/>
  <c r="BD270"/>
  <c r="AW270"/>
  <c r="X271"/>
  <c r="AP270"/>
  <c r="AA263"/>
  <c r="AL1377" s="1"/>
  <c r="Z263"/>
  <c r="AL1276" s="1"/>
  <c r="O265" i="17"/>
  <c r="P265" s="1"/>
  <c r="Y264" i="18" s="1"/>
  <c r="Z264" s="1"/>
  <c r="AL1277" s="1"/>
  <c r="AC263"/>
  <c r="AL1579" s="1"/>
  <c r="C267" i="17"/>
  <c r="M266"/>
  <c r="B266"/>
  <c r="L266" s="1"/>
  <c r="A267"/>
  <c r="N272"/>
  <c r="D238" i="8"/>
  <c r="BK271" i="18" l="1"/>
  <c r="BD271"/>
  <c r="AW271"/>
  <c r="X272"/>
  <c r="AP271"/>
  <c r="AB264"/>
  <c r="AL1479" s="1"/>
  <c r="AC264"/>
  <c r="AL1580" s="1"/>
  <c r="AA264"/>
  <c r="AL1378" s="1"/>
  <c r="O266" i="17"/>
  <c r="P266" s="1"/>
  <c r="Y265" i="18" s="1"/>
  <c r="AB265" s="1"/>
  <c r="AL1480" s="1"/>
  <c r="B267" i="17"/>
  <c r="L267" s="1"/>
  <c r="A268"/>
  <c r="M267"/>
  <c r="C268"/>
  <c r="N273"/>
  <c r="D239" i="8"/>
  <c r="BK272" i="18" l="1"/>
  <c r="BD272"/>
  <c r="AW272"/>
  <c r="X273"/>
  <c r="AP272"/>
  <c r="AA265"/>
  <c r="AL1379" s="1"/>
  <c r="Z265"/>
  <c r="AL1278" s="1"/>
  <c r="O267" i="17"/>
  <c r="P267" s="1"/>
  <c r="Y266" i="18" s="1"/>
  <c r="Z266" s="1"/>
  <c r="AL1279" s="1"/>
  <c r="AC265"/>
  <c r="AL1581" s="1"/>
  <c r="M268" i="17"/>
  <c r="C269"/>
  <c r="B268"/>
  <c r="L268" s="1"/>
  <c r="A269"/>
  <c r="N274"/>
  <c r="D240" i="8"/>
  <c r="BK273" i="18" l="1"/>
  <c r="BD273"/>
  <c r="AW273"/>
  <c r="X274"/>
  <c r="AP273"/>
  <c r="AB266"/>
  <c r="AL1481" s="1"/>
  <c r="AC266"/>
  <c r="AL1582" s="1"/>
  <c r="O268" i="17"/>
  <c r="P268" s="1"/>
  <c r="Y267" i="18" s="1"/>
  <c r="Z267" s="1"/>
  <c r="AL1280" s="1"/>
  <c r="AA266"/>
  <c r="AL1380" s="1"/>
  <c r="A270" i="17"/>
  <c r="B269"/>
  <c r="L269" s="1"/>
  <c r="M269"/>
  <c r="C270"/>
  <c r="N275"/>
  <c r="D241" i="8"/>
  <c r="AB267" i="18" l="1"/>
  <c r="AL1482" s="1"/>
  <c r="BK274"/>
  <c r="BD274"/>
  <c r="AW274"/>
  <c r="X275"/>
  <c r="AP274"/>
  <c r="AA267"/>
  <c r="AL1381" s="1"/>
  <c r="AC267"/>
  <c r="AL1583" s="1"/>
  <c r="O269" i="17"/>
  <c r="P269" s="1"/>
  <c r="Y268" i="18" s="1"/>
  <c r="AB268" s="1"/>
  <c r="AL1483" s="1"/>
  <c r="C271" i="17"/>
  <c r="M270"/>
  <c r="A271"/>
  <c r="B270"/>
  <c r="L270" s="1"/>
  <c r="N276"/>
  <c r="D242" i="8"/>
  <c r="BK275" i="18" l="1"/>
  <c r="AW275"/>
  <c r="BD275"/>
  <c r="X276"/>
  <c r="AP275"/>
  <c r="AA268"/>
  <c r="AL1382" s="1"/>
  <c r="Z268"/>
  <c r="O270" i="17"/>
  <c r="P270" s="1"/>
  <c r="Y269" i="18" s="1"/>
  <c r="Z269" s="1"/>
  <c r="AL1282" s="1"/>
  <c r="AC268"/>
  <c r="AL1584" s="1"/>
  <c r="A272" i="17"/>
  <c r="B271"/>
  <c r="L271" s="1"/>
  <c r="C272"/>
  <c r="M271"/>
  <c r="N277"/>
  <c r="D243" i="8"/>
  <c r="AL1281" i="18" l="1"/>
  <c r="BK276"/>
  <c r="BD276"/>
  <c r="AW276"/>
  <c r="X277"/>
  <c r="AP276"/>
  <c r="AB269"/>
  <c r="AL1484" s="1"/>
  <c r="AA269"/>
  <c r="AL1383" s="1"/>
  <c r="AC269"/>
  <c r="AL1585" s="1"/>
  <c r="O271" i="17"/>
  <c r="P271" s="1"/>
  <c r="Y270" i="18" s="1"/>
  <c r="AB270" s="1"/>
  <c r="AL1485" s="1"/>
  <c r="C273" i="17"/>
  <c r="M272"/>
  <c r="B272"/>
  <c r="L272" s="1"/>
  <c r="A273"/>
  <c r="N278"/>
  <c r="D244" i="8"/>
  <c r="BD277" i="18" l="1"/>
  <c r="BK277"/>
  <c r="AW277"/>
  <c r="X278"/>
  <c r="AP277"/>
  <c r="AA270"/>
  <c r="AL1384" s="1"/>
  <c r="Z270"/>
  <c r="AL1283" s="1"/>
  <c r="O272" i="17"/>
  <c r="P272" s="1"/>
  <c r="Y271" i="18" s="1"/>
  <c r="Z271" s="1"/>
  <c r="AL1284" s="1"/>
  <c r="AC270"/>
  <c r="AL1586" s="1"/>
  <c r="B273" i="17"/>
  <c r="L273" s="1"/>
  <c r="A274"/>
  <c r="M273"/>
  <c r="C274"/>
  <c r="N279"/>
  <c r="D245" i="8"/>
  <c r="BK278" i="18" l="1"/>
  <c r="BD278"/>
  <c r="AW278"/>
  <c r="X279"/>
  <c r="AP278"/>
  <c r="AB271"/>
  <c r="AL1486" s="1"/>
  <c r="AC271"/>
  <c r="AL1587" s="1"/>
  <c r="AA271"/>
  <c r="O273" i="17"/>
  <c r="P273" s="1"/>
  <c r="Y272" i="18" s="1"/>
  <c r="AB272" s="1"/>
  <c r="AL1487" s="1"/>
  <c r="M274" i="17"/>
  <c r="C275"/>
  <c r="B274"/>
  <c r="L274" s="1"/>
  <c r="A275"/>
  <c r="N280"/>
  <c r="D246" i="8"/>
  <c r="O274" i="17" l="1"/>
  <c r="P274" s="1"/>
  <c r="Y273" i="18" s="1"/>
  <c r="AB273" s="1"/>
  <c r="AL1488" s="1"/>
  <c r="AL1385"/>
  <c r="BK279"/>
  <c r="BD279"/>
  <c r="AW279"/>
  <c r="X280"/>
  <c r="AP279"/>
  <c r="AA272"/>
  <c r="AL1386" s="1"/>
  <c r="Z272"/>
  <c r="AL1285" s="1"/>
  <c r="AC272"/>
  <c r="AL1588" s="1"/>
  <c r="A276" i="17"/>
  <c r="B275"/>
  <c r="L275" s="1"/>
  <c r="M275"/>
  <c r="C276"/>
  <c r="N281"/>
  <c r="D247" i="8"/>
  <c r="AA273" i="18" l="1"/>
  <c r="AL1387" s="1"/>
  <c r="Z273"/>
  <c r="AL1286" s="1"/>
  <c r="AC273"/>
  <c r="AL1589" s="1"/>
  <c r="BK280"/>
  <c r="BD280"/>
  <c r="AW280"/>
  <c r="X281"/>
  <c r="AP280"/>
  <c r="O275" i="17"/>
  <c r="P275" s="1"/>
  <c r="Y274" i="18" s="1"/>
  <c r="C277" i="17"/>
  <c r="M276"/>
  <c r="A277"/>
  <c r="B276"/>
  <c r="L276" s="1"/>
  <c r="N282"/>
  <c r="D248" i="8"/>
  <c r="AB274" i="18" l="1"/>
  <c r="AL1489" s="1"/>
  <c r="BK281"/>
  <c r="BD281"/>
  <c r="AW281"/>
  <c r="X282"/>
  <c r="AP281"/>
  <c r="AC274"/>
  <c r="AL1590" s="1"/>
  <c r="Z274"/>
  <c r="AL1287" s="1"/>
  <c r="AA274"/>
  <c r="AL1388" s="1"/>
  <c r="O276" i="17"/>
  <c r="P276" s="1"/>
  <c r="Y275" i="18" s="1"/>
  <c r="AB275" s="1"/>
  <c r="AL1490" s="1"/>
  <c r="A278" i="17"/>
  <c r="B277"/>
  <c r="L277" s="1"/>
  <c r="C278"/>
  <c r="M277"/>
  <c r="N283"/>
  <c r="D249" i="8"/>
  <c r="BK282" i="18" l="1"/>
  <c r="BD282"/>
  <c r="AW282"/>
  <c r="X283"/>
  <c r="AP282"/>
  <c r="AC275"/>
  <c r="AL1591" s="1"/>
  <c r="O277" i="17"/>
  <c r="P277" s="1"/>
  <c r="Y276" i="18" s="1"/>
  <c r="AB276" s="1"/>
  <c r="AL1491" s="1"/>
  <c r="Z275"/>
  <c r="AL1288" s="1"/>
  <c r="AA275"/>
  <c r="AL1389" s="1"/>
  <c r="C279" i="17"/>
  <c r="M278"/>
  <c r="B278"/>
  <c r="L278" s="1"/>
  <c r="A279"/>
  <c r="N284"/>
  <c r="D250" i="8"/>
  <c r="BK283" i="18" l="1"/>
  <c r="AW283"/>
  <c r="BD283"/>
  <c r="X284"/>
  <c r="AP283"/>
  <c r="AC276"/>
  <c r="AL1592" s="1"/>
  <c r="Z276"/>
  <c r="AL1289" s="1"/>
  <c r="O278" i="17"/>
  <c r="P278" s="1"/>
  <c r="Y277" i="18" s="1"/>
  <c r="Z277" s="1"/>
  <c r="AL1290" s="1"/>
  <c r="AA276"/>
  <c r="AL1390" s="1"/>
  <c r="B279" i="17"/>
  <c r="L279" s="1"/>
  <c r="A280"/>
  <c r="M279"/>
  <c r="C280"/>
  <c r="N285"/>
  <c r="D251" i="8"/>
  <c r="BK284" i="18" l="1"/>
  <c r="AW284"/>
  <c r="BD284"/>
  <c r="X285"/>
  <c r="AP284"/>
  <c r="AB277"/>
  <c r="AL1492" s="1"/>
  <c r="AA277"/>
  <c r="AL1391" s="1"/>
  <c r="AC277"/>
  <c r="AL1593" s="1"/>
  <c r="O279" i="17"/>
  <c r="P279" s="1"/>
  <c r="Y278" i="18" s="1"/>
  <c r="AB278" s="1"/>
  <c r="AL1493" s="1"/>
  <c r="M280" i="17"/>
  <c r="C281"/>
  <c r="B280"/>
  <c r="L280" s="1"/>
  <c r="A281"/>
  <c r="N286"/>
  <c r="D252" i="8"/>
  <c r="O280" i="17" l="1"/>
  <c r="P280" s="1"/>
  <c r="Y279" i="18" s="1"/>
  <c r="AB279" s="1"/>
  <c r="AL1494" s="1"/>
  <c r="BD285"/>
  <c r="BK285"/>
  <c r="AW285"/>
  <c r="X286"/>
  <c r="AP285"/>
  <c r="AC278"/>
  <c r="AL1594" s="1"/>
  <c r="Z278"/>
  <c r="AL1291" s="1"/>
  <c r="AA278"/>
  <c r="AL1392" s="1"/>
  <c r="A282" i="17"/>
  <c r="B281"/>
  <c r="L281" s="1"/>
  <c r="M281"/>
  <c r="C282"/>
  <c r="N287"/>
  <c r="D253" i="8"/>
  <c r="AA279" i="18" l="1"/>
  <c r="AL1393" s="1"/>
  <c r="Z279"/>
  <c r="AL1292" s="1"/>
  <c r="AC279"/>
  <c r="AL1595" s="1"/>
  <c r="BK286"/>
  <c r="BD286"/>
  <c r="AW286"/>
  <c r="X287"/>
  <c r="AP286"/>
  <c r="O281" i="17"/>
  <c r="P281" s="1"/>
  <c r="Y280" i="18" s="1"/>
  <c r="AB280" s="1"/>
  <c r="AL1495" s="1"/>
  <c r="C283" i="17"/>
  <c r="M282"/>
  <c r="A283"/>
  <c r="B282"/>
  <c r="L282" s="1"/>
  <c r="N288"/>
  <c r="D254" i="8"/>
  <c r="BK287" i="18" l="1"/>
  <c r="BD287"/>
  <c r="AW287"/>
  <c r="X288"/>
  <c r="AP287"/>
  <c r="AC280"/>
  <c r="AL1596" s="1"/>
  <c r="Z280"/>
  <c r="AL1293" s="1"/>
  <c r="AA280"/>
  <c r="AL1394" s="1"/>
  <c r="O282" i="17"/>
  <c r="P282" s="1"/>
  <c r="Y281" i="18" s="1"/>
  <c r="AB281" s="1"/>
  <c r="AL1496" s="1"/>
  <c r="A284" i="17"/>
  <c r="B283"/>
  <c r="L283" s="1"/>
  <c r="C284"/>
  <c r="M283"/>
  <c r="N289"/>
  <c r="D255" i="8"/>
  <c r="BK288" i="18" l="1"/>
  <c r="BD288"/>
  <c r="AW288"/>
  <c r="X289"/>
  <c r="AP288"/>
  <c r="AC281"/>
  <c r="AL1597" s="1"/>
  <c r="Z281"/>
  <c r="AL1294" s="1"/>
  <c r="AA281"/>
  <c r="AL1395" s="1"/>
  <c r="O283" i="17"/>
  <c r="P283" s="1"/>
  <c r="Y282" i="18" s="1"/>
  <c r="AB282" s="1"/>
  <c r="AL1497" s="1"/>
  <c r="C285" i="17"/>
  <c r="M284"/>
  <c r="B284"/>
  <c r="L284" s="1"/>
  <c r="A285"/>
  <c r="N290"/>
  <c r="D256" i="8"/>
  <c r="BK289" i="18" l="1"/>
  <c r="BD289"/>
  <c r="AW289"/>
  <c r="X290"/>
  <c r="AP289"/>
  <c r="AC282"/>
  <c r="AL1598" s="1"/>
  <c r="Z282"/>
  <c r="AL1295" s="1"/>
  <c r="O284" i="17"/>
  <c r="P284" s="1"/>
  <c r="Y283" i="18" s="1"/>
  <c r="Z283" s="1"/>
  <c r="AL1296" s="1"/>
  <c r="AA282"/>
  <c r="AL1396" s="1"/>
  <c r="B285" i="17"/>
  <c r="L285" s="1"/>
  <c r="A286"/>
  <c r="M285"/>
  <c r="C286"/>
  <c r="N291"/>
  <c r="D257" i="8"/>
  <c r="AB283" i="18" l="1"/>
  <c r="AL1498" s="1"/>
  <c r="BD290"/>
  <c r="BK290"/>
  <c r="AW290"/>
  <c r="X291"/>
  <c r="AP290"/>
  <c r="AA283"/>
  <c r="AL1397" s="1"/>
  <c r="AC283"/>
  <c r="AL1599" s="1"/>
  <c r="O285" i="17"/>
  <c r="P285" s="1"/>
  <c r="Y284" i="18" s="1"/>
  <c r="AB284" s="1"/>
  <c r="AL1499" s="1"/>
  <c r="M286" i="17"/>
  <c r="C287"/>
  <c r="B286"/>
  <c r="L286" s="1"/>
  <c r="A287"/>
  <c r="N292"/>
  <c r="D258" i="8"/>
  <c r="O286" i="17" l="1"/>
  <c r="P286" s="1"/>
  <c r="Y285" i="18" s="1"/>
  <c r="AB285" s="1"/>
  <c r="AL1500" s="1"/>
  <c r="BK291"/>
  <c r="AW291"/>
  <c r="BD291"/>
  <c r="X292"/>
  <c r="AP291"/>
  <c r="AC284"/>
  <c r="AL1600" s="1"/>
  <c r="Z284"/>
  <c r="AL1297" s="1"/>
  <c r="AA284"/>
  <c r="AL1398" s="1"/>
  <c r="A288" i="17"/>
  <c r="B287"/>
  <c r="L287" s="1"/>
  <c r="M287"/>
  <c r="C288"/>
  <c r="N293"/>
  <c r="D259" i="8"/>
  <c r="AA285" i="18" l="1"/>
  <c r="AL1399" s="1"/>
  <c r="Z285"/>
  <c r="AL1298" s="1"/>
  <c r="AC285"/>
  <c r="AL1601" s="1"/>
  <c r="BK292"/>
  <c r="AW292"/>
  <c r="BD292"/>
  <c r="X293"/>
  <c r="AP292"/>
  <c r="O287" i="17"/>
  <c r="P287" s="1"/>
  <c r="Y286" i="18" s="1"/>
  <c r="C289" i="17"/>
  <c r="M288"/>
  <c r="A289"/>
  <c r="B288"/>
  <c r="L288" s="1"/>
  <c r="N294"/>
  <c r="D260" i="8"/>
  <c r="AB286" i="18" l="1"/>
  <c r="AL1501" s="1"/>
  <c r="BD293"/>
  <c r="BK293"/>
  <c r="AW293"/>
  <c r="X294"/>
  <c r="AP293"/>
  <c r="AC286"/>
  <c r="AL1602" s="1"/>
  <c r="Z286"/>
  <c r="AL1299" s="1"/>
  <c r="O288" i="17"/>
  <c r="P288" s="1"/>
  <c r="Y287" i="18" s="1"/>
  <c r="Z287" s="1"/>
  <c r="AL1300" s="1"/>
  <c r="AA286"/>
  <c r="AL1400" s="1"/>
  <c r="A290" i="17"/>
  <c r="B289"/>
  <c r="L289" s="1"/>
  <c r="C290"/>
  <c r="M289"/>
  <c r="N295"/>
  <c r="D261" i="8"/>
  <c r="BK294" i="18" l="1"/>
  <c r="BD294"/>
  <c r="AW294"/>
  <c r="X295"/>
  <c r="AP294"/>
  <c r="AB287"/>
  <c r="AL1502" s="1"/>
  <c r="AC287"/>
  <c r="AL1603" s="1"/>
  <c r="AA287"/>
  <c r="AL1401" s="1"/>
  <c r="O289" i="17"/>
  <c r="P289" s="1"/>
  <c r="Y288" i="18" s="1"/>
  <c r="C291" i="17"/>
  <c r="M290"/>
  <c r="B290"/>
  <c r="L290" s="1"/>
  <c r="A291"/>
  <c r="N296"/>
  <c r="D262" i="8"/>
  <c r="BK295" i="18" l="1"/>
  <c r="BD295"/>
  <c r="AW295"/>
  <c r="X296"/>
  <c r="AP295"/>
  <c r="O290" i="17"/>
  <c r="P290" s="1"/>
  <c r="Y289" i="18" s="1"/>
  <c r="AB289" s="1"/>
  <c r="AL1504" s="1"/>
  <c r="AB288"/>
  <c r="AL1503" s="1"/>
  <c r="Z288"/>
  <c r="AL1301" s="1"/>
  <c r="AA288"/>
  <c r="AL1402" s="1"/>
  <c r="AC288"/>
  <c r="AL1604" s="1"/>
  <c r="M291" i="17"/>
  <c r="C292"/>
  <c r="B291"/>
  <c r="L291" s="1"/>
  <c r="A292"/>
  <c r="N297"/>
  <c r="D263" i="8"/>
  <c r="O291" i="17" l="1"/>
  <c r="P291" s="1"/>
  <c r="Y290" i="18" s="1"/>
  <c r="AB290" s="1"/>
  <c r="AL1505" s="1"/>
  <c r="BK296"/>
  <c r="BD296"/>
  <c r="AW296"/>
  <c r="X297"/>
  <c r="AP296"/>
  <c r="AC289"/>
  <c r="AL1605" s="1"/>
  <c r="Z289"/>
  <c r="AL1302" s="1"/>
  <c r="AA289"/>
  <c r="AL1403" s="1"/>
  <c r="B292" i="17"/>
  <c r="L292" s="1"/>
  <c r="A293"/>
  <c r="M292"/>
  <c r="C293"/>
  <c r="N298"/>
  <c r="D264" i="8"/>
  <c r="AA290" i="18" l="1"/>
  <c r="AL1404" s="1"/>
  <c r="Z290"/>
  <c r="AL1303" s="1"/>
  <c r="AC290"/>
  <c r="AL1606" s="1"/>
  <c r="BK297"/>
  <c r="BD297"/>
  <c r="AW297"/>
  <c r="X298"/>
  <c r="AP297"/>
  <c r="M293" i="17"/>
  <c r="C294"/>
  <c r="A294"/>
  <c r="B293"/>
  <c r="L293" s="1"/>
  <c r="O292"/>
  <c r="P292" s="1"/>
  <c r="Y291" i="18" s="1"/>
  <c r="N299" i="17"/>
  <c r="D265" i="8"/>
  <c r="BK298" i="18" l="1"/>
  <c r="BD298"/>
  <c r="AW298"/>
  <c r="X299"/>
  <c r="AP298"/>
  <c r="O293" i="17"/>
  <c r="P293" s="1"/>
  <c r="Y292" i="18" s="1"/>
  <c r="AB292" s="1"/>
  <c r="AL1507" s="1"/>
  <c r="AB291"/>
  <c r="AL1506" s="1"/>
  <c r="Z291"/>
  <c r="AL1304" s="1"/>
  <c r="AA291"/>
  <c r="AL1405" s="1"/>
  <c r="AC291"/>
  <c r="AL1607" s="1"/>
  <c r="C295" i="17"/>
  <c r="M294"/>
  <c r="B294"/>
  <c r="L294" s="1"/>
  <c r="A295"/>
  <c r="N300"/>
  <c r="D266" i="8"/>
  <c r="BK299" i="18" l="1"/>
  <c r="AW299"/>
  <c r="BD299"/>
  <c r="X300"/>
  <c r="AP299"/>
  <c r="AC292"/>
  <c r="AL1608" s="1"/>
  <c r="Z292"/>
  <c r="AL1305" s="1"/>
  <c r="AA292"/>
  <c r="AL1406" s="1"/>
  <c r="B295" i="17"/>
  <c r="L295" s="1"/>
  <c r="A296"/>
  <c r="O294"/>
  <c r="P294" s="1"/>
  <c r="Y293" i="18" s="1"/>
  <c r="M295" i="17"/>
  <c r="C296"/>
  <c r="N301"/>
  <c r="D267" i="8"/>
  <c r="AW300" i="18" l="1"/>
  <c r="BK300"/>
  <c r="BD300"/>
  <c r="X301"/>
  <c r="AP300"/>
  <c r="O295" i="17"/>
  <c r="P295" s="1"/>
  <c r="Y294" i="18" s="1"/>
  <c r="AB294" s="1"/>
  <c r="AL1509" s="1"/>
  <c r="AB293"/>
  <c r="AL1508" s="1"/>
  <c r="Z293"/>
  <c r="AL1306" s="1"/>
  <c r="AA293"/>
  <c r="AL1407" s="1"/>
  <c r="AC293"/>
  <c r="AL1609" s="1"/>
  <c r="M296" i="17"/>
  <c r="C297"/>
  <c r="A297"/>
  <c r="B296"/>
  <c r="L296" s="1"/>
  <c r="N302"/>
  <c r="D268" i="8"/>
  <c r="BD301" i="18" l="1"/>
  <c r="BK301"/>
  <c r="AW301"/>
  <c r="X302"/>
  <c r="AP301"/>
  <c r="AA294"/>
  <c r="AL1408" s="1"/>
  <c r="AC294"/>
  <c r="AL1610" s="1"/>
  <c r="Z294"/>
  <c r="O296" i="17"/>
  <c r="P296" s="1"/>
  <c r="Y295" i="18" s="1"/>
  <c r="AB295" s="1"/>
  <c r="AL1510" s="1"/>
  <c r="C298" i="17"/>
  <c r="M297"/>
  <c r="B297"/>
  <c r="L297" s="1"/>
  <c r="A298"/>
  <c r="N303"/>
  <c r="D269" i="8"/>
  <c r="AL1307" i="18" l="1"/>
  <c r="BK302"/>
  <c r="BD302"/>
  <c r="AW302"/>
  <c r="X303"/>
  <c r="AP302"/>
  <c r="AC295"/>
  <c r="AL1611" s="1"/>
  <c r="Z295"/>
  <c r="AL1308" s="1"/>
  <c r="AA295"/>
  <c r="AL1409" s="1"/>
  <c r="B298" i="17"/>
  <c r="L298" s="1"/>
  <c r="A299"/>
  <c r="O297"/>
  <c r="P297" s="1"/>
  <c r="Y296" i="18" s="1"/>
  <c r="M298" i="17"/>
  <c r="C299"/>
  <c r="N304"/>
  <c r="D270" i="8"/>
  <c r="BK303" i="18" l="1"/>
  <c r="BD303"/>
  <c r="AW303"/>
  <c r="X304"/>
  <c r="AP303"/>
  <c r="AB296"/>
  <c r="AL1511" s="1"/>
  <c r="Z296"/>
  <c r="AL1309" s="1"/>
  <c r="AA296"/>
  <c r="AL1410" s="1"/>
  <c r="AC296"/>
  <c r="AL1612" s="1"/>
  <c r="B299" i="17"/>
  <c r="L299" s="1"/>
  <c r="A300"/>
  <c r="M299"/>
  <c r="C300"/>
  <c r="O298"/>
  <c r="P298" s="1"/>
  <c r="Y297" i="18" s="1"/>
  <c r="N305" i="17"/>
  <c r="D271" i="8"/>
  <c r="BK304" i="18" l="1"/>
  <c r="BD304"/>
  <c r="AW304"/>
  <c r="X306"/>
  <c r="AP304"/>
  <c r="AB297"/>
  <c r="AL1512" s="1"/>
  <c r="Z297"/>
  <c r="AL1310" s="1"/>
  <c r="AA297"/>
  <c r="AL1411" s="1"/>
  <c r="AC297"/>
  <c r="AL1613" s="1"/>
  <c r="M300" i="17"/>
  <c r="C301"/>
  <c r="B300"/>
  <c r="L300" s="1"/>
  <c r="A301"/>
  <c r="O299"/>
  <c r="P299" s="1"/>
  <c r="Y298" i="18" s="1"/>
  <c r="N306" i="17"/>
  <c r="D272" i="8"/>
  <c r="BD306" i="18" l="1"/>
  <c r="BK306"/>
  <c r="AW306"/>
  <c r="X307"/>
  <c r="AP306"/>
  <c r="O300" i="17"/>
  <c r="P300" s="1"/>
  <c r="Y299" i="18" s="1"/>
  <c r="Z299" s="1"/>
  <c r="AL1312" s="1"/>
  <c r="AB298"/>
  <c r="AL1513" s="1"/>
  <c r="Z298"/>
  <c r="AL1311" s="1"/>
  <c r="AA298"/>
  <c r="AL1412" s="1"/>
  <c r="AC298"/>
  <c r="AL1614" s="1"/>
  <c r="A302" i="17"/>
  <c r="B301"/>
  <c r="L301" s="1"/>
  <c r="M301"/>
  <c r="C302"/>
  <c r="N307"/>
  <c r="D273" i="8"/>
  <c r="BK307" i="18" l="1"/>
  <c r="BD307"/>
  <c r="AW307"/>
  <c r="X308"/>
  <c r="AP307"/>
  <c r="AC299"/>
  <c r="AL1615" s="1"/>
  <c r="AA299"/>
  <c r="AB299"/>
  <c r="AL1514" s="1"/>
  <c r="O301" i="17"/>
  <c r="P301" s="1"/>
  <c r="Y300" i="18" s="1"/>
  <c r="AB300" s="1"/>
  <c r="AL1515" s="1"/>
  <c r="C303" i="17"/>
  <c r="M302"/>
  <c r="A303"/>
  <c r="B302"/>
  <c r="L302" s="1"/>
  <c r="N308"/>
  <c r="D274" i="8"/>
  <c r="AL1413" i="18" l="1"/>
  <c r="BK308"/>
  <c r="AW308"/>
  <c r="BD308"/>
  <c r="X309"/>
  <c r="AP308"/>
  <c r="AC300"/>
  <c r="AL1616" s="1"/>
  <c r="Z300"/>
  <c r="AL1313" s="1"/>
  <c r="O302" i="17"/>
  <c r="P302" s="1"/>
  <c r="Y301" i="18" s="1"/>
  <c r="Z301" s="1"/>
  <c r="AL1314" s="1"/>
  <c r="AA300"/>
  <c r="AL1414" s="1"/>
  <c r="A304" i="17"/>
  <c r="B303"/>
  <c r="L303" s="1"/>
  <c r="C304"/>
  <c r="M303"/>
  <c r="N309"/>
  <c r="D275" i="8"/>
  <c r="BD309" i="18" l="1"/>
  <c r="BK309"/>
  <c r="AW309"/>
  <c r="X310"/>
  <c r="AP309"/>
  <c r="AB301"/>
  <c r="AL1516" s="1"/>
  <c r="AC301"/>
  <c r="AL1617" s="1"/>
  <c r="AA301"/>
  <c r="AL1415" s="1"/>
  <c r="O303" i="17"/>
  <c r="P303" s="1"/>
  <c r="Y302" i="18" s="1"/>
  <c r="C305" i="17"/>
  <c r="M304"/>
  <c r="B304"/>
  <c r="L304" s="1"/>
  <c r="A305"/>
  <c r="N310"/>
  <c r="D276" i="8"/>
  <c r="BD310" i="18" l="1"/>
  <c r="BK310"/>
  <c r="AW310"/>
  <c r="X311"/>
  <c r="AP310"/>
  <c r="O304" i="17"/>
  <c r="P304" s="1"/>
  <c r="Y303" i="18" s="1"/>
  <c r="AB303" s="1"/>
  <c r="AL1518" s="1"/>
  <c r="AB302"/>
  <c r="AL1517" s="1"/>
  <c r="Z302"/>
  <c r="AA302"/>
  <c r="AL1416" s="1"/>
  <c r="AC302"/>
  <c r="AL1618" s="1"/>
  <c r="M305" i="17"/>
  <c r="C306"/>
  <c r="B305"/>
  <c r="L305" s="1"/>
  <c r="A306"/>
  <c r="N311"/>
  <c r="D277" i="8"/>
  <c r="O305" i="17" l="1"/>
  <c r="P305" s="1"/>
  <c r="Y304" i="18" s="1"/>
  <c r="AB304" s="1"/>
  <c r="AL1519" s="1"/>
  <c r="AL1315"/>
  <c r="BK311"/>
  <c r="AW311"/>
  <c r="BD311"/>
  <c r="X312"/>
  <c r="AP311"/>
  <c r="AA303"/>
  <c r="AL1417" s="1"/>
  <c r="AC303"/>
  <c r="AL1619" s="1"/>
  <c r="Z303"/>
  <c r="AL1316" s="1"/>
  <c r="B306" i="17"/>
  <c r="L306" s="1"/>
  <c r="A307"/>
  <c r="M306"/>
  <c r="C307"/>
  <c r="N312"/>
  <c r="D278" i="8"/>
  <c r="AC304" i="18" l="1"/>
  <c r="AL1620" s="1"/>
  <c r="AA304"/>
  <c r="AL1418" s="1"/>
  <c r="Z304"/>
  <c r="AL1317" s="1"/>
  <c r="D85" a="1"/>
  <c r="D85" s="1"/>
  <c r="M82" s="1"/>
  <c r="BK312"/>
  <c r="BD312"/>
  <c r="AW312"/>
  <c r="X313"/>
  <c r="AP312"/>
  <c r="M307" i="17"/>
  <c r="C308"/>
  <c r="A308"/>
  <c r="B307"/>
  <c r="L307" s="1"/>
  <c r="O306"/>
  <c r="P306" s="1"/>
  <c r="Y305" i="18" s="1"/>
  <c r="N313" i="17"/>
  <c r="D279" i="8"/>
  <c r="BK313" i="18" l="1"/>
  <c r="BD313"/>
  <c r="AW313"/>
  <c r="X314"/>
  <c r="AP313"/>
  <c r="O307" i="17"/>
  <c r="P307" s="1"/>
  <c r="Y306" i="18" s="1"/>
  <c r="Y407" s="1"/>
  <c r="Y406"/>
  <c r="AB305"/>
  <c r="AL1823" s="1"/>
  <c r="Z305"/>
  <c r="AL1621" s="1"/>
  <c r="AA305"/>
  <c r="AL1722" s="1"/>
  <c r="AC305"/>
  <c r="AL1924" s="1"/>
  <c r="C309" i="17"/>
  <c r="M308"/>
  <c r="A309"/>
  <c r="B308"/>
  <c r="L308" s="1"/>
  <c r="N314"/>
  <c r="D280" i="8"/>
  <c r="BK314" i="18" l="1"/>
  <c r="BD314"/>
  <c r="AW314"/>
  <c r="X315"/>
  <c r="AP314"/>
  <c r="AA306"/>
  <c r="AL1723" s="1"/>
  <c r="AB306"/>
  <c r="AL1824" s="1"/>
  <c r="AC306"/>
  <c r="AL1925" s="1"/>
  <c r="Z306"/>
  <c r="AL1622" s="1"/>
  <c r="O308" i="17"/>
  <c r="P308" s="1"/>
  <c r="Y307" i="18" s="1"/>
  <c r="Y408" s="1"/>
  <c r="AB406"/>
  <c r="Z406"/>
  <c r="AA406"/>
  <c r="AC406"/>
  <c r="AB407"/>
  <c r="Z407"/>
  <c r="AA407"/>
  <c r="AC407"/>
  <c r="B309" i="17"/>
  <c r="L309" s="1"/>
  <c r="A310"/>
  <c r="C310"/>
  <c r="M309"/>
  <c r="N315"/>
  <c r="D281" i="8"/>
  <c r="BK315" i="18" l="1"/>
  <c r="BD315"/>
  <c r="AW315"/>
  <c r="X316"/>
  <c r="AP315"/>
  <c r="AA307"/>
  <c r="AL1724" s="1"/>
  <c r="AB307"/>
  <c r="AL1825" s="1"/>
  <c r="AC307"/>
  <c r="AL1926" s="1"/>
  <c r="Z307"/>
  <c r="AL1623" s="1"/>
  <c r="AB408"/>
  <c r="Z408"/>
  <c r="AA408"/>
  <c r="AC408"/>
  <c r="A311" i="17"/>
  <c r="B310"/>
  <c r="L310" s="1"/>
  <c r="M310"/>
  <c r="C311"/>
  <c r="O309"/>
  <c r="P309" s="1"/>
  <c r="Y308" i="18" s="1"/>
  <c r="N316" i="17"/>
  <c r="D282" i="8"/>
  <c r="BK316" i="18" l="1"/>
  <c r="AW316"/>
  <c r="BD316"/>
  <c r="X317"/>
  <c r="AP316"/>
  <c r="O310" i="17"/>
  <c r="P310" s="1"/>
  <c r="Y309" i="18" s="1"/>
  <c r="Y410" s="1"/>
  <c r="Y409"/>
  <c r="AB308"/>
  <c r="AL1826" s="1"/>
  <c r="Z308"/>
  <c r="AL1624" s="1"/>
  <c r="AA308"/>
  <c r="AL1725" s="1"/>
  <c r="AC308"/>
  <c r="AL1927" s="1"/>
  <c r="C312" i="17"/>
  <c r="M311"/>
  <c r="B311"/>
  <c r="L311" s="1"/>
  <c r="A312"/>
  <c r="N317"/>
  <c r="D283" i="8"/>
  <c r="BD317" i="18" l="1"/>
  <c r="BK317"/>
  <c r="AW317"/>
  <c r="X318"/>
  <c r="AP317"/>
  <c r="AC309"/>
  <c r="AL1928" s="1"/>
  <c r="Z309"/>
  <c r="AL1625" s="1"/>
  <c r="AA309"/>
  <c r="AL1726" s="1"/>
  <c r="AB309"/>
  <c r="AL1827" s="1"/>
  <c r="AB409"/>
  <c r="Z409"/>
  <c r="AA409"/>
  <c r="AC409"/>
  <c r="AB410"/>
  <c r="Z410"/>
  <c r="AA410"/>
  <c r="AC410"/>
  <c r="B312" i="17"/>
  <c r="L312" s="1"/>
  <c r="A313"/>
  <c r="O311"/>
  <c r="P311" s="1"/>
  <c r="Y310" i="18" s="1"/>
  <c r="M312" i="17"/>
  <c r="C313"/>
  <c r="N318"/>
  <c r="D284" i="8"/>
  <c r="BK318" i="18" l="1"/>
  <c r="BD318"/>
  <c r="AW318"/>
  <c r="X319"/>
  <c r="AP318"/>
  <c r="Y411"/>
  <c r="AB310"/>
  <c r="AL1828" s="1"/>
  <c r="Z310"/>
  <c r="AL1626" s="1"/>
  <c r="AA310"/>
  <c r="AL1727" s="1"/>
  <c r="AC310"/>
  <c r="AL1929" s="1"/>
  <c r="A314" i="17"/>
  <c r="B313"/>
  <c r="L313" s="1"/>
  <c r="M313"/>
  <c r="C314"/>
  <c r="O312"/>
  <c r="P312" s="1"/>
  <c r="Y311" i="18" s="1"/>
  <c r="N319" i="17"/>
  <c r="D285" i="8"/>
  <c r="BK319" i="18" l="1"/>
  <c r="AW319"/>
  <c r="BD319"/>
  <c r="X320"/>
  <c r="AP319"/>
  <c r="O313" i="17"/>
  <c r="P313" s="1"/>
  <c r="Y312" i="18" s="1"/>
  <c r="AB312" s="1"/>
  <c r="AL1830" s="1"/>
  <c r="Y412"/>
  <c r="AB311"/>
  <c r="AL1829" s="1"/>
  <c r="Z311"/>
  <c r="AL1627" s="1"/>
  <c r="AA311"/>
  <c r="AL1728" s="1"/>
  <c r="AC311"/>
  <c r="AL1930" s="1"/>
  <c r="AB411"/>
  <c r="Z411"/>
  <c r="AA411"/>
  <c r="AC411"/>
  <c r="C315" i="17"/>
  <c r="M314"/>
  <c r="B314"/>
  <c r="L314" s="1"/>
  <c r="A315"/>
  <c r="N320"/>
  <c r="D286" i="8"/>
  <c r="BK320" i="18" l="1"/>
  <c r="BD320"/>
  <c r="AW320"/>
  <c r="X321"/>
  <c r="AP320"/>
  <c r="Y413"/>
  <c r="Z413" s="1"/>
  <c r="AC312"/>
  <c r="AL1931" s="1"/>
  <c r="Z312"/>
  <c r="AL1628" s="1"/>
  <c r="AA312"/>
  <c r="AL1729" s="1"/>
  <c r="AB412"/>
  <c r="Z412"/>
  <c r="AA412"/>
  <c r="AC412"/>
  <c r="A316" i="17"/>
  <c r="B315"/>
  <c r="L315" s="1"/>
  <c r="O314"/>
  <c r="P314" s="1"/>
  <c r="Y313" i="18" s="1"/>
  <c r="M315" i="17"/>
  <c r="C316"/>
  <c r="N321"/>
  <c r="D287" i="8"/>
  <c r="AB413" i="18" l="1"/>
  <c r="BK321"/>
  <c r="BD321"/>
  <c r="AW321"/>
  <c r="AA413"/>
  <c r="X322"/>
  <c r="AP321"/>
  <c r="AC413"/>
  <c r="Y414"/>
  <c r="AB313"/>
  <c r="AL1831" s="1"/>
  <c r="Z313"/>
  <c r="AL1629" s="1"/>
  <c r="AA313"/>
  <c r="AL1730" s="1"/>
  <c r="AC313"/>
  <c r="AL1932" s="1"/>
  <c r="O315" i="17"/>
  <c r="P315" s="1"/>
  <c r="Y314" i="18" s="1"/>
  <c r="C317" i="17"/>
  <c r="M316"/>
  <c r="A317"/>
  <c r="B316"/>
  <c r="L316" s="1"/>
  <c r="N322"/>
  <c r="D288" i="8"/>
  <c r="BD322" i="18" l="1"/>
  <c r="BK322"/>
  <c r="AW322"/>
  <c r="X323"/>
  <c r="AP322"/>
  <c r="O316" i="17"/>
  <c r="P316" s="1"/>
  <c r="Y315" i="18" s="1"/>
  <c r="Y416" s="1"/>
  <c r="Y415"/>
  <c r="AB314"/>
  <c r="AL1832" s="1"/>
  <c r="Z314"/>
  <c r="AL1630" s="1"/>
  <c r="AA314"/>
  <c r="AL1731" s="1"/>
  <c r="AC314"/>
  <c r="AL1933" s="1"/>
  <c r="AB414"/>
  <c r="Z414"/>
  <c r="AA414"/>
  <c r="AC414"/>
  <c r="B317" i="17"/>
  <c r="L317" s="1"/>
  <c r="A318"/>
  <c r="C318"/>
  <c r="M317"/>
  <c r="N323"/>
  <c r="D289" i="8"/>
  <c r="BK323" i="18" l="1"/>
  <c r="BD323"/>
  <c r="AW323"/>
  <c r="X324"/>
  <c r="AP323"/>
  <c r="AC315"/>
  <c r="AL1934" s="1"/>
  <c r="Z315"/>
  <c r="AL1631" s="1"/>
  <c r="AA315"/>
  <c r="AL1732" s="1"/>
  <c r="AB315"/>
  <c r="AL1833" s="1"/>
  <c r="AB415"/>
  <c r="Z415"/>
  <c r="AA415"/>
  <c r="AC415"/>
  <c r="AB416"/>
  <c r="Z416"/>
  <c r="AA416"/>
  <c r="AC416"/>
  <c r="A319" i="17"/>
  <c r="B318"/>
  <c r="L318" s="1"/>
  <c r="M318"/>
  <c r="C319"/>
  <c r="O317"/>
  <c r="P317" s="1"/>
  <c r="Y316" i="18" s="1"/>
  <c r="N324" i="17"/>
  <c r="D290" i="8"/>
  <c r="BK324" i="18" l="1"/>
  <c r="AW324"/>
  <c r="BD324"/>
  <c r="X325"/>
  <c r="AP324"/>
  <c r="O318" i="17"/>
  <c r="P318" s="1"/>
  <c r="Y317" i="18" s="1"/>
  <c r="Y418" s="1"/>
  <c r="Y417"/>
  <c r="AB316"/>
  <c r="AL1834" s="1"/>
  <c r="Z316"/>
  <c r="AL1632" s="1"/>
  <c r="AA316"/>
  <c r="AL1733" s="1"/>
  <c r="AC316"/>
  <c r="AL1935" s="1"/>
  <c r="C320" i="17"/>
  <c r="M319"/>
  <c r="B319"/>
  <c r="L319" s="1"/>
  <c r="A320"/>
  <c r="N325"/>
  <c r="D291" i="8"/>
  <c r="BD325" i="18" l="1"/>
  <c r="BK325"/>
  <c r="AW325"/>
  <c r="X326"/>
  <c r="AP325"/>
  <c r="AC317"/>
  <c r="AL1936" s="1"/>
  <c r="Z317"/>
  <c r="AL1633" s="1"/>
  <c r="AA317"/>
  <c r="AL1734" s="1"/>
  <c r="AB317"/>
  <c r="AL1835" s="1"/>
  <c r="O319" i="17"/>
  <c r="P319" s="1"/>
  <c r="Y318" i="18" s="1"/>
  <c r="Y419" s="1"/>
  <c r="AB417"/>
  <c r="Z417"/>
  <c r="AA417"/>
  <c r="AC417"/>
  <c r="AB418"/>
  <c r="Z418"/>
  <c r="AA418"/>
  <c r="AC418"/>
  <c r="B320" i="17"/>
  <c r="L320" s="1"/>
  <c r="A321"/>
  <c r="M320"/>
  <c r="C321"/>
  <c r="N326"/>
  <c r="D292" i="8"/>
  <c r="BK326" i="18" l="1"/>
  <c r="BD326"/>
  <c r="AW326"/>
  <c r="X327"/>
  <c r="AP326"/>
  <c r="AA318"/>
  <c r="AL1735" s="1"/>
  <c r="AB318"/>
  <c r="AL1836" s="1"/>
  <c r="AC318"/>
  <c r="AL1937" s="1"/>
  <c r="Z318"/>
  <c r="AL1634" s="1"/>
  <c r="AB419"/>
  <c r="Z419"/>
  <c r="AA419"/>
  <c r="AC419"/>
  <c r="M321" i="17"/>
  <c r="C322"/>
  <c r="A322"/>
  <c r="B321"/>
  <c r="L321" s="1"/>
  <c r="O320"/>
  <c r="P320" s="1"/>
  <c r="Y319" i="18" s="1"/>
  <c r="N327" i="17"/>
  <c r="D293" i="8"/>
  <c r="BK327" i="18" l="1"/>
  <c r="AW327"/>
  <c r="BD327"/>
  <c r="X328"/>
  <c r="AP327"/>
  <c r="O321" i="17"/>
  <c r="P321" s="1"/>
  <c r="Y320" i="18" s="1"/>
  <c r="Y421" s="1"/>
  <c r="Y420"/>
  <c r="AB319"/>
  <c r="AL1837" s="1"/>
  <c r="Z319"/>
  <c r="AL1635" s="1"/>
  <c r="AA319"/>
  <c r="AL1736" s="1"/>
  <c r="AC319"/>
  <c r="AL1938" s="1"/>
  <c r="C323" i="17"/>
  <c r="M322"/>
  <c r="A323"/>
  <c r="B322"/>
  <c r="L322" s="1"/>
  <c r="N328"/>
  <c r="D294" i="8"/>
  <c r="BK328" i="18" l="1"/>
  <c r="AW328"/>
  <c r="BD328"/>
  <c r="X329"/>
  <c r="AP328"/>
  <c r="AC320"/>
  <c r="AL1939" s="1"/>
  <c r="AA320"/>
  <c r="AL1737" s="1"/>
  <c r="AB320"/>
  <c r="AL1838" s="1"/>
  <c r="Z320"/>
  <c r="AL1636" s="1"/>
  <c r="O322" i="17"/>
  <c r="P322" s="1"/>
  <c r="Y321" i="18" s="1"/>
  <c r="Y422" s="1"/>
  <c r="AB420"/>
  <c r="Z420"/>
  <c r="AA420"/>
  <c r="AC420"/>
  <c r="AB421"/>
  <c r="Z421"/>
  <c r="AA421"/>
  <c r="AC421"/>
  <c r="B323" i="17"/>
  <c r="L323" s="1"/>
  <c r="A324"/>
  <c r="C324"/>
  <c r="M323"/>
  <c r="N329"/>
  <c r="D295" i="8"/>
  <c r="BK329" i="18" l="1"/>
  <c r="BD329"/>
  <c r="AW329"/>
  <c r="X330"/>
  <c r="AP329"/>
  <c r="AA321"/>
  <c r="AL1738" s="1"/>
  <c r="AC321"/>
  <c r="AL1940" s="1"/>
  <c r="AB321"/>
  <c r="AL1839" s="1"/>
  <c r="Z321"/>
  <c r="AL1637" s="1"/>
  <c r="O323" i="17"/>
  <c r="P323" s="1"/>
  <c r="Y322" i="18" s="1"/>
  <c r="Y423" s="1"/>
  <c r="AB422"/>
  <c r="Z422"/>
  <c r="AA422"/>
  <c r="AC422"/>
  <c r="M324" i="17"/>
  <c r="C325"/>
  <c r="A325"/>
  <c r="B324"/>
  <c r="L324" s="1"/>
  <c r="N330"/>
  <c r="D296" i="8"/>
  <c r="BK330" i="18" l="1"/>
  <c r="BD330"/>
  <c r="AW330"/>
  <c r="X331"/>
  <c r="AP330"/>
  <c r="AA322"/>
  <c r="AL1739" s="1"/>
  <c r="AB322"/>
  <c r="AL1840" s="1"/>
  <c r="O324" i="17"/>
  <c r="P324" s="1"/>
  <c r="Y323" i="18" s="1"/>
  <c r="Y424" s="1"/>
  <c r="AC322"/>
  <c r="AL1941" s="1"/>
  <c r="Z322"/>
  <c r="AL1638" s="1"/>
  <c r="AB423"/>
  <c r="Z423"/>
  <c r="AA423"/>
  <c r="AC423"/>
  <c r="C326" i="17"/>
  <c r="M325"/>
  <c r="B325"/>
  <c r="L325" s="1"/>
  <c r="A326"/>
  <c r="N331"/>
  <c r="D297" i="8"/>
  <c r="BK331" i="18" l="1"/>
  <c r="BD331"/>
  <c r="AW331"/>
  <c r="X332"/>
  <c r="AP331"/>
  <c r="AA323"/>
  <c r="AL1740" s="1"/>
  <c r="AB323"/>
  <c r="AL1841" s="1"/>
  <c r="AC323"/>
  <c r="AL1942" s="1"/>
  <c r="Z323"/>
  <c r="AL1639" s="1"/>
  <c r="AB424"/>
  <c r="Z424"/>
  <c r="AA424"/>
  <c r="AC424"/>
  <c r="B326" i="17"/>
  <c r="L326" s="1"/>
  <c r="A327"/>
  <c r="O325"/>
  <c r="P325" s="1"/>
  <c r="Y324" i="18" s="1"/>
  <c r="M326" i="17"/>
  <c r="C327"/>
  <c r="N332"/>
  <c r="D298" i="8"/>
  <c r="BD332" i="18" l="1"/>
  <c r="AW332"/>
  <c r="BK332"/>
  <c r="X333"/>
  <c r="AP332"/>
  <c r="Y425"/>
  <c r="AB324"/>
  <c r="AL1842" s="1"/>
  <c r="Z324"/>
  <c r="AL1640" s="1"/>
  <c r="AA324"/>
  <c r="AL1741" s="1"/>
  <c r="AC324"/>
  <c r="AL1943" s="1"/>
  <c r="B327" i="17"/>
  <c r="L327" s="1"/>
  <c r="A328"/>
  <c r="C328"/>
  <c r="M327"/>
  <c r="O326"/>
  <c r="P326" s="1"/>
  <c r="Y325" i="18" s="1"/>
  <c r="N333" i="17"/>
  <c r="D299" i="8"/>
  <c r="BD333" i="18" l="1"/>
  <c r="BK333"/>
  <c r="AW333"/>
  <c r="X334"/>
  <c r="AP333"/>
  <c r="Y426"/>
  <c r="AB325"/>
  <c r="AL1843" s="1"/>
  <c r="Z325"/>
  <c r="AL1641" s="1"/>
  <c r="AA325"/>
  <c r="AL1742" s="1"/>
  <c r="AC325"/>
  <c r="AL1944" s="1"/>
  <c r="AB425"/>
  <c r="Z425"/>
  <c r="AA425"/>
  <c r="AC425"/>
  <c r="B328" i="17"/>
  <c r="L328" s="1"/>
  <c r="A329"/>
  <c r="M328"/>
  <c r="C329"/>
  <c r="O327"/>
  <c r="P327" s="1"/>
  <c r="Y326" i="18" s="1"/>
  <c r="N334" i="17"/>
  <c r="D300" i="8"/>
  <c r="BD334" i="18" l="1"/>
  <c r="BK334"/>
  <c r="AW334"/>
  <c r="X335"/>
  <c r="AP334"/>
  <c r="Y427"/>
  <c r="AB326"/>
  <c r="AL1844" s="1"/>
  <c r="Z326"/>
  <c r="AL1642" s="1"/>
  <c r="AA326"/>
  <c r="AL1743" s="1"/>
  <c r="AC326"/>
  <c r="AL1945" s="1"/>
  <c r="AB426"/>
  <c r="Z426"/>
  <c r="AA426"/>
  <c r="AC426"/>
  <c r="M329" i="17"/>
  <c r="C330"/>
  <c r="B329"/>
  <c r="L329" s="1"/>
  <c r="A330"/>
  <c r="O328"/>
  <c r="P328" s="1"/>
  <c r="Y327" i="18" s="1"/>
  <c r="N335" i="17"/>
  <c r="D301" i="8"/>
  <c r="BK335" i="18" l="1"/>
  <c r="AW335"/>
  <c r="BD335"/>
  <c r="X336"/>
  <c r="AP335"/>
  <c r="O329" i="17"/>
  <c r="P329" s="1"/>
  <c r="Y328" i="18" s="1"/>
  <c r="AB328" s="1"/>
  <c r="AL1846" s="1"/>
  <c r="Y428"/>
  <c r="AB327"/>
  <c r="AL1845" s="1"/>
  <c r="Z327"/>
  <c r="AL1643" s="1"/>
  <c r="AA327"/>
  <c r="AL1744" s="1"/>
  <c r="AC327"/>
  <c r="AL1946" s="1"/>
  <c r="AB427"/>
  <c r="Z427"/>
  <c r="AA427"/>
  <c r="AC427"/>
  <c r="A331" i="17"/>
  <c r="B330"/>
  <c r="L330" s="1"/>
  <c r="C331"/>
  <c r="M330"/>
  <c r="N336"/>
  <c r="D302" i="8"/>
  <c r="Y429" i="18" l="1"/>
  <c r="Z429" s="1"/>
  <c r="BK336"/>
  <c r="AW336"/>
  <c r="BD336"/>
  <c r="X337"/>
  <c r="AP336"/>
  <c r="AC328"/>
  <c r="AL1947" s="1"/>
  <c r="Z328"/>
  <c r="AL1644" s="1"/>
  <c r="O330" i="17"/>
  <c r="P330" s="1"/>
  <c r="Y329" i="18" s="1"/>
  <c r="AB329" s="1"/>
  <c r="AL1847" s="1"/>
  <c r="AA328"/>
  <c r="AL1745" s="1"/>
  <c r="AB428"/>
  <c r="Z428"/>
  <c r="AA428"/>
  <c r="AC428"/>
  <c r="C332" i="17"/>
  <c r="M331"/>
  <c r="A332"/>
  <c r="B331"/>
  <c r="L331" s="1"/>
  <c r="N337"/>
  <c r="D303" i="8"/>
  <c r="AA429" i="18" l="1"/>
  <c r="AB429"/>
  <c r="AC429"/>
  <c r="BK337"/>
  <c r="BD337"/>
  <c r="AW337"/>
  <c r="X338"/>
  <c r="AP337"/>
  <c r="Y430"/>
  <c r="AB430" s="1"/>
  <c r="AC329"/>
  <c r="AL1948" s="1"/>
  <c r="Z329"/>
  <c r="AL1645" s="1"/>
  <c r="O331" i="17"/>
  <c r="P331" s="1"/>
  <c r="Y330" i="18" s="1"/>
  <c r="AB330" s="1"/>
  <c r="AL1848" s="1"/>
  <c r="AA329"/>
  <c r="AL1746" s="1"/>
  <c r="A333" i="17"/>
  <c r="B332"/>
  <c r="L332" s="1"/>
  <c r="C333"/>
  <c r="M332"/>
  <c r="N338"/>
  <c r="D304" i="8"/>
  <c r="BD338" i="18" l="1"/>
  <c r="BK338"/>
  <c r="AW338"/>
  <c r="X339"/>
  <c r="AP338"/>
  <c r="AA430"/>
  <c r="Y431"/>
  <c r="Z431" s="1"/>
  <c r="AC430"/>
  <c r="Z430"/>
  <c r="AC330"/>
  <c r="AL1949" s="1"/>
  <c r="Z330"/>
  <c r="AL1646" s="1"/>
  <c r="AA330"/>
  <c r="AL1747" s="1"/>
  <c r="O332" i="17"/>
  <c r="P332" s="1"/>
  <c r="Y331" i="18" s="1"/>
  <c r="M333" i="17"/>
  <c r="C334"/>
  <c r="B333"/>
  <c r="L333" s="1"/>
  <c r="A334"/>
  <c r="N339"/>
  <c r="D305" i="8"/>
  <c r="AB431" i="18" l="1"/>
  <c r="O333" i="17"/>
  <c r="P333" s="1"/>
  <c r="Y332" i="18" s="1"/>
  <c r="AB332" s="1"/>
  <c r="AL1850" s="1"/>
  <c r="BK339"/>
  <c r="BD339"/>
  <c r="AW339"/>
  <c r="X340"/>
  <c r="AP339"/>
  <c r="AA431"/>
  <c r="AC431"/>
  <c r="Y432"/>
  <c r="AB331"/>
  <c r="AL1849" s="1"/>
  <c r="Z331"/>
  <c r="AL1647" s="1"/>
  <c r="AA331"/>
  <c r="AL1748" s="1"/>
  <c r="AC331"/>
  <c r="AL1950" s="1"/>
  <c r="B334" i="17"/>
  <c r="L334" s="1"/>
  <c r="A335"/>
  <c r="M334"/>
  <c r="C335"/>
  <c r="N340"/>
  <c r="D306" i="8"/>
  <c r="Z332" i="18" l="1"/>
  <c r="AL1648" s="1"/>
  <c r="Y433"/>
  <c r="AC433" s="1"/>
  <c r="AC332"/>
  <c r="AL1951" s="1"/>
  <c r="AA332"/>
  <c r="AL1749" s="1"/>
  <c r="BK340"/>
  <c r="BD340"/>
  <c r="AW340"/>
  <c r="X341"/>
  <c r="AP340"/>
  <c r="AB432"/>
  <c r="Z432"/>
  <c r="AA432"/>
  <c r="AC432"/>
  <c r="M335" i="17"/>
  <c r="C336"/>
  <c r="B335"/>
  <c r="L335" s="1"/>
  <c r="A336"/>
  <c r="O334"/>
  <c r="P334" s="1"/>
  <c r="Y333" i="18" s="1"/>
  <c r="N341" i="17"/>
  <c r="D307" i="8"/>
  <c r="AA433" i="18" l="1"/>
  <c r="AB433"/>
  <c r="Z433"/>
  <c r="BD341"/>
  <c r="BK341"/>
  <c r="AW341"/>
  <c r="X342"/>
  <c r="AP341"/>
  <c r="O335" i="17"/>
  <c r="P335" s="1"/>
  <c r="Y334" i="18" s="1"/>
  <c r="AB334" s="1"/>
  <c r="AL1852" s="1"/>
  <c r="Y434"/>
  <c r="AB333"/>
  <c r="AL1851" s="1"/>
  <c r="Z333"/>
  <c r="AL1649" s="1"/>
  <c r="AA333"/>
  <c r="AL1750" s="1"/>
  <c r="AC333"/>
  <c r="AL1952" s="1"/>
  <c r="A337" i="17"/>
  <c r="B336"/>
  <c r="L336" s="1"/>
  <c r="M336"/>
  <c r="C337"/>
  <c r="N342"/>
  <c r="D308" i="8"/>
  <c r="Y435" i="18" l="1"/>
  <c r="Z435" s="1"/>
  <c r="BD342"/>
  <c r="BK342"/>
  <c r="AW342"/>
  <c r="X343"/>
  <c r="AP342"/>
  <c r="AC334"/>
  <c r="AL1953" s="1"/>
  <c r="Z334"/>
  <c r="AL1650" s="1"/>
  <c r="AA334"/>
  <c r="AL1751" s="1"/>
  <c r="O336" i="17"/>
  <c r="P336" s="1"/>
  <c r="Y335" i="18" s="1"/>
  <c r="Y436" s="1"/>
  <c r="AB434"/>
  <c r="Z434"/>
  <c r="AA434"/>
  <c r="AC434"/>
  <c r="C338" i="17"/>
  <c r="M337"/>
  <c r="B337"/>
  <c r="L337" s="1"/>
  <c r="A338"/>
  <c r="N343"/>
  <c r="D309" i="8"/>
  <c r="AC435" i="18" l="1"/>
  <c r="AB435"/>
  <c r="AA435"/>
  <c r="BK343"/>
  <c r="AW343"/>
  <c r="BD343"/>
  <c r="X344"/>
  <c r="AP343"/>
  <c r="AA335"/>
  <c r="AL1752" s="1"/>
  <c r="AB335"/>
  <c r="AL1853" s="1"/>
  <c r="AC335"/>
  <c r="AL1954" s="1"/>
  <c r="Z335"/>
  <c r="AL1651" s="1"/>
  <c r="AB436"/>
  <c r="Z436"/>
  <c r="AA436"/>
  <c r="AC436"/>
  <c r="B338" i="17"/>
  <c r="L338" s="1"/>
  <c r="A339"/>
  <c r="O337"/>
  <c r="P337" s="1"/>
  <c r="Y336" i="18" s="1"/>
  <c r="C339" i="17"/>
  <c r="M338"/>
  <c r="N344"/>
  <c r="D310" i="8"/>
  <c r="BK344" i="18" l="1"/>
  <c r="AW344"/>
  <c r="BD344"/>
  <c r="X345"/>
  <c r="AP344"/>
  <c r="O338" i="17"/>
  <c r="P338" s="1"/>
  <c r="Y337" i="18" s="1"/>
  <c r="AB337" s="1"/>
  <c r="AL1855" s="1"/>
  <c r="Y437"/>
  <c r="AB336"/>
  <c r="AL1854" s="1"/>
  <c r="Z336"/>
  <c r="AL1652" s="1"/>
  <c r="AA336"/>
  <c r="AL1753" s="1"/>
  <c r="AC336"/>
  <c r="AL1955" s="1"/>
  <c r="M339" i="17"/>
  <c r="C340"/>
  <c r="B339"/>
  <c r="L339" s="1"/>
  <c r="A340"/>
  <c r="N345"/>
  <c r="D311" i="8"/>
  <c r="O339" i="17" l="1"/>
  <c r="P339" s="1"/>
  <c r="Y338" i="18" s="1"/>
  <c r="Z338" s="1"/>
  <c r="AL1654" s="1"/>
  <c r="Y438"/>
  <c r="AA438" s="1"/>
  <c r="BK345"/>
  <c r="BD345"/>
  <c r="AW345"/>
  <c r="X346"/>
  <c r="AP345"/>
  <c r="AC337"/>
  <c r="AL1956" s="1"/>
  <c r="Z337"/>
  <c r="AL1653" s="1"/>
  <c r="AA337"/>
  <c r="AL1754" s="1"/>
  <c r="AB437"/>
  <c r="Z437"/>
  <c r="AA437"/>
  <c r="AC437"/>
  <c r="B340" i="17"/>
  <c r="L340" s="1"/>
  <c r="A341"/>
  <c r="M340"/>
  <c r="C341"/>
  <c r="N346"/>
  <c r="D312" i="8"/>
  <c r="Z438" i="18" l="1"/>
  <c r="AB438"/>
  <c r="AC438"/>
  <c r="AC338"/>
  <c r="AL1957" s="1"/>
  <c r="AA338"/>
  <c r="AL1755" s="1"/>
  <c r="AB338"/>
  <c r="AL1856" s="1"/>
  <c r="Y439"/>
  <c r="Z439" s="1"/>
  <c r="BK346"/>
  <c r="BD346"/>
  <c r="AW346"/>
  <c r="X347"/>
  <c r="AP346"/>
  <c r="M341" i="17"/>
  <c r="C342"/>
  <c r="B341"/>
  <c r="L341" s="1"/>
  <c r="A342"/>
  <c r="O340"/>
  <c r="P340" s="1"/>
  <c r="Y339" i="18" s="1"/>
  <c r="N347" i="17"/>
  <c r="D313" i="8"/>
  <c r="AC439" i="18" l="1"/>
  <c r="AA439"/>
  <c r="AB439"/>
  <c r="BK347"/>
  <c r="BD347"/>
  <c r="AW347"/>
  <c r="X348"/>
  <c r="AP347"/>
  <c r="O341" i="17"/>
  <c r="P341" s="1"/>
  <c r="Y340" i="18" s="1"/>
  <c r="AB340" s="1"/>
  <c r="AL1858" s="1"/>
  <c r="Y440"/>
  <c r="AB339"/>
  <c r="AL1857" s="1"/>
  <c r="Z339"/>
  <c r="AL1655" s="1"/>
  <c r="AA339"/>
  <c r="AL1756" s="1"/>
  <c r="AC339"/>
  <c r="AL1958" s="1"/>
  <c r="B342" i="17"/>
  <c r="L342" s="1"/>
  <c r="A343"/>
  <c r="M342"/>
  <c r="C343"/>
  <c r="N348"/>
  <c r="D314" i="8"/>
  <c r="Y441" i="18" l="1"/>
  <c r="AB441" s="1"/>
  <c r="BK348"/>
  <c r="BD348"/>
  <c r="AW348"/>
  <c r="X349"/>
  <c r="AP348"/>
  <c r="AC340"/>
  <c r="AL1959" s="1"/>
  <c r="Z340"/>
  <c r="AL1656" s="1"/>
  <c r="AA340"/>
  <c r="AL1757" s="1"/>
  <c r="O342" i="17"/>
  <c r="P342" s="1"/>
  <c r="Y341" i="18" s="1"/>
  <c r="Y442" s="1"/>
  <c r="AB440"/>
  <c r="Z440"/>
  <c r="AA440"/>
  <c r="AC440"/>
  <c r="M343" i="17"/>
  <c r="C344"/>
  <c r="B343"/>
  <c r="L343" s="1"/>
  <c r="A344"/>
  <c r="N349"/>
  <c r="D315" i="8"/>
  <c r="O343" i="17" l="1"/>
  <c r="P343" s="1"/>
  <c r="Y342" i="18" s="1"/>
  <c r="Y443" s="1"/>
  <c r="Z441"/>
  <c r="AC441"/>
  <c r="AA441"/>
  <c r="BD349"/>
  <c r="BK349"/>
  <c r="AW349"/>
  <c r="X350"/>
  <c r="AP349"/>
  <c r="AC341"/>
  <c r="AL1960" s="1"/>
  <c r="AA341"/>
  <c r="AL1758" s="1"/>
  <c r="Z341"/>
  <c r="AL1657" s="1"/>
  <c r="AB341"/>
  <c r="AL1859" s="1"/>
  <c r="AB442"/>
  <c r="Z442"/>
  <c r="AA442"/>
  <c r="AC442"/>
  <c r="B344" i="17"/>
  <c r="L344" s="1"/>
  <c r="A345"/>
  <c r="M344"/>
  <c r="C345"/>
  <c r="N350"/>
  <c r="D316" i="8"/>
  <c r="AA342" i="18" l="1"/>
  <c r="AL1759" s="1"/>
  <c r="AC342"/>
  <c r="AL1961" s="1"/>
  <c r="Z342"/>
  <c r="AL1658" s="1"/>
  <c r="AB342"/>
  <c r="AL1860" s="1"/>
  <c r="BD350"/>
  <c r="BK350"/>
  <c r="AW350"/>
  <c r="X351"/>
  <c r="AP350"/>
  <c r="AB443"/>
  <c r="Z443"/>
  <c r="AA443"/>
  <c r="AC443"/>
  <c r="M345" i="17"/>
  <c r="C346"/>
  <c r="A346"/>
  <c r="B345"/>
  <c r="L345" s="1"/>
  <c r="O344"/>
  <c r="P344" s="1"/>
  <c r="Y343" i="18" s="1"/>
  <c r="N351" i="17"/>
  <c r="D317" i="8"/>
  <c r="BK351" i="18" l="1"/>
  <c r="AW351"/>
  <c r="BD351"/>
  <c r="X352"/>
  <c r="AP351"/>
  <c r="O345" i="17"/>
  <c r="P345" s="1"/>
  <c r="Y344" i="18" s="1"/>
  <c r="AB344" s="1"/>
  <c r="AL1862" s="1"/>
  <c r="Y444"/>
  <c r="AB343"/>
  <c r="AL1861" s="1"/>
  <c r="Z343"/>
  <c r="AL1659" s="1"/>
  <c r="AA343"/>
  <c r="AL1760" s="1"/>
  <c r="AC343"/>
  <c r="AL1962" s="1"/>
  <c r="C347" i="17"/>
  <c r="M346"/>
  <c r="B346"/>
  <c r="L346" s="1"/>
  <c r="A347"/>
  <c r="N352"/>
  <c r="D318" i="8"/>
  <c r="Y445" i="18" l="1"/>
  <c r="AB445" s="1"/>
  <c r="BK352"/>
  <c r="AW352"/>
  <c r="BD352"/>
  <c r="X353"/>
  <c r="AP352"/>
  <c r="AC344"/>
  <c r="AL1963" s="1"/>
  <c r="Z344"/>
  <c r="AL1660" s="1"/>
  <c r="AA344"/>
  <c r="AL1761" s="1"/>
  <c r="AB444"/>
  <c r="Z444"/>
  <c r="AA444"/>
  <c r="AC444"/>
  <c r="B347" i="17"/>
  <c r="L347" s="1"/>
  <c r="A348"/>
  <c r="O346"/>
  <c r="P346" s="1"/>
  <c r="Y345" i="18" s="1"/>
  <c r="M347" i="17"/>
  <c r="C348"/>
  <c r="N353"/>
  <c r="D319" i="8"/>
  <c r="AA445" i="18" l="1"/>
  <c r="AC445"/>
  <c r="Z445"/>
  <c r="BK353"/>
  <c r="BD353"/>
  <c r="AW353"/>
  <c r="X354"/>
  <c r="AP353"/>
  <c r="Y446"/>
  <c r="AB345"/>
  <c r="AL1863" s="1"/>
  <c r="Z345"/>
  <c r="AL1661" s="1"/>
  <c r="AA345"/>
  <c r="AL1762" s="1"/>
  <c r="AC345"/>
  <c r="AL1964" s="1"/>
  <c r="A349" i="17"/>
  <c r="B348"/>
  <c r="L348" s="1"/>
  <c r="M348"/>
  <c r="C349"/>
  <c r="O347"/>
  <c r="P347" s="1"/>
  <c r="Y346" i="18" s="1"/>
  <c r="N354" i="17"/>
  <c r="D320" i="8"/>
  <c r="BD354" i="18" l="1"/>
  <c r="BK354"/>
  <c r="AW354"/>
  <c r="X355"/>
  <c r="AP354"/>
  <c r="O348" i="17"/>
  <c r="P348" s="1"/>
  <c r="Y347" i="18" s="1"/>
  <c r="AB347" s="1"/>
  <c r="AL1865" s="1"/>
  <c r="Y447"/>
  <c r="AB346"/>
  <c r="AL1864" s="1"/>
  <c r="Z346"/>
  <c r="AL1662" s="1"/>
  <c r="AA346"/>
  <c r="AL1763" s="1"/>
  <c r="AC346"/>
  <c r="AL1965" s="1"/>
  <c r="AB446"/>
  <c r="Z446"/>
  <c r="AA446"/>
  <c r="AC446"/>
  <c r="C350" i="17"/>
  <c r="M349"/>
  <c r="B349"/>
  <c r="L349" s="1"/>
  <c r="A350"/>
  <c r="N355"/>
  <c r="D321" i="8"/>
  <c r="Y448" i="18" l="1"/>
  <c r="AC448" s="1"/>
  <c r="BK355"/>
  <c r="BD355"/>
  <c r="AW355"/>
  <c r="X356"/>
  <c r="AP355"/>
  <c r="AC347"/>
  <c r="AL1966" s="1"/>
  <c r="Z347"/>
  <c r="AL1663" s="1"/>
  <c r="AA347"/>
  <c r="AL1764" s="1"/>
  <c r="O349" i="17"/>
  <c r="P349" s="1"/>
  <c r="Y348" i="18" s="1"/>
  <c r="Y449" s="1"/>
  <c r="AB447"/>
  <c r="Z447"/>
  <c r="AA447"/>
  <c r="AC447"/>
  <c r="A351" i="17"/>
  <c r="B350"/>
  <c r="L350" s="1"/>
  <c r="M350"/>
  <c r="C351"/>
  <c r="N356"/>
  <c r="D322" i="8"/>
  <c r="AA448" i="18" l="1"/>
  <c r="AB448"/>
  <c r="Z448"/>
  <c r="BK356"/>
  <c r="BD356"/>
  <c r="AW356"/>
  <c r="X357"/>
  <c r="AP356"/>
  <c r="AA348"/>
  <c r="AL1765" s="1"/>
  <c r="AB348"/>
  <c r="AL1866" s="1"/>
  <c r="O350" i="17"/>
  <c r="P350" s="1"/>
  <c r="Y349" i="18" s="1"/>
  <c r="Y450" s="1"/>
  <c r="AC348"/>
  <c r="AL1967" s="1"/>
  <c r="Z348"/>
  <c r="AL1664" s="1"/>
  <c r="AB449"/>
  <c r="Z449"/>
  <c r="AA449"/>
  <c r="AC449"/>
  <c r="C352" i="17"/>
  <c r="M351"/>
  <c r="A352"/>
  <c r="B351"/>
  <c r="L351" s="1"/>
  <c r="N357"/>
  <c r="D323" i="8"/>
  <c r="BD357" i="18" l="1"/>
  <c r="BK357"/>
  <c r="AW357"/>
  <c r="X358"/>
  <c r="AP357"/>
  <c r="AC349"/>
  <c r="AL1968" s="1"/>
  <c r="Z349"/>
  <c r="AA349"/>
  <c r="AL1766" s="1"/>
  <c r="AB349"/>
  <c r="AL1867" s="1"/>
  <c r="O351" i="17"/>
  <c r="P351" s="1"/>
  <c r="Y350" i="18" s="1"/>
  <c r="Y451" s="1"/>
  <c r="AB450"/>
  <c r="Z450"/>
  <c r="AA450"/>
  <c r="AC450"/>
  <c r="A353" i="17"/>
  <c r="B352"/>
  <c r="L352" s="1"/>
  <c r="C353"/>
  <c r="M352"/>
  <c r="N358"/>
  <c r="D324" i="8"/>
  <c r="AL1665" i="18" l="1"/>
  <c r="BD358"/>
  <c r="BK358"/>
  <c r="AW358"/>
  <c r="X359"/>
  <c r="AP358"/>
  <c r="AA350"/>
  <c r="AL1767" s="1"/>
  <c r="AB350"/>
  <c r="AL1868" s="1"/>
  <c r="AC350"/>
  <c r="AL1969" s="1"/>
  <c r="Z350"/>
  <c r="AL1666" s="1"/>
  <c r="AB451"/>
  <c r="Z451"/>
  <c r="AA451"/>
  <c r="AC451"/>
  <c r="O352" i="17"/>
  <c r="P352" s="1"/>
  <c r="Y351" i="18" s="1"/>
  <c r="C354" i="17"/>
  <c r="M353"/>
  <c r="B353"/>
  <c r="L353" s="1"/>
  <c r="A354"/>
  <c r="N359"/>
  <c r="D325" i="8"/>
  <c r="BK359" i="18" l="1"/>
  <c r="AW359"/>
  <c r="BD359"/>
  <c r="X360"/>
  <c r="AP359"/>
  <c r="O353" i="17"/>
  <c r="P353" s="1"/>
  <c r="Y352" i="18" s="1"/>
  <c r="AB352" s="1"/>
  <c r="AL1870" s="1"/>
  <c r="Y452"/>
  <c r="AB351"/>
  <c r="AL1869" s="1"/>
  <c r="Z351"/>
  <c r="AL1667" s="1"/>
  <c r="AA351"/>
  <c r="AL1768" s="1"/>
  <c r="AC351"/>
  <c r="AL1970" s="1"/>
  <c r="M354" i="17"/>
  <c r="C355"/>
  <c r="B354"/>
  <c r="L354" s="1"/>
  <c r="A355"/>
  <c r="N360"/>
  <c r="D326" i="8"/>
  <c r="O354" i="17" l="1"/>
  <c r="P354" s="1"/>
  <c r="Y353" i="18" s="1"/>
  <c r="Y454" s="1"/>
  <c r="Y453"/>
  <c r="AB453" s="1"/>
  <c r="BK360"/>
  <c r="AW360"/>
  <c r="BD360"/>
  <c r="X361"/>
  <c r="AP360"/>
  <c r="AA352"/>
  <c r="AL1769" s="1"/>
  <c r="AC352"/>
  <c r="AL1971" s="1"/>
  <c r="Z352"/>
  <c r="AL1668" s="1"/>
  <c r="AB452"/>
  <c r="Z452"/>
  <c r="AA452"/>
  <c r="AC452"/>
  <c r="B355" i="17"/>
  <c r="L355" s="1"/>
  <c r="A356"/>
  <c r="M355"/>
  <c r="C356"/>
  <c r="N361"/>
  <c r="D327" i="8"/>
  <c r="AC353" i="18" l="1"/>
  <c r="AL1972" s="1"/>
  <c r="AA353"/>
  <c r="AL1770" s="1"/>
  <c r="Z353"/>
  <c r="AL1669" s="1"/>
  <c r="AB353"/>
  <c r="AL1871" s="1"/>
  <c r="AA453"/>
  <c r="Z453"/>
  <c r="AC453"/>
  <c r="BK361"/>
  <c r="BD361"/>
  <c r="AW361"/>
  <c r="X362"/>
  <c r="AP361"/>
  <c r="AB454"/>
  <c r="Z454"/>
  <c r="AA454"/>
  <c r="AC454"/>
  <c r="M356" i="17"/>
  <c r="C357"/>
  <c r="A357"/>
  <c r="B356"/>
  <c r="L356" s="1"/>
  <c r="O355"/>
  <c r="P355" s="1"/>
  <c r="Y354" i="18" s="1"/>
  <c r="N362" i="17"/>
  <c r="D328" i="8"/>
  <c r="BK362" i="18" l="1"/>
  <c r="BD362"/>
  <c r="AW362"/>
  <c r="X363"/>
  <c r="AP362"/>
  <c r="O356" i="17"/>
  <c r="P356" s="1"/>
  <c r="Y355" i="18" s="1"/>
  <c r="Y456" s="1"/>
  <c r="Y455"/>
  <c r="AB354"/>
  <c r="AL1872" s="1"/>
  <c r="Z354"/>
  <c r="AL1670" s="1"/>
  <c r="AA354"/>
  <c r="AL1771" s="1"/>
  <c r="AC354"/>
  <c r="AL1973" s="1"/>
  <c r="C358" i="17"/>
  <c r="M357"/>
  <c r="A358"/>
  <c r="B357"/>
  <c r="L357" s="1"/>
  <c r="N363"/>
  <c r="D329" i="8"/>
  <c r="BK363" i="18" l="1"/>
  <c r="BD363"/>
  <c r="AW363"/>
  <c r="X364"/>
  <c r="AP363"/>
  <c r="AA355"/>
  <c r="AL1772" s="1"/>
  <c r="AC355"/>
  <c r="AL1974" s="1"/>
  <c r="AB355"/>
  <c r="AL1873" s="1"/>
  <c r="Z355"/>
  <c r="AL1671" s="1"/>
  <c r="O357" i="17"/>
  <c r="P357" s="1"/>
  <c r="Y356" i="18" s="1"/>
  <c r="Y457" s="1"/>
  <c r="AB455"/>
  <c r="Z455"/>
  <c r="AA455"/>
  <c r="AC455"/>
  <c r="AB456"/>
  <c r="Z456"/>
  <c r="AA456"/>
  <c r="AC456"/>
  <c r="B358" i="17"/>
  <c r="L358" s="1"/>
  <c r="A359"/>
  <c r="M358"/>
  <c r="C359"/>
  <c r="N364"/>
  <c r="D330" i="8"/>
  <c r="BD364" i="18" l="1"/>
  <c r="AW364"/>
  <c r="BK364"/>
  <c r="X365"/>
  <c r="AP364"/>
  <c r="AA356"/>
  <c r="AL1773" s="1"/>
  <c r="AB356"/>
  <c r="AL1874" s="1"/>
  <c r="AC356"/>
  <c r="AL1975" s="1"/>
  <c r="Z356"/>
  <c r="AL1672" s="1"/>
  <c r="AB457"/>
  <c r="Z457"/>
  <c r="AA457"/>
  <c r="AC457"/>
  <c r="M359" i="17"/>
  <c r="C360"/>
  <c r="A360"/>
  <c r="B359"/>
  <c r="L359" s="1"/>
  <c r="O358"/>
  <c r="P358" s="1"/>
  <c r="Y357" i="18" s="1"/>
  <c r="N365" i="17"/>
  <c r="D331" i="8"/>
  <c r="BD365" i="18" l="1"/>
  <c r="BK365"/>
  <c r="AW365"/>
  <c r="X366"/>
  <c r="AP365"/>
  <c r="O359" i="17"/>
  <c r="P359" s="1"/>
  <c r="Y358" i="18" s="1"/>
  <c r="Y459" s="1"/>
  <c r="Y458"/>
  <c r="AB357"/>
  <c r="AL1875" s="1"/>
  <c r="Z357"/>
  <c r="AL1673" s="1"/>
  <c r="AA357"/>
  <c r="AL1774" s="1"/>
  <c r="AC357"/>
  <c r="AL1976" s="1"/>
  <c r="C361" i="17"/>
  <c r="M360"/>
  <c r="A361"/>
  <c r="B360"/>
  <c r="L360" s="1"/>
  <c r="N366"/>
  <c r="D332" i="8"/>
  <c r="BD366" i="18" l="1"/>
  <c r="BK366"/>
  <c r="AW366"/>
  <c r="X367"/>
  <c r="AP366"/>
  <c r="AA358"/>
  <c r="AL1775" s="1"/>
  <c r="AB358"/>
  <c r="AL1876" s="1"/>
  <c r="O360" i="17"/>
  <c r="P360" s="1"/>
  <c r="Y359" i="18" s="1"/>
  <c r="Y460" s="1"/>
  <c r="AC358"/>
  <c r="AL1977" s="1"/>
  <c r="Z358"/>
  <c r="AL1674" s="1"/>
  <c r="AB458"/>
  <c r="Z458"/>
  <c r="AA458"/>
  <c r="AC458"/>
  <c r="AB459"/>
  <c r="Z459"/>
  <c r="AA459"/>
  <c r="AC459"/>
  <c r="B361" i="17"/>
  <c r="L361" s="1"/>
  <c r="A362"/>
  <c r="C362"/>
  <c r="M361"/>
  <c r="N367"/>
  <c r="D333" i="8"/>
  <c r="BK367" i="18" l="1"/>
  <c r="AW367"/>
  <c r="BD367"/>
  <c r="X368"/>
  <c r="AP367"/>
  <c r="AC359"/>
  <c r="AL1978" s="1"/>
  <c r="AA359"/>
  <c r="AL1776" s="1"/>
  <c r="AB359"/>
  <c r="AL1877" s="1"/>
  <c r="Z359"/>
  <c r="AL1675" s="1"/>
  <c r="O361" i="17"/>
  <c r="P361" s="1"/>
  <c r="Y360" i="18" s="1"/>
  <c r="Y461" s="1"/>
  <c r="AB460"/>
  <c r="Z460"/>
  <c r="AA460"/>
  <c r="AC460"/>
  <c r="A363" i="17"/>
  <c r="B362"/>
  <c r="L362" s="1"/>
  <c r="M362"/>
  <c r="C363"/>
  <c r="N368"/>
  <c r="D334" i="8"/>
  <c r="BK368" i="18" l="1"/>
  <c r="AW368"/>
  <c r="BD368"/>
  <c r="X369"/>
  <c r="AP368"/>
  <c r="AA360"/>
  <c r="AL1777" s="1"/>
  <c r="AB360"/>
  <c r="AL1878" s="1"/>
  <c r="O362" i="17"/>
  <c r="P362" s="1"/>
  <c r="Y361" i="18" s="1"/>
  <c r="Y462" s="1"/>
  <c r="AC360"/>
  <c r="AL1979" s="1"/>
  <c r="Z360"/>
  <c r="AB461"/>
  <c r="Z461"/>
  <c r="AA461"/>
  <c r="AC461"/>
  <c r="C364" i="17"/>
  <c r="M363"/>
  <c r="B363"/>
  <c r="L363" s="1"/>
  <c r="A364"/>
  <c r="N369"/>
  <c r="D335" i="8"/>
  <c r="AL1676" i="18" l="1"/>
  <c r="BK369"/>
  <c r="BD369"/>
  <c r="AW369"/>
  <c r="X370"/>
  <c r="AP369"/>
  <c r="AA361"/>
  <c r="AL1778" s="1"/>
  <c r="AC361"/>
  <c r="AL1980" s="1"/>
  <c r="AB361"/>
  <c r="AL1879" s="1"/>
  <c r="Z361"/>
  <c r="AL1677" s="1"/>
  <c r="AB462"/>
  <c r="Z462"/>
  <c r="AA462"/>
  <c r="AC462"/>
  <c r="B364" i="17"/>
  <c r="L364" s="1"/>
  <c r="A365"/>
  <c r="O363"/>
  <c r="P363" s="1"/>
  <c r="Y362" i="18" s="1"/>
  <c r="M364" i="17"/>
  <c r="C365"/>
  <c r="N370"/>
  <c r="D336" i="8"/>
  <c r="BD370" i="18" l="1"/>
  <c r="BK370"/>
  <c r="AW370"/>
  <c r="X371"/>
  <c r="AP370"/>
  <c r="O364" i="17"/>
  <c r="P364" s="1"/>
  <c r="Y363" i="18" s="1"/>
  <c r="AB363" s="1"/>
  <c r="AL1881" s="1"/>
  <c r="Y463"/>
  <c r="AB362"/>
  <c r="AL1880" s="1"/>
  <c r="Z362"/>
  <c r="AL1678" s="1"/>
  <c r="AA362"/>
  <c r="AL1779" s="1"/>
  <c r="AC362"/>
  <c r="AL1981" s="1"/>
  <c r="B365" i="17"/>
  <c r="L365" s="1"/>
  <c r="A366"/>
  <c r="M365"/>
  <c r="C366"/>
  <c r="N371"/>
  <c r="D337" i="8"/>
  <c r="Y464" i="18" l="1"/>
  <c r="AC464" s="1"/>
  <c r="BK371"/>
  <c r="BD371"/>
  <c r="AW371"/>
  <c r="X372"/>
  <c r="AP371"/>
  <c r="AC363"/>
  <c r="AL1982" s="1"/>
  <c r="Z363"/>
  <c r="AL1679" s="1"/>
  <c r="AA363"/>
  <c r="AL1780" s="1"/>
  <c r="AB463"/>
  <c r="Z463"/>
  <c r="AA463"/>
  <c r="AC463"/>
  <c r="M366" i="17"/>
  <c r="C367"/>
  <c r="B366"/>
  <c r="L366" s="1"/>
  <c r="A367"/>
  <c r="O365"/>
  <c r="P365" s="1"/>
  <c r="Y364" i="18" s="1"/>
  <c r="N372" i="17"/>
  <c r="D338" i="8"/>
  <c r="AA464" i="18" l="1"/>
  <c r="AB464"/>
  <c r="Z464"/>
  <c r="BK372"/>
  <c r="BD372"/>
  <c r="AW372"/>
  <c r="X373"/>
  <c r="AP372"/>
  <c r="O366" i="17"/>
  <c r="P366" s="1"/>
  <c r="Y365" i="18" s="1"/>
  <c r="AB365" s="1"/>
  <c r="AL1883" s="1"/>
  <c r="Y465"/>
  <c r="AB364"/>
  <c r="AL1882" s="1"/>
  <c r="Z364"/>
  <c r="AL1680" s="1"/>
  <c r="AA364"/>
  <c r="AL1781" s="1"/>
  <c r="AC364"/>
  <c r="AL1983" s="1"/>
  <c r="A368" i="17"/>
  <c r="B367"/>
  <c r="L367" s="1"/>
  <c r="M367"/>
  <c r="C368"/>
  <c r="N373"/>
  <c r="D339" i="8"/>
  <c r="Y466" i="18" l="1"/>
  <c r="Z466" s="1"/>
  <c r="BD373"/>
  <c r="BK373"/>
  <c r="AW373"/>
  <c r="X374"/>
  <c r="AP373"/>
  <c r="AA365"/>
  <c r="AL1782" s="1"/>
  <c r="AC365"/>
  <c r="AL1984" s="1"/>
  <c r="Z365"/>
  <c r="O367" i="17"/>
  <c r="P367" s="1"/>
  <c r="Y366" i="18" s="1"/>
  <c r="Y467" s="1"/>
  <c r="AC465"/>
  <c r="AA465"/>
  <c r="AB465"/>
  <c r="Z465"/>
  <c r="C369" i="17"/>
  <c r="M368"/>
  <c r="B368"/>
  <c r="L368" s="1"/>
  <c r="A369"/>
  <c r="N374"/>
  <c r="D340" i="8"/>
  <c r="AA466" i="18" l="1"/>
  <c r="AB466"/>
  <c r="AC466"/>
  <c r="AL1681"/>
  <c r="BD374"/>
  <c r="BK374"/>
  <c r="AW374"/>
  <c r="X375"/>
  <c r="AP374"/>
  <c r="AC366"/>
  <c r="AL1985" s="1"/>
  <c r="AA366"/>
  <c r="AL1783" s="1"/>
  <c r="AB366"/>
  <c r="AL1884" s="1"/>
  <c r="Z366"/>
  <c r="AL1682" s="1"/>
  <c r="O368" i="17"/>
  <c r="P368" s="1"/>
  <c r="Y367" i="18" s="1"/>
  <c r="Y468" s="1"/>
  <c r="AC467"/>
  <c r="AA467"/>
  <c r="AB467"/>
  <c r="Z467"/>
  <c r="A370" i="17"/>
  <c r="B369"/>
  <c r="L369" s="1"/>
  <c r="M369"/>
  <c r="C370"/>
  <c r="N375"/>
  <c r="D341" i="8"/>
  <c r="BK375" i="18" l="1"/>
  <c r="AW375"/>
  <c r="BD375"/>
  <c r="X376"/>
  <c r="AP375"/>
  <c r="AA367"/>
  <c r="AL1784" s="1"/>
  <c r="AC367"/>
  <c r="AL1986" s="1"/>
  <c r="AB367"/>
  <c r="AL1885" s="1"/>
  <c r="O369" i="17"/>
  <c r="P369" s="1"/>
  <c r="Y368" i="18" s="1"/>
  <c r="AB368" s="1"/>
  <c r="AL1886" s="1"/>
  <c r="Z367"/>
  <c r="AC468"/>
  <c r="AA468"/>
  <c r="AB468"/>
  <c r="Z468"/>
  <c r="C371" i="17"/>
  <c r="M370"/>
  <c r="B370"/>
  <c r="L370" s="1"/>
  <c r="A371"/>
  <c r="N376"/>
  <c r="D342" i="8"/>
  <c r="AL1683" i="18" l="1"/>
  <c r="BK376"/>
  <c r="AW376"/>
  <c r="BD376"/>
  <c r="X377"/>
  <c r="AP376"/>
  <c r="Y469"/>
  <c r="AA469" s="1"/>
  <c r="AA368"/>
  <c r="AL1785" s="1"/>
  <c r="AC368"/>
  <c r="AL1987" s="1"/>
  <c r="Z368"/>
  <c r="AL1684" s="1"/>
  <c r="A372" i="17"/>
  <c r="B371"/>
  <c r="L371" s="1"/>
  <c r="O370"/>
  <c r="P370" s="1"/>
  <c r="Y369" i="18" s="1"/>
  <c r="M371" i="17"/>
  <c r="C372"/>
  <c r="N377"/>
  <c r="D343" i="8"/>
  <c r="AC469" i="18" l="1"/>
  <c r="BK377"/>
  <c r="BD377"/>
  <c r="AW377"/>
  <c r="X378"/>
  <c r="AP377"/>
  <c r="AB469"/>
  <c r="Z469"/>
  <c r="O371" i="17"/>
  <c r="P371" s="1"/>
  <c r="Y370" i="18" s="1"/>
  <c r="Y471" s="1"/>
  <c r="Y470"/>
  <c r="AB369"/>
  <c r="AL1887" s="1"/>
  <c r="Z369"/>
  <c r="AL1685" s="1"/>
  <c r="AA369"/>
  <c r="AL1786" s="1"/>
  <c r="AC369"/>
  <c r="AL1988" s="1"/>
  <c r="C373" i="17"/>
  <c r="M372"/>
  <c r="B372"/>
  <c r="L372" s="1"/>
  <c r="A373"/>
  <c r="N378"/>
  <c r="D344" i="8"/>
  <c r="BK378" i="18" l="1"/>
  <c r="BD378"/>
  <c r="AW378"/>
  <c r="X379"/>
  <c r="AP378"/>
  <c r="AC370"/>
  <c r="AL1989" s="1"/>
  <c r="AA370"/>
  <c r="AL1787" s="1"/>
  <c r="AB370"/>
  <c r="AL1888" s="1"/>
  <c r="Z370"/>
  <c r="AL1686" s="1"/>
  <c r="AC470"/>
  <c r="AA470"/>
  <c r="AB470"/>
  <c r="Z470"/>
  <c r="AC471"/>
  <c r="AA471"/>
  <c r="AB471"/>
  <c r="Z471"/>
  <c r="B373" i="17"/>
  <c r="L373" s="1"/>
  <c r="A374"/>
  <c r="O372"/>
  <c r="P372" s="1"/>
  <c r="Y371" i="18" s="1"/>
  <c r="M373" i="17"/>
  <c r="C374"/>
  <c r="N379"/>
  <c r="D345" i="8"/>
  <c r="BK379" i="18" l="1"/>
  <c r="BD379"/>
  <c r="AW379"/>
  <c r="X380"/>
  <c r="AP379"/>
  <c r="Y472"/>
  <c r="AB371"/>
  <c r="AL1889" s="1"/>
  <c r="Z371"/>
  <c r="AL1687" s="1"/>
  <c r="AA371"/>
  <c r="AL1788" s="1"/>
  <c r="AC371"/>
  <c r="AL1990" s="1"/>
  <c r="A375" i="17"/>
  <c r="B374"/>
  <c r="L374" s="1"/>
  <c r="M374"/>
  <c r="C375"/>
  <c r="O373"/>
  <c r="P373" s="1"/>
  <c r="Y372" i="18" s="1"/>
  <c r="N380" i="17"/>
  <c r="D346" i="8"/>
  <c r="BK380" i="18" l="1"/>
  <c r="BD380"/>
  <c r="AW380"/>
  <c r="X381"/>
  <c r="AP380"/>
  <c r="O374" i="17"/>
  <c r="P374" s="1"/>
  <c r="Y373" i="18" s="1"/>
  <c r="AB373" s="1"/>
  <c r="AL1891" s="1"/>
  <c r="Y473"/>
  <c r="AB372"/>
  <c r="AL1890" s="1"/>
  <c r="Z372"/>
  <c r="AL1688" s="1"/>
  <c r="AA372"/>
  <c r="AL1789" s="1"/>
  <c r="AC372"/>
  <c r="AL1991" s="1"/>
  <c r="AC472"/>
  <c r="AA472"/>
  <c r="AB472"/>
  <c r="Z472"/>
  <c r="C376" i="17"/>
  <c r="M375"/>
  <c r="B375"/>
  <c r="L375" s="1"/>
  <c r="A376"/>
  <c r="N381"/>
  <c r="D347" i="8"/>
  <c r="Y474" i="18" l="1"/>
  <c r="AC474" s="1"/>
  <c r="BD381"/>
  <c r="BK381"/>
  <c r="AW381"/>
  <c r="X382"/>
  <c r="AP381"/>
  <c r="AA373"/>
  <c r="AL1790" s="1"/>
  <c r="AC373"/>
  <c r="AL1992" s="1"/>
  <c r="Z373"/>
  <c r="AL1689" s="1"/>
  <c r="O375" i="17"/>
  <c r="P375" s="1"/>
  <c r="Y374" i="18" s="1"/>
  <c r="Y475" s="1"/>
  <c r="AC473"/>
  <c r="AA473"/>
  <c r="AB473"/>
  <c r="Z473"/>
  <c r="A377" i="17"/>
  <c r="B376"/>
  <c r="L376" s="1"/>
  <c r="M376"/>
  <c r="C377"/>
  <c r="N382"/>
  <c r="D348" i="8"/>
  <c r="Z474" i="18" l="1"/>
  <c r="AB474"/>
  <c r="AA474"/>
  <c r="BD382"/>
  <c r="BK382"/>
  <c r="AW382"/>
  <c r="X383"/>
  <c r="AP382"/>
  <c r="AC374"/>
  <c r="AL1993" s="1"/>
  <c r="Z374"/>
  <c r="AL1690" s="1"/>
  <c r="AA374"/>
  <c r="AL1791" s="1"/>
  <c r="AB374"/>
  <c r="AL1892" s="1"/>
  <c r="O376" i="17"/>
  <c r="P376" s="1"/>
  <c r="Y375" i="18" s="1"/>
  <c r="Y476" s="1"/>
  <c r="AC475"/>
  <c r="AA475"/>
  <c r="AB475"/>
  <c r="Z475"/>
  <c r="C378" i="17"/>
  <c r="M377"/>
  <c r="A378"/>
  <c r="B377"/>
  <c r="L377" s="1"/>
  <c r="N383"/>
  <c r="D349" i="8"/>
  <c r="BK383" i="18" l="1"/>
  <c r="AW383"/>
  <c r="BD383"/>
  <c r="X384"/>
  <c r="AP383"/>
  <c r="AC375"/>
  <c r="AL1994" s="1"/>
  <c r="Z375"/>
  <c r="AA375"/>
  <c r="AL1792" s="1"/>
  <c r="AB375"/>
  <c r="AL1893" s="1"/>
  <c r="O377" i="17"/>
  <c r="P377" s="1"/>
  <c r="Y376" i="18" s="1"/>
  <c r="Y477" s="1"/>
  <c r="AC476"/>
  <c r="AA476"/>
  <c r="AB476"/>
  <c r="Z476"/>
  <c r="A379" i="17"/>
  <c r="B378"/>
  <c r="L378" s="1"/>
  <c r="C379"/>
  <c r="M378"/>
  <c r="N384"/>
  <c r="D350" i="8"/>
  <c r="AL1691" i="18" l="1"/>
  <c r="BK384"/>
  <c r="AW384"/>
  <c r="BD384"/>
  <c r="X385"/>
  <c r="AP384"/>
  <c r="AA376"/>
  <c r="AL1793" s="1"/>
  <c r="AB376"/>
  <c r="AL1894" s="1"/>
  <c r="AC376"/>
  <c r="AL1995" s="1"/>
  <c r="Z376"/>
  <c r="AL1692" s="1"/>
  <c r="AC477"/>
  <c r="AA477"/>
  <c r="AB477"/>
  <c r="Z477"/>
  <c r="C380" i="17"/>
  <c r="M379"/>
  <c r="B379"/>
  <c r="L379" s="1"/>
  <c r="A380"/>
  <c r="O378"/>
  <c r="P378" s="1"/>
  <c r="Y377" i="18" s="1"/>
  <c r="N385" i="17"/>
  <c r="D351" i="8"/>
  <c r="BK385" i="18" l="1"/>
  <c r="BD385"/>
  <c r="AW385"/>
  <c r="X386"/>
  <c r="AP385"/>
  <c r="Y478"/>
  <c r="AB377"/>
  <c r="AL1895" s="1"/>
  <c r="Z377"/>
  <c r="AL1693" s="1"/>
  <c r="AA377"/>
  <c r="AL1794" s="1"/>
  <c r="AC377"/>
  <c r="AL1996" s="1"/>
  <c r="B380" i="17"/>
  <c r="L380" s="1"/>
  <c r="A381"/>
  <c r="O379"/>
  <c r="P379" s="1"/>
  <c r="Y378" i="18" s="1"/>
  <c r="M380" i="17"/>
  <c r="C381"/>
  <c r="N386"/>
  <c r="D352" i="8"/>
  <c r="BD386" i="18" l="1"/>
  <c r="BK386"/>
  <c r="AW386"/>
  <c r="X387"/>
  <c r="AP386"/>
  <c r="Y479"/>
  <c r="AB378"/>
  <c r="AL1896" s="1"/>
  <c r="Z378"/>
  <c r="AL1694" s="1"/>
  <c r="AA378"/>
  <c r="AL1795" s="1"/>
  <c r="AC378"/>
  <c r="AL1997" s="1"/>
  <c r="AC478"/>
  <c r="AA478"/>
  <c r="AB478"/>
  <c r="Z478"/>
  <c r="A382" i="17"/>
  <c r="B381"/>
  <c r="L381" s="1"/>
  <c r="M381"/>
  <c r="C382"/>
  <c r="O380"/>
  <c r="P380" s="1"/>
  <c r="Y379" i="18" s="1"/>
  <c r="N387" i="17"/>
  <c r="D353" i="8"/>
  <c r="BK387" i="18" l="1"/>
  <c r="BD387"/>
  <c r="AW387"/>
  <c r="X388"/>
  <c r="AP387"/>
  <c r="O381" i="17"/>
  <c r="P381" s="1"/>
  <c r="Y380" i="18" s="1"/>
  <c r="AB380" s="1"/>
  <c r="AL1898" s="1"/>
  <c r="Y480"/>
  <c r="AB379"/>
  <c r="AL1897" s="1"/>
  <c r="Z379"/>
  <c r="AL1695" s="1"/>
  <c r="AA379"/>
  <c r="AL1796" s="1"/>
  <c r="AC379"/>
  <c r="AL1998" s="1"/>
  <c r="AC479"/>
  <c r="AA479"/>
  <c r="AB479"/>
  <c r="Z479"/>
  <c r="C383" i="17"/>
  <c r="M382"/>
  <c r="A383"/>
  <c r="B382"/>
  <c r="L382" s="1"/>
  <c r="N388"/>
  <c r="D354" i="8"/>
  <c r="Y481" i="18" l="1"/>
  <c r="AC481" s="1"/>
  <c r="BK388"/>
  <c r="BD388"/>
  <c r="AW388"/>
  <c r="X389"/>
  <c r="AP388"/>
  <c r="AC380"/>
  <c r="AL1999" s="1"/>
  <c r="Z380"/>
  <c r="AA380"/>
  <c r="AL1797" s="1"/>
  <c r="AC480"/>
  <c r="AA480"/>
  <c r="AB480"/>
  <c r="Z480"/>
  <c r="O382" i="17"/>
  <c r="P382" s="1"/>
  <c r="Y381" i="18" s="1"/>
  <c r="A384" i="17"/>
  <c r="B383"/>
  <c r="L383" s="1"/>
  <c r="C384"/>
  <c r="M383"/>
  <c r="N389"/>
  <c r="D355" i="8"/>
  <c r="Z481" i="18" l="1"/>
  <c r="AB481"/>
  <c r="AA481"/>
  <c r="AL1696"/>
  <c r="BD389"/>
  <c r="BK389"/>
  <c r="AW389"/>
  <c r="X390"/>
  <c r="AP389"/>
  <c r="Y482"/>
  <c r="AB381"/>
  <c r="AL1899" s="1"/>
  <c r="Z381"/>
  <c r="AL1697" s="1"/>
  <c r="AA381"/>
  <c r="AL1798" s="1"/>
  <c r="AC381"/>
  <c r="AL2000" s="1"/>
  <c r="C385" i="17"/>
  <c r="M384"/>
  <c r="A385"/>
  <c r="B384"/>
  <c r="L384" s="1"/>
  <c r="O383"/>
  <c r="P383" s="1"/>
  <c r="Y382" i="18" s="1"/>
  <c r="N390" i="17"/>
  <c r="D356" i="8"/>
  <c r="O384" i="17" l="1"/>
  <c r="P384" s="1"/>
  <c r="Y383" i="18" s="1"/>
  <c r="Y484" s="1"/>
  <c r="BD390"/>
  <c r="BK390"/>
  <c r="AW390"/>
  <c r="X391"/>
  <c r="AP390"/>
  <c r="Y483"/>
  <c r="AB382"/>
  <c r="AL1900" s="1"/>
  <c r="Z382"/>
  <c r="AL1698" s="1"/>
  <c r="AA382"/>
  <c r="AL1799" s="1"/>
  <c r="AC382"/>
  <c r="AL2001" s="1"/>
  <c r="AC482"/>
  <c r="AA482"/>
  <c r="AB482"/>
  <c r="Z482"/>
  <c r="B385" i="17"/>
  <c r="L385" s="1"/>
  <c r="A386"/>
  <c r="C386"/>
  <c r="M385"/>
  <c r="N391"/>
  <c r="D357" i="8"/>
  <c r="AC383" i="18" l="1"/>
  <c r="AL2002" s="1"/>
  <c r="AA383"/>
  <c r="AL1800" s="1"/>
  <c r="Z383"/>
  <c r="AL1699" s="1"/>
  <c r="AB383"/>
  <c r="AL1901" s="1"/>
  <c r="BK391"/>
  <c r="AW391"/>
  <c r="BD391"/>
  <c r="X392"/>
  <c r="AP391"/>
  <c r="O385" i="17"/>
  <c r="P385" s="1"/>
  <c r="Y384" i="18" s="1"/>
  <c r="Y485" s="1"/>
  <c r="AC484"/>
  <c r="AA484"/>
  <c r="AB484"/>
  <c r="Z484"/>
  <c r="AC483"/>
  <c r="AA483"/>
  <c r="AB483"/>
  <c r="Z483"/>
  <c r="M386" i="17"/>
  <c r="C387"/>
  <c r="A387"/>
  <c r="B386"/>
  <c r="L386" s="1"/>
  <c r="N392"/>
  <c r="D358" i="8"/>
  <c r="BK392" i="18" l="1"/>
  <c r="AW392"/>
  <c r="BD392"/>
  <c r="X393"/>
  <c r="AP392"/>
  <c r="AA384"/>
  <c r="AL1801" s="1"/>
  <c r="AC384"/>
  <c r="AL2003" s="1"/>
  <c r="Z384"/>
  <c r="AB384"/>
  <c r="AL1902" s="1"/>
  <c r="O386" i="17"/>
  <c r="P386" s="1"/>
  <c r="Y385" i="18" s="1"/>
  <c r="Y486" s="1"/>
  <c r="AC485"/>
  <c r="AA485"/>
  <c r="AB485"/>
  <c r="Z485"/>
  <c r="C388" i="17"/>
  <c r="M387"/>
  <c r="A388"/>
  <c r="B387"/>
  <c r="L387" s="1"/>
  <c r="N393"/>
  <c r="D359" i="8"/>
  <c r="AL1700" i="18" l="1"/>
  <c r="BK393"/>
  <c r="BD393"/>
  <c r="AW393"/>
  <c r="X394"/>
  <c r="AP393"/>
  <c r="AC385"/>
  <c r="AL2004" s="1"/>
  <c r="Z385"/>
  <c r="AL1701" s="1"/>
  <c r="AA385"/>
  <c r="AL1802" s="1"/>
  <c r="AB385"/>
  <c r="AL1903" s="1"/>
  <c r="O387" i="17"/>
  <c r="P387" s="1"/>
  <c r="Y386" i="18" s="1"/>
  <c r="Y487" s="1"/>
  <c r="AC486"/>
  <c r="AA486"/>
  <c r="AB486"/>
  <c r="Z486"/>
  <c r="A389" i="17"/>
  <c r="B388"/>
  <c r="L388" s="1"/>
  <c r="C389"/>
  <c r="M388"/>
  <c r="N394"/>
  <c r="D360" i="8"/>
  <c r="BK394" i="18" l="1"/>
  <c r="BD394"/>
  <c r="AW394"/>
  <c r="X395"/>
  <c r="AP394"/>
  <c r="AA386"/>
  <c r="AL1803" s="1"/>
  <c r="AB386"/>
  <c r="AL1904" s="1"/>
  <c r="O388" i="17"/>
  <c r="P388" s="1"/>
  <c r="Y387" i="18" s="1"/>
  <c r="AC386"/>
  <c r="AL2005" s="1"/>
  <c r="Z386"/>
  <c r="AC487"/>
  <c r="AA487"/>
  <c r="AB487"/>
  <c r="Z487"/>
  <c r="C390" i="17"/>
  <c r="M389"/>
  <c r="B389"/>
  <c r="L389" s="1"/>
  <c r="A390"/>
  <c r="N395"/>
  <c r="D361" i="8"/>
  <c r="AL1702" i="18" l="1"/>
  <c r="BK395"/>
  <c r="BD395"/>
  <c r="AW395"/>
  <c r="X396"/>
  <c r="AP395"/>
  <c r="Z387"/>
  <c r="AL1703" s="1"/>
  <c r="AC387"/>
  <c r="AL2006" s="1"/>
  <c r="Y488"/>
  <c r="AC488" s="1"/>
  <c r="AA387"/>
  <c r="AL1804" s="1"/>
  <c r="AB387"/>
  <c r="AL1905" s="1"/>
  <c r="B390" i="17"/>
  <c r="L390" s="1"/>
  <c r="A391"/>
  <c r="O389"/>
  <c r="P389" s="1"/>
  <c r="Y388" i="18" s="1"/>
  <c r="M390" i="17"/>
  <c r="C391"/>
  <c r="N396"/>
  <c r="D362" i="8"/>
  <c r="BD396" i="18" l="1"/>
  <c r="AW396"/>
  <c r="BK396"/>
  <c r="X397"/>
  <c r="AP396"/>
  <c r="Z488"/>
  <c r="AA488"/>
  <c r="AB488"/>
  <c r="Y489"/>
  <c r="AB388"/>
  <c r="AL1906" s="1"/>
  <c r="Z388"/>
  <c r="AL1704" s="1"/>
  <c r="AA388"/>
  <c r="AL1805" s="1"/>
  <c r="AC388"/>
  <c r="AL2007" s="1"/>
  <c r="B391" i="17"/>
  <c r="L391" s="1"/>
  <c r="A392"/>
  <c r="M391"/>
  <c r="C392"/>
  <c r="O390"/>
  <c r="P390" s="1"/>
  <c r="Y389" i="18" s="1"/>
  <c r="N397" i="17"/>
  <c r="D363" i="8"/>
  <c r="BD397" i="18" l="1"/>
  <c r="BK397"/>
  <c r="AW397"/>
  <c r="X398"/>
  <c r="AP397"/>
  <c r="Y490"/>
  <c r="AB389"/>
  <c r="AL1907" s="1"/>
  <c r="Z389"/>
  <c r="AL1705" s="1"/>
  <c r="AA389"/>
  <c r="AL1806" s="1"/>
  <c r="AC389"/>
  <c r="AL2008" s="1"/>
  <c r="AC489"/>
  <c r="AA489"/>
  <c r="AB489"/>
  <c r="Z489"/>
  <c r="M392" i="17"/>
  <c r="C393"/>
  <c r="B392"/>
  <c r="L392" s="1"/>
  <c r="A393"/>
  <c r="O391"/>
  <c r="P391" s="1"/>
  <c r="Y390" i="18" s="1"/>
  <c r="N398" i="17"/>
  <c r="D364" i="8"/>
  <c r="BD398" i="18" l="1"/>
  <c r="BK398"/>
  <c r="AW398"/>
  <c r="X399"/>
  <c r="AP398"/>
  <c r="O392" i="17"/>
  <c r="P392" s="1"/>
  <c r="Y391" i="18" s="1"/>
  <c r="Y492" s="1"/>
  <c r="Y491"/>
  <c r="AB390"/>
  <c r="AL1908" s="1"/>
  <c r="Z390"/>
  <c r="AL1706" s="1"/>
  <c r="AA390"/>
  <c r="AL1807" s="1"/>
  <c r="AC390"/>
  <c r="AL2009" s="1"/>
  <c r="AC490"/>
  <c r="AA490"/>
  <c r="AB490"/>
  <c r="Z490"/>
  <c r="A394" i="17"/>
  <c r="B393"/>
  <c r="L393" s="1"/>
  <c r="M393"/>
  <c r="C394"/>
  <c r="N399"/>
  <c r="D365" i="8"/>
  <c r="BK399" i="18" l="1"/>
  <c r="AW399"/>
  <c r="BD399"/>
  <c r="X400"/>
  <c r="AP399"/>
  <c r="AA391"/>
  <c r="AL1808" s="1"/>
  <c r="AB391"/>
  <c r="AL1909" s="1"/>
  <c r="AC391"/>
  <c r="AL2010" s="1"/>
  <c r="Z391"/>
  <c r="AL1707" s="1"/>
  <c r="O393" i="17"/>
  <c r="P393" s="1"/>
  <c r="Y392" i="18" s="1"/>
  <c r="Y493" s="1"/>
  <c r="AC491"/>
  <c r="AA491"/>
  <c r="AB491"/>
  <c r="Z491"/>
  <c r="AC492"/>
  <c r="AA492"/>
  <c r="AB492"/>
  <c r="Z492"/>
  <c r="C395" i="17"/>
  <c r="M394"/>
  <c r="B394"/>
  <c r="L394" s="1"/>
  <c r="A395"/>
  <c r="N400"/>
  <c r="D366" i="8"/>
  <c r="BK400" i="18" l="1"/>
  <c r="AW400"/>
  <c r="BD400"/>
  <c r="X401"/>
  <c r="AP400"/>
  <c r="AA392"/>
  <c r="AL1809" s="1"/>
  <c r="AB392"/>
  <c r="AL1910" s="1"/>
  <c r="AC392"/>
  <c r="AL2011" s="1"/>
  <c r="Z392"/>
  <c r="AL1708" s="1"/>
  <c r="O394" i="17"/>
  <c r="P394" s="1"/>
  <c r="Y393" i="18" s="1"/>
  <c r="AC493"/>
  <c r="AA493"/>
  <c r="AB493"/>
  <c r="Z493"/>
  <c r="A396" i="17"/>
  <c r="B395"/>
  <c r="L395" s="1"/>
  <c r="M395"/>
  <c r="C396"/>
  <c r="N401"/>
  <c r="D367" i="8"/>
  <c r="BK401" i="18" l="1"/>
  <c r="BD401"/>
  <c r="AW401"/>
  <c r="X402"/>
  <c r="AP401"/>
  <c r="Y494"/>
  <c r="AC494" s="1"/>
  <c r="AA393"/>
  <c r="AL1810" s="1"/>
  <c r="AC393"/>
  <c r="AL2012" s="1"/>
  <c r="AB393"/>
  <c r="AL1911" s="1"/>
  <c r="O395" i="17"/>
  <c r="P395" s="1"/>
  <c r="Y394" i="18" s="1"/>
  <c r="AB394" s="1"/>
  <c r="AL1912" s="1"/>
  <c r="Z393"/>
  <c r="C397" i="17"/>
  <c r="M396"/>
  <c r="B396"/>
  <c r="L396" s="1"/>
  <c r="A397"/>
  <c r="N402"/>
  <c r="D368" i="8"/>
  <c r="AA494" i="18" l="1"/>
  <c r="AL1709"/>
  <c r="Z494"/>
  <c r="BD402"/>
  <c r="BK402"/>
  <c r="AW402"/>
  <c r="X403"/>
  <c r="AP402"/>
  <c r="AB494"/>
  <c r="Y495"/>
  <c r="AA495" s="1"/>
  <c r="AA394"/>
  <c r="AL1811" s="1"/>
  <c r="AC394"/>
  <c r="AL2013" s="1"/>
  <c r="Z394"/>
  <c r="AL1710" s="1"/>
  <c r="B397" i="17"/>
  <c r="L397" s="1"/>
  <c r="A398"/>
  <c r="O396"/>
  <c r="P396" s="1"/>
  <c r="Y395" i="18" s="1"/>
  <c r="M397" i="17"/>
  <c r="C398"/>
  <c r="N403"/>
  <c r="D369" i="8"/>
  <c r="AC495" i="18" l="1"/>
  <c r="BK403"/>
  <c r="BD403"/>
  <c r="AW403"/>
  <c r="AB495"/>
  <c r="X404"/>
  <c r="AP403"/>
  <c r="Z495"/>
  <c r="Y496"/>
  <c r="AB395"/>
  <c r="AL1913" s="1"/>
  <c r="Z395"/>
  <c r="AL1711" s="1"/>
  <c r="AA395"/>
  <c r="AL1812" s="1"/>
  <c r="AC395"/>
  <c r="AL2014" s="1"/>
  <c r="B398" i="17"/>
  <c r="L398" s="1"/>
  <c r="A399"/>
  <c r="M398"/>
  <c r="C399"/>
  <c r="O397"/>
  <c r="P397" s="1"/>
  <c r="Y396" i="18" s="1"/>
  <c r="N404" i="17"/>
  <c r="D370" i="8"/>
  <c r="BK404" i="18" l="1"/>
  <c r="BD404"/>
  <c r="AW404"/>
  <c r="X405"/>
  <c r="AP404"/>
  <c r="Y497"/>
  <c r="AB396"/>
  <c r="AL1914" s="1"/>
  <c r="Z396"/>
  <c r="AL1712" s="1"/>
  <c r="AA396"/>
  <c r="AL1813" s="1"/>
  <c r="AC396"/>
  <c r="AL2015" s="1"/>
  <c r="AC496"/>
  <c r="AA496"/>
  <c r="AB496"/>
  <c r="Z496"/>
  <c r="M399" i="17"/>
  <c r="C400"/>
  <c r="B399"/>
  <c r="L399" s="1"/>
  <c r="A400"/>
  <c r="O398"/>
  <c r="P398" s="1"/>
  <c r="Y397" i="18" s="1"/>
  <c r="N405" i="17"/>
  <c r="D371" i="8"/>
  <c r="BD405" i="18" l="1"/>
  <c r="AW405"/>
  <c r="BK405"/>
  <c r="X407"/>
  <c r="X408" s="1"/>
  <c r="X409" s="1"/>
  <c r="X410" s="1"/>
  <c r="X411" s="1"/>
  <c r="X412" s="1"/>
  <c r="X413" s="1"/>
  <c r="X414" s="1"/>
  <c r="X415" s="1"/>
  <c r="X416" s="1"/>
  <c r="X417" s="1"/>
  <c r="X418" s="1"/>
  <c r="X419" s="1"/>
  <c r="X420" s="1"/>
  <c r="X421" s="1"/>
  <c r="X422" s="1"/>
  <c r="X423" s="1"/>
  <c r="X424" s="1"/>
  <c r="X425" s="1"/>
  <c r="X426" s="1"/>
  <c r="X427" s="1"/>
  <c r="X428" s="1"/>
  <c r="X429" s="1"/>
  <c r="X430" s="1"/>
  <c r="X431" s="1"/>
  <c r="X432" s="1"/>
  <c r="X433" s="1"/>
  <c r="X434" s="1"/>
  <c r="X435" s="1"/>
  <c r="X436" s="1"/>
  <c r="X437" s="1"/>
  <c r="X438" s="1"/>
  <c r="X439" s="1"/>
  <c r="X440" s="1"/>
  <c r="X441" s="1"/>
  <c r="X442" s="1"/>
  <c r="X443" s="1"/>
  <c r="X444" s="1"/>
  <c r="X445" s="1"/>
  <c r="X446" s="1"/>
  <c r="X447" s="1"/>
  <c r="X448" s="1"/>
  <c r="X449" s="1"/>
  <c r="X450" s="1"/>
  <c r="X451" s="1"/>
  <c r="X452" s="1"/>
  <c r="X453" s="1"/>
  <c r="X454" s="1"/>
  <c r="X455" s="1"/>
  <c r="X456" s="1"/>
  <c r="X457" s="1"/>
  <c r="X458" s="1"/>
  <c r="X459" s="1"/>
  <c r="X460" s="1"/>
  <c r="X461" s="1"/>
  <c r="X462" s="1"/>
  <c r="X463" s="1"/>
  <c r="X464" s="1"/>
  <c r="X465" s="1"/>
  <c r="X466" s="1"/>
  <c r="X467" s="1"/>
  <c r="X468" s="1"/>
  <c r="X469" s="1"/>
  <c r="X470" s="1"/>
  <c r="X471" s="1"/>
  <c r="X472" s="1"/>
  <c r="X473" s="1"/>
  <c r="X474" s="1"/>
  <c r="X475" s="1"/>
  <c r="X476" s="1"/>
  <c r="X477" s="1"/>
  <c r="X478" s="1"/>
  <c r="X479" s="1"/>
  <c r="X480" s="1"/>
  <c r="X481" s="1"/>
  <c r="X482" s="1"/>
  <c r="X483" s="1"/>
  <c r="X484" s="1"/>
  <c r="X485" s="1"/>
  <c r="X486" s="1"/>
  <c r="X487" s="1"/>
  <c r="X488" s="1"/>
  <c r="X489" s="1"/>
  <c r="X490" s="1"/>
  <c r="X491" s="1"/>
  <c r="X492" s="1"/>
  <c r="X493" s="1"/>
  <c r="X494" s="1"/>
  <c r="X495" s="1"/>
  <c r="X496" s="1"/>
  <c r="X497" s="1"/>
  <c r="X498" s="1"/>
  <c r="X499" s="1"/>
  <c r="X500" s="1"/>
  <c r="X501" s="1"/>
  <c r="X502" s="1"/>
  <c r="X503" s="1"/>
  <c r="X504" s="1"/>
  <c r="X505" s="1"/>
  <c r="X506" s="1"/>
  <c r="AP405"/>
  <c r="O399" i="17"/>
  <c r="P399" s="1"/>
  <c r="Y398" i="18" s="1"/>
  <c r="AB398" s="1"/>
  <c r="AL1916" s="1"/>
  <c r="Y498"/>
  <c r="AB397"/>
  <c r="AL1915" s="1"/>
  <c r="Z397"/>
  <c r="AL1713" s="1"/>
  <c r="AA397"/>
  <c r="AL1814" s="1"/>
  <c r="AC397"/>
  <c r="AL2016" s="1"/>
  <c r="AC497"/>
  <c r="AA497"/>
  <c r="AB497"/>
  <c r="Z497"/>
  <c r="A401" i="17"/>
  <c r="B400"/>
  <c r="L400" s="1"/>
  <c r="M400"/>
  <c r="C401"/>
  <c r="N406"/>
  <c r="D372" i="8"/>
  <c r="Y499" i="18" l="1"/>
  <c r="AC499" s="1"/>
  <c r="AA398"/>
  <c r="AL1815" s="1"/>
  <c r="AC398"/>
  <c r="AL2017" s="1"/>
  <c r="Z398"/>
  <c r="AL1714" s="1"/>
  <c r="O400" i="17"/>
  <c r="P400" s="1"/>
  <c r="Y399" i="18" s="1"/>
  <c r="Y500" s="1"/>
  <c r="AC498"/>
  <c r="AA498"/>
  <c r="AB498"/>
  <c r="Z498"/>
  <c r="C402" i="17"/>
  <c r="M401"/>
  <c r="A402"/>
  <c r="B401"/>
  <c r="L401" s="1"/>
  <c r="D373" i="8"/>
  <c r="O401" i="17" l="1"/>
  <c r="P401" s="1"/>
  <c r="Y400" i="18" s="1"/>
  <c r="AB400" s="1"/>
  <c r="AL1918" s="1"/>
  <c r="Z499"/>
  <c r="AA499"/>
  <c r="AB499"/>
  <c r="AA399"/>
  <c r="AL1816" s="1"/>
  <c r="AC399"/>
  <c r="AL2018" s="1"/>
  <c r="AB399"/>
  <c r="AL1917" s="1"/>
  <c r="Z399"/>
  <c r="AL1715" s="1"/>
  <c r="AC500"/>
  <c r="AA500"/>
  <c r="AB500"/>
  <c r="Z500"/>
  <c r="A403" i="17"/>
  <c r="B402"/>
  <c r="L402" s="1"/>
  <c r="C403"/>
  <c r="M402"/>
  <c r="D374" i="8"/>
  <c r="Y501" i="18" l="1"/>
  <c r="AB501" s="1"/>
  <c r="AC400"/>
  <c r="AL2019" s="1"/>
  <c r="AA400"/>
  <c r="AL1817" s="1"/>
  <c r="Z400"/>
  <c r="AL1716" s="1"/>
  <c r="O402" i="17"/>
  <c r="P402" s="1"/>
  <c r="Y401" i="18" s="1"/>
  <c r="C404" i="17"/>
  <c r="M403"/>
  <c r="B403"/>
  <c r="L403" s="1"/>
  <c r="A404"/>
  <c r="D375" i="8"/>
  <c r="Z501" i="18" l="1"/>
  <c r="AC501"/>
  <c r="AA501"/>
  <c r="O403" i="17"/>
  <c r="P403" s="1"/>
  <c r="Y402" i="18" s="1"/>
  <c r="Y503" s="1"/>
  <c r="Y502"/>
  <c r="AB401"/>
  <c r="AL1919" s="1"/>
  <c r="Z401"/>
  <c r="AL1717" s="1"/>
  <c r="AA401"/>
  <c r="AL1818" s="1"/>
  <c r="AC401"/>
  <c r="AL2020" s="1"/>
  <c r="M404" i="17"/>
  <c r="C405"/>
  <c r="A405"/>
  <c r="B404"/>
  <c r="L404" s="1"/>
  <c r="D376" i="8"/>
  <c r="AA402" i="18" l="1"/>
  <c r="AL1819" s="1"/>
  <c r="AC402"/>
  <c r="AL2021" s="1"/>
  <c r="Z402"/>
  <c r="AL1718" s="1"/>
  <c r="AB402"/>
  <c r="AL1920" s="1"/>
  <c r="O404" i="17"/>
  <c r="P404" s="1"/>
  <c r="Y403" i="18" s="1"/>
  <c r="AC502"/>
  <c r="AA502"/>
  <c r="AB502"/>
  <c r="Z502"/>
  <c r="AC503"/>
  <c r="AA503"/>
  <c r="AB503"/>
  <c r="Z503"/>
  <c r="C406" i="17"/>
  <c r="M406" s="1"/>
  <c r="M405"/>
  <c r="A406"/>
  <c r="B406" s="1"/>
  <c r="L406" s="1"/>
  <c r="B405"/>
  <c r="L405" s="1"/>
  <c r="D377" i="8"/>
  <c r="O405" i="17" l="1"/>
  <c r="P405" s="1"/>
  <c r="Y404" i="18" s="1"/>
  <c r="AB404" s="1"/>
  <c r="AL1922" s="1"/>
  <c r="Y504"/>
  <c r="AC504" s="1"/>
  <c r="O406" i="17"/>
  <c r="P406" s="1"/>
  <c r="Y405" i="18" s="1"/>
  <c r="Y506" s="1"/>
  <c r="AA403"/>
  <c r="AL1820" s="1"/>
  <c r="AB403"/>
  <c r="AL1921" s="1"/>
  <c r="AC403"/>
  <c r="AL2022" s="1"/>
  <c r="Z403"/>
  <c r="AL1719" s="1"/>
  <c r="D378" i="8"/>
  <c r="Y505" i="18" l="1"/>
  <c r="AC505" s="1"/>
  <c r="AC404"/>
  <c r="AL2023" s="1"/>
  <c r="AA404"/>
  <c r="AL1821" s="1"/>
  <c r="Z404"/>
  <c r="AL1720" s="1"/>
  <c r="Z504"/>
  <c r="AA504"/>
  <c r="AB504"/>
  <c r="AC405"/>
  <c r="AL2024" s="1"/>
  <c r="Z405"/>
  <c r="AA405"/>
  <c r="AL1822" s="1"/>
  <c r="AB405"/>
  <c r="AL1923" s="1"/>
  <c r="AC506"/>
  <c r="AA506"/>
  <c r="AB506"/>
  <c r="Z506"/>
  <c r="D379" i="8"/>
  <c r="Z505" i="18" l="1"/>
  <c r="AB505"/>
  <c r="AA505"/>
  <c r="AL1721"/>
  <c r="D88" a="1"/>
  <c r="D88" s="1"/>
  <c r="M90" s="1"/>
  <c r="D380" i="8"/>
  <c r="D381" l="1"/>
  <c r="D382" l="1"/>
  <c r="D383" l="1"/>
  <c r="D384" l="1"/>
  <c r="D385" l="1"/>
  <c r="D386" l="1"/>
  <c r="D387" l="1"/>
  <c r="D388" l="1"/>
  <c r="D389" l="1"/>
  <c r="D390" l="1"/>
  <c r="D391" l="1"/>
  <c r="D392" l="1"/>
  <c r="D393" l="1"/>
  <c r="D394" l="1"/>
  <c r="D395" l="1"/>
  <c r="D396" l="1"/>
  <c r="D397" l="1"/>
  <c r="D398" l="1"/>
  <c r="D399" l="1"/>
  <c r="D400" l="1"/>
  <c r="I89" i="10" l="1"/>
  <c r="J89"/>
  <c r="L89"/>
  <c r="G55" i="1"/>
  <c r="K89" i="10"/>
  <c r="H89"/>
  <c r="G58" i="1" l="1"/>
  <c r="G56"/>
  <c r="I100"/>
  <c r="G57" s="1"/>
  <c r="G111" l="1"/>
  <c r="G110"/>
  <c r="G109"/>
  <c r="G112"/>
  <c r="G108"/>
  <c r="H57"/>
  <c r="G53" s="1"/>
  <c r="E61" l="1"/>
  <c r="F61"/>
  <c r="G61"/>
  <c r="C61"/>
  <c r="D61"/>
  <c r="C43"/>
  <c r="E43" s="1"/>
  <c r="H43" s="1"/>
  <c r="C42"/>
  <c r="C44"/>
  <c r="E44" s="1"/>
  <c r="J44" s="1"/>
  <c r="C45"/>
  <c r="E45" s="1"/>
  <c r="J45" s="1"/>
  <c r="G63"/>
  <c r="N11" i="8"/>
  <c r="B4" s="1"/>
  <c r="D69" i="1" l="1"/>
  <c r="J71" s="1"/>
  <c r="G69"/>
  <c r="M71" s="1"/>
  <c r="C69"/>
  <c r="I71" s="1"/>
  <c r="E69"/>
  <c r="K71" s="1"/>
  <c r="F69"/>
  <c r="L71" s="1"/>
  <c r="E42"/>
  <c r="H42" s="1"/>
  <c r="J43"/>
  <c r="H44"/>
  <c r="H45"/>
  <c r="J2" i="8"/>
  <c r="J5" s="1" a="1"/>
  <c r="J5" s="1"/>
  <c r="J42" i="1" l="1"/>
  <c r="J6" i="8" a="1"/>
  <c r="J6" s="1"/>
  <c r="J4" a="1"/>
  <c r="J4" s="1"/>
  <c r="F376" l="1"/>
  <c r="G377" s="1"/>
  <c r="F392"/>
  <c r="G393" s="1"/>
  <c r="F352"/>
  <c r="G353" s="1"/>
  <c r="F315"/>
  <c r="G316" s="1"/>
  <c r="F333"/>
  <c r="G334" s="1"/>
  <c r="F349"/>
  <c r="G350" s="1"/>
  <c r="F375"/>
  <c r="G376" s="1"/>
  <c r="F305"/>
  <c r="G306" s="1"/>
  <c r="F320"/>
  <c r="G321" s="1"/>
  <c r="F336"/>
  <c r="G337" s="1"/>
  <c r="F350"/>
  <c r="G351" s="1"/>
  <c r="F367"/>
  <c r="G368" s="1"/>
  <c r="F374"/>
  <c r="G375" s="1"/>
  <c r="F342"/>
  <c r="G343" s="1"/>
  <c r="F326"/>
  <c r="G327" s="1"/>
  <c r="F380"/>
  <c r="G381" s="1"/>
  <c r="F361"/>
  <c r="G362" s="1"/>
  <c r="F345"/>
  <c r="G346" s="1"/>
  <c r="F318"/>
  <c r="G319" s="1"/>
  <c r="F337"/>
  <c r="G338" s="1"/>
  <c r="F398"/>
  <c r="G399" s="1"/>
  <c r="F330"/>
  <c r="G331" s="1"/>
  <c r="F390"/>
  <c r="G391" s="1"/>
  <c r="F388"/>
  <c r="G389" s="1"/>
  <c r="F389"/>
  <c r="G390" s="1"/>
  <c r="F400"/>
  <c r="F395"/>
  <c r="G396" s="1"/>
  <c r="F304"/>
  <c r="G305" s="1"/>
  <c r="F321"/>
  <c r="G322" s="1"/>
  <c r="F338"/>
  <c r="G339" s="1"/>
  <c r="F354"/>
  <c r="G355" s="1"/>
  <c r="F378"/>
  <c r="G379" s="1"/>
  <c r="F313"/>
  <c r="G314" s="1"/>
  <c r="F325"/>
  <c r="G326" s="1"/>
  <c r="F339"/>
  <c r="G340" s="1"/>
  <c r="F355"/>
  <c r="G356" s="1"/>
  <c r="F366"/>
  <c r="G367" s="1"/>
  <c r="F379"/>
  <c r="G380" s="1"/>
  <c r="F356"/>
  <c r="G357" s="1"/>
  <c r="F341"/>
  <c r="G342" s="1"/>
  <c r="F309"/>
  <c r="G310" s="1"/>
  <c r="F385"/>
  <c r="G386" s="1"/>
  <c r="F360"/>
  <c r="G361" s="1"/>
  <c r="F307"/>
  <c r="G308" s="1"/>
  <c r="F347"/>
  <c r="G348" s="1"/>
  <c r="F393"/>
  <c r="G394" s="1"/>
  <c r="F319"/>
  <c r="G320" s="1"/>
  <c r="F311"/>
  <c r="G312" s="1"/>
  <c r="F399"/>
  <c r="G400" s="1"/>
  <c r="F368"/>
  <c r="G369" s="1"/>
  <c r="F322"/>
  <c r="G323" s="1"/>
  <c r="F377"/>
  <c r="G378" s="1"/>
  <c r="F308"/>
  <c r="G309" s="1"/>
  <c r="F324"/>
  <c r="G325" s="1"/>
  <c r="F340"/>
  <c r="G341" s="1"/>
  <c r="F357"/>
  <c r="G358" s="1"/>
  <c r="F382"/>
  <c r="G383" s="1"/>
  <c r="F314"/>
  <c r="G315" s="1"/>
  <c r="F329"/>
  <c r="G330" s="1"/>
  <c r="F343"/>
  <c r="G344" s="1"/>
  <c r="F359"/>
  <c r="G360" s="1"/>
  <c r="F369"/>
  <c r="G370" s="1"/>
  <c r="F306"/>
  <c r="G307" s="1"/>
  <c r="F381"/>
  <c r="G382" s="1"/>
  <c r="F358"/>
  <c r="G359" s="1"/>
  <c r="F327"/>
  <c r="G328" s="1"/>
  <c r="F317"/>
  <c r="G318" s="1"/>
  <c r="F370"/>
  <c r="G371" s="1"/>
  <c r="F365"/>
  <c r="G366" s="1"/>
  <c r="F334"/>
  <c r="G335" s="1"/>
  <c r="F387"/>
  <c r="G388" s="1"/>
  <c r="F372"/>
  <c r="G373" s="1"/>
  <c r="F363"/>
  <c r="G364" s="1"/>
  <c r="F335"/>
  <c r="G336" s="1"/>
  <c r="F351"/>
  <c r="G352" s="1"/>
  <c r="F397"/>
  <c r="G398" s="1"/>
  <c r="F310"/>
  <c r="G311" s="1"/>
  <c r="F328"/>
  <c r="G329" s="1"/>
  <c r="F346"/>
  <c r="G347" s="1"/>
  <c r="F362"/>
  <c r="G363" s="1"/>
  <c r="F386"/>
  <c r="G387" s="1"/>
  <c r="F316"/>
  <c r="G317" s="1"/>
  <c r="F332"/>
  <c r="G333" s="1"/>
  <c r="F348"/>
  <c r="G349" s="1"/>
  <c r="F364"/>
  <c r="G365" s="1"/>
  <c r="F373"/>
  <c r="G374" s="1"/>
  <c r="F323"/>
  <c r="G324" s="1"/>
  <c r="F312"/>
  <c r="G313" s="1"/>
  <c r="F371"/>
  <c r="G372" s="1"/>
  <c r="F344"/>
  <c r="G345" s="1"/>
  <c r="F331"/>
  <c r="G332" s="1"/>
  <c r="F391"/>
  <c r="G392" s="1"/>
  <c r="F353"/>
  <c r="G354" s="1"/>
  <c r="F383"/>
  <c r="G384" s="1"/>
  <c r="F394"/>
  <c r="G395" s="1"/>
  <c r="F396"/>
  <c r="G397" s="1"/>
  <c r="F384"/>
  <c r="G385" s="1"/>
  <c r="F81"/>
  <c r="F213"/>
  <c r="F275"/>
  <c r="F282"/>
  <c r="F243"/>
  <c r="F297"/>
  <c r="F276"/>
  <c r="F301"/>
  <c r="F245"/>
  <c r="F262"/>
  <c r="F226"/>
  <c r="F240"/>
  <c r="F291"/>
  <c r="F53"/>
  <c r="F195"/>
  <c r="F127"/>
  <c r="F26"/>
  <c r="F122"/>
  <c r="F161"/>
  <c r="F40"/>
  <c r="F66"/>
  <c r="F89"/>
  <c r="F21"/>
  <c r="F119"/>
  <c r="F188"/>
  <c r="F150"/>
  <c r="F34"/>
  <c r="F158"/>
  <c r="F94"/>
  <c r="J9"/>
  <c r="F144"/>
  <c r="F27"/>
  <c r="F139"/>
  <c r="F59"/>
  <c r="F134"/>
  <c r="F91"/>
  <c r="F114"/>
  <c r="F155"/>
  <c r="F73"/>
  <c r="F43"/>
  <c r="F30"/>
  <c r="F185"/>
  <c r="F76"/>
  <c r="F82"/>
  <c r="F175"/>
  <c r="F132"/>
  <c r="F35"/>
  <c r="J7"/>
  <c r="F168"/>
  <c r="F170"/>
  <c r="F62"/>
  <c r="F157"/>
  <c r="F178"/>
  <c r="F298"/>
  <c r="F67"/>
  <c r="F15"/>
  <c r="F270"/>
  <c r="F80"/>
  <c r="F49"/>
  <c r="F55"/>
  <c r="F28"/>
  <c r="F260"/>
  <c r="F160"/>
  <c r="F254"/>
  <c r="F293"/>
  <c r="F4"/>
  <c r="F86"/>
  <c r="F17"/>
  <c r="F118"/>
  <c r="F248"/>
  <c r="F184"/>
  <c r="F74"/>
  <c r="F56"/>
  <c r="F48"/>
  <c r="F8"/>
  <c r="F192"/>
  <c r="F286"/>
  <c r="F271"/>
  <c r="F269"/>
  <c r="F2"/>
  <c r="G3" s="1"/>
  <c r="F230"/>
  <c r="J8"/>
  <c r="F236"/>
  <c r="F25"/>
  <c r="F140"/>
  <c r="F116"/>
  <c r="F149"/>
  <c r="F289"/>
  <c r="F205"/>
  <c r="F147"/>
  <c r="F216"/>
  <c r="F20"/>
  <c r="F277"/>
  <c r="F199"/>
  <c r="F172"/>
  <c r="F100"/>
  <c r="F78"/>
  <c r="F22"/>
  <c r="F138"/>
  <c r="F29"/>
  <c r="F283"/>
  <c r="F179"/>
  <c r="F237"/>
  <c r="F284"/>
  <c r="F189"/>
  <c r="F123"/>
  <c r="F287"/>
  <c r="F220"/>
  <c r="F23"/>
  <c r="F65"/>
  <c r="F290"/>
  <c r="F256"/>
  <c r="F57"/>
  <c r="F71"/>
  <c r="F77"/>
  <c r="F45"/>
  <c r="F131"/>
  <c r="F61"/>
  <c r="F145"/>
  <c r="F3"/>
  <c r="F232"/>
  <c r="F292"/>
  <c r="F223"/>
  <c r="F105"/>
  <c r="F148"/>
  <c r="F242"/>
  <c r="F252"/>
  <c r="F102"/>
  <c r="F225"/>
  <c r="F238"/>
  <c r="F96"/>
  <c r="F36"/>
  <c r="F51"/>
  <c r="F281"/>
  <c r="F32"/>
  <c r="F255"/>
  <c r="F154"/>
  <c r="F84"/>
  <c r="F274"/>
  <c r="F97"/>
  <c r="F108"/>
  <c r="F197"/>
  <c r="F186"/>
  <c r="F92"/>
  <c r="F47"/>
  <c r="F42"/>
  <c r="F265"/>
  <c r="F285"/>
  <c r="F296"/>
  <c r="F212"/>
  <c r="F14"/>
  <c r="F124"/>
  <c r="F218"/>
  <c r="F79"/>
  <c r="F37"/>
  <c r="F44"/>
  <c r="F5"/>
  <c r="F229"/>
  <c r="F182"/>
  <c r="F120"/>
  <c r="F99"/>
  <c r="F273"/>
  <c r="F10"/>
  <c r="F215"/>
  <c r="F9"/>
  <c r="F181"/>
  <c r="F54"/>
  <c r="F247"/>
  <c r="F95"/>
  <c r="F227"/>
  <c r="F235"/>
  <c r="F19"/>
  <c r="F272"/>
  <c r="F24"/>
  <c r="F85"/>
  <c r="F107"/>
  <c r="F162"/>
  <c r="F90"/>
  <c r="F152"/>
  <c r="F64"/>
  <c r="F217"/>
  <c r="F201"/>
  <c r="F209"/>
  <c r="F300"/>
  <c r="F130"/>
  <c r="F299"/>
  <c r="F31"/>
  <c r="F177"/>
  <c r="F194"/>
  <c r="F75"/>
  <c r="F146"/>
  <c r="F233"/>
  <c r="F294"/>
  <c r="F204"/>
  <c r="F136"/>
  <c r="F206"/>
  <c r="F41"/>
  <c r="F221"/>
  <c r="F46"/>
  <c r="F83"/>
  <c r="F251"/>
  <c r="F187"/>
  <c r="F180"/>
  <c r="F267"/>
  <c r="F268"/>
  <c r="F63"/>
  <c r="F295"/>
  <c r="F228"/>
  <c r="F103"/>
  <c r="F280"/>
  <c r="F193"/>
  <c r="F253"/>
  <c r="F104"/>
  <c r="F163"/>
  <c r="F203"/>
  <c r="F159"/>
  <c r="F88"/>
  <c r="F264"/>
  <c r="F278"/>
  <c r="F176"/>
  <c r="F16"/>
  <c r="F303"/>
  <c r="G304" s="1"/>
  <c r="F128"/>
  <c r="F50"/>
  <c r="F246"/>
  <c r="F219"/>
  <c r="F231"/>
  <c r="F214"/>
  <c r="F208"/>
  <c r="F164"/>
  <c r="F156"/>
  <c r="F133"/>
  <c r="F60"/>
  <c r="F196"/>
  <c r="F174"/>
  <c r="F153"/>
  <c r="F109"/>
  <c r="F121"/>
  <c r="F38"/>
  <c r="F68"/>
  <c r="F111"/>
  <c r="F165"/>
  <c r="F129"/>
  <c r="F224"/>
  <c r="F69"/>
  <c r="F125"/>
  <c r="F151"/>
  <c r="F190"/>
  <c r="F263"/>
  <c r="F211"/>
  <c r="F173"/>
  <c r="F198"/>
  <c r="F33"/>
  <c r="F101"/>
  <c r="F70"/>
  <c r="F141"/>
  <c r="F11"/>
  <c r="F171"/>
  <c r="F169"/>
  <c r="F13"/>
  <c r="F135"/>
  <c r="F52"/>
  <c r="F166"/>
  <c r="F142"/>
  <c r="F207"/>
  <c r="F191"/>
  <c r="F115"/>
  <c r="F259"/>
  <c r="F110"/>
  <c r="F234"/>
  <c r="F258"/>
  <c r="F12"/>
  <c r="F183"/>
  <c r="F6"/>
  <c r="F202"/>
  <c r="F239"/>
  <c r="F137"/>
  <c r="F302"/>
  <c r="F117"/>
  <c r="F39"/>
  <c r="F143"/>
  <c r="F288"/>
  <c r="F261"/>
  <c r="F266"/>
  <c r="F167"/>
  <c r="F58"/>
  <c r="F112"/>
  <c r="F106"/>
  <c r="F250"/>
  <c r="F244"/>
  <c r="F210"/>
  <c r="F87"/>
  <c r="F72"/>
  <c r="F222"/>
  <c r="F113"/>
  <c r="F98"/>
  <c r="F93"/>
  <c r="F279"/>
  <c r="F7"/>
  <c r="F18"/>
  <c r="F249"/>
  <c r="F200"/>
  <c r="F241"/>
  <c r="F126"/>
  <c r="F257"/>
  <c r="E383" l="1"/>
  <c r="E347"/>
  <c r="E365"/>
  <c r="E321"/>
  <c r="E341"/>
  <c r="E324"/>
  <c r="E328"/>
  <c r="E395"/>
  <c r="E357"/>
  <c r="E312"/>
  <c r="E361"/>
  <c r="E316"/>
  <c r="E320"/>
  <c r="E308"/>
  <c r="E305"/>
  <c r="E307"/>
  <c r="E381"/>
  <c r="E363"/>
  <c r="E329"/>
  <c r="E359"/>
  <c r="E374"/>
  <c r="E322"/>
  <c r="E362"/>
  <c r="E390"/>
  <c r="E380"/>
  <c r="E389"/>
  <c r="E378"/>
  <c r="E391"/>
  <c r="E392"/>
  <c r="E344"/>
  <c r="E379"/>
  <c r="E348"/>
  <c r="E338"/>
  <c r="E318"/>
  <c r="E326"/>
  <c r="E373"/>
  <c r="E350"/>
  <c r="E360"/>
  <c r="E372"/>
  <c r="E349"/>
  <c r="E400"/>
  <c r="E345"/>
  <c r="E355"/>
  <c r="E397"/>
  <c r="E354"/>
  <c r="E385"/>
  <c r="E335"/>
  <c r="E330"/>
  <c r="E375"/>
  <c r="E398"/>
  <c r="E315"/>
  <c r="E346"/>
  <c r="E367"/>
  <c r="E382"/>
  <c r="E310"/>
  <c r="E325"/>
  <c r="E334"/>
  <c r="E309"/>
  <c r="E353"/>
  <c r="E366"/>
  <c r="E356"/>
  <c r="E314"/>
  <c r="E313"/>
  <c r="E342"/>
  <c r="E369"/>
  <c r="E327"/>
  <c r="E317"/>
  <c r="E336"/>
  <c r="E386"/>
  <c r="E393"/>
  <c r="E304"/>
  <c r="E370"/>
  <c r="E396"/>
  <c r="E351"/>
  <c r="E384"/>
  <c r="E376"/>
  <c r="E337"/>
  <c r="E358"/>
  <c r="E332"/>
  <c r="E343"/>
  <c r="E377"/>
  <c r="E364"/>
  <c r="E394"/>
  <c r="E333"/>
  <c r="E340"/>
  <c r="E331"/>
  <c r="E399"/>
  <c r="E352"/>
  <c r="E388"/>
  <c r="E339"/>
  <c r="E387"/>
  <c r="E306"/>
  <c r="E323"/>
  <c r="E368"/>
  <c r="E311"/>
  <c r="E371"/>
  <c r="E319"/>
  <c r="E47"/>
  <c r="G4"/>
  <c r="G5" s="1"/>
  <c r="G6" s="1"/>
  <c r="G7" s="1"/>
  <c r="G8" s="1"/>
  <c r="G9" s="1"/>
  <c r="G10" s="1"/>
  <c r="G11" s="1"/>
  <c r="G12" s="1"/>
  <c r="G13" s="1"/>
  <c r="G14" s="1"/>
  <c r="G15" s="1"/>
  <c r="G16" s="1"/>
  <c r="G17" s="1"/>
  <c r="G18" s="1"/>
  <c r="G19" s="1"/>
  <c r="G20" s="1"/>
  <c r="G21" s="1"/>
  <c r="G22" s="1"/>
  <c r="G23" s="1"/>
  <c r="G24" s="1"/>
  <c r="G25" s="1"/>
  <c r="G26" s="1"/>
  <c r="G27" s="1"/>
  <c r="G28" s="1"/>
  <c r="G29" s="1"/>
  <c r="G30" s="1"/>
  <c r="G31" s="1"/>
  <c r="G32" s="1"/>
  <c r="G33" s="1"/>
  <c r="G34" s="1"/>
  <c r="G35" s="1"/>
  <c r="G36" s="1"/>
  <c r="G37" s="1"/>
  <c r="G38" s="1"/>
  <c r="G39" s="1"/>
  <c r="G40" s="1"/>
  <c r="G41" s="1"/>
  <c r="G42" s="1"/>
  <c r="G43" s="1"/>
  <c r="G44" s="1"/>
  <c r="G45" s="1"/>
  <c r="G46" s="1"/>
  <c r="G47" s="1"/>
  <c r="G48" s="1"/>
  <c r="G49" s="1"/>
  <c r="G50" s="1"/>
  <c r="G51" s="1"/>
  <c r="G52" s="1"/>
  <c r="G53" s="1"/>
  <c r="G54" s="1"/>
  <c r="G55" s="1"/>
  <c r="G56" s="1"/>
  <c r="G57" s="1"/>
  <c r="G58" s="1"/>
  <c r="G59" s="1"/>
  <c r="G60" s="1"/>
  <c r="G61" s="1"/>
  <c r="G62" s="1"/>
  <c r="G63" s="1"/>
  <c r="G64" s="1"/>
  <c r="G65" s="1"/>
  <c r="G66" s="1"/>
  <c r="G67" s="1"/>
  <c r="G68" s="1"/>
  <c r="G69" s="1"/>
  <c r="G70" s="1"/>
  <c r="G71" s="1"/>
  <c r="G72" s="1"/>
  <c r="G73" s="1"/>
  <c r="G74" s="1"/>
  <c r="G75" s="1"/>
  <c r="G76" s="1"/>
  <c r="G77" s="1"/>
  <c r="G78" s="1"/>
  <c r="G79" s="1"/>
  <c r="G80" s="1"/>
  <c r="G81" s="1"/>
  <c r="G82" s="1"/>
  <c r="G83" s="1"/>
  <c r="G84" s="1"/>
  <c r="G85" s="1"/>
  <c r="G86" s="1"/>
  <c r="G87" s="1"/>
  <c r="G88" s="1"/>
  <c r="G89" s="1"/>
  <c r="G90" s="1"/>
  <c r="G91" s="1"/>
  <c r="G92" s="1"/>
  <c r="G93" s="1"/>
  <c r="G94" s="1"/>
  <c r="G95" s="1"/>
  <c r="G96" s="1"/>
  <c r="G97" s="1"/>
  <c r="G98" s="1"/>
  <c r="G99" s="1"/>
  <c r="G100" s="1"/>
  <c r="G101" s="1"/>
  <c r="G102" s="1"/>
  <c r="G103" s="1"/>
  <c r="G104" s="1"/>
  <c r="G105" s="1"/>
  <c r="G106" s="1"/>
  <c r="G107" s="1"/>
  <c r="G108" s="1"/>
  <c r="G109" s="1"/>
  <c r="G110" s="1"/>
  <c r="G111" s="1"/>
  <c r="G112" s="1"/>
  <c r="G113" s="1"/>
  <c r="G114" s="1"/>
  <c r="G115" s="1"/>
  <c r="G116" s="1"/>
  <c r="G117" s="1"/>
  <c r="G118" s="1"/>
  <c r="G119" s="1"/>
  <c r="G120" s="1"/>
  <c r="G121" s="1"/>
  <c r="G122" s="1"/>
  <c r="G123" s="1"/>
  <c r="G124" s="1"/>
  <c r="G125" s="1"/>
  <c r="G126" s="1"/>
  <c r="G127" s="1"/>
  <c r="G128" s="1"/>
  <c r="G129" s="1"/>
  <c r="G130" s="1"/>
  <c r="G131" s="1"/>
  <c r="G132" s="1"/>
  <c r="G133" s="1"/>
  <c r="G134" s="1"/>
  <c r="G135" s="1"/>
  <c r="G136" s="1"/>
  <c r="G137" s="1"/>
  <c r="G138" s="1"/>
  <c r="G139" s="1"/>
  <c r="G140" s="1"/>
  <c r="G141" s="1"/>
  <c r="G142" s="1"/>
  <c r="G143" s="1"/>
  <c r="G144" s="1"/>
  <c r="G145" s="1"/>
  <c r="G146" s="1"/>
  <c r="G147" s="1"/>
  <c r="G148" s="1"/>
  <c r="G149" s="1"/>
  <c r="G150" s="1"/>
  <c r="G151" s="1"/>
  <c r="G152" s="1"/>
  <c r="G153" s="1"/>
  <c r="G154" s="1"/>
  <c r="G155" s="1"/>
  <c r="G156" s="1"/>
  <c r="G157" s="1"/>
  <c r="G158" s="1"/>
  <c r="G159" s="1"/>
  <c r="G160" s="1"/>
  <c r="G161" s="1"/>
  <c r="G162" s="1"/>
  <c r="G163" s="1"/>
  <c r="G164" s="1"/>
  <c r="G165" s="1"/>
  <c r="G166" s="1"/>
  <c r="G167" s="1"/>
  <c r="G168" s="1"/>
  <c r="G169" s="1"/>
  <c r="G170" s="1"/>
  <c r="G171" s="1"/>
  <c r="G172" s="1"/>
  <c r="G173" s="1"/>
  <c r="G174" s="1"/>
  <c r="G175" s="1"/>
  <c r="G176" s="1"/>
  <c r="G177" s="1"/>
  <c r="G178" s="1"/>
  <c r="G179" s="1"/>
  <c r="G180" s="1"/>
  <c r="G181" s="1"/>
  <c r="G182" s="1"/>
  <c r="G183" s="1"/>
  <c r="G184" s="1"/>
  <c r="G185" s="1"/>
  <c r="G186" s="1"/>
  <c r="G187" s="1"/>
  <c r="G188" s="1"/>
  <c r="G189" s="1"/>
  <c r="G190" s="1"/>
  <c r="G191" s="1"/>
  <c r="G192" s="1"/>
  <c r="G193" s="1"/>
  <c r="G194" s="1"/>
  <c r="G195" s="1"/>
  <c r="G196" s="1"/>
  <c r="G197" s="1"/>
  <c r="G198" s="1"/>
  <c r="G199" s="1"/>
  <c r="G200" s="1"/>
  <c r="G201" s="1"/>
  <c r="G202" s="1"/>
  <c r="G203" s="1"/>
  <c r="G204" s="1"/>
  <c r="G205" s="1"/>
  <c r="G206" s="1"/>
  <c r="G207" s="1"/>
  <c r="G208" s="1"/>
  <c r="G209" s="1"/>
  <c r="G210" s="1"/>
  <c r="G211" s="1"/>
  <c r="G212" s="1"/>
  <c r="G213" s="1"/>
  <c r="G214" s="1"/>
  <c r="G215" s="1"/>
  <c r="G216" s="1"/>
  <c r="G217" s="1"/>
  <c r="G218" s="1"/>
  <c r="G219" s="1"/>
  <c r="G220" s="1"/>
  <c r="G221" s="1"/>
  <c r="G222" s="1"/>
  <c r="G223" s="1"/>
  <c r="G224" s="1"/>
  <c r="G225" s="1"/>
  <c r="G226" s="1"/>
  <c r="G227" s="1"/>
  <c r="G228" s="1"/>
  <c r="G229" s="1"/>
  <c r="G230" s="1"/>
  <c r="G231" s="1"/>
  <c r="G232" s="1"/>
  <c r="G233" s="1"/>
  <c r="G234" s="1"/>
  <c r="G235" s="1"/>
  <c r="G236" s="1"/>
  <c r="G237" s="1"/>
  <c r="G238" s="1"/>
  <c r="G239" s="1"/>
  <c r="G240" s="1"/>
  <c r="G241" s="1"/>
  <c r="G242" s="1"/>
  <c r="G243" s="1"/>
  <c r="G244" s="1"/>
  <c r="G245" s="1"/>
  <c r="G246" s="1"/>
  <c r="G247" s="1"/>
  <c r="G248" s="1"/>
  <c r="G249" s="1"/>
  <c r="G250" s="1"/>
  <c r="G251" s="1"/>
  <c r="G252" s="1"/>
  <c r="G253" s="1"/>
  <c r="G254" s="1"/>
  <c r="G255" s="1"/>
  <c r="G256" s="1"/>
  <c r="G257" s="1"/>
  <c r="G258" s="1"/>
  <c r="G259" s="1"/>
  <c r="G260" s="1"/>
  <c r="G261" s="1"/>
  <c r="G262" s="1"/>
  <c r="G263" s="1"/>
  <c r="G264" s="1"/>
  <c r="G265" s="1"/>
  <c r="G266" s="1"/>
  <c r="G267" s="1"/>
  <c r="G268" s="1"/>
  <c r="G269" s="1"/>
  <c r="G270" s="1"/>
  <c r="G271" s="1"/>
  <c r="G272" s="1"/>
  <c r="G273" s="1"/>
  <c r="G274" s="1"/>
  <c r="G275" s="1"/>
  <c r="G276" s="1"/>
  <c r="G277" s="1"/>
  <c r="G278" s="1"/>
  <c r="G279" s="1"/>
  <c r="G280" s="1"/>
  <c r="G281" s="1"/>
  <c r="G282" s="1"/>
  <c r="G283" s="1"/>
  <c r="G284" s="1"/>
  <c r="G285" s="1"/>
  <c r="G286" s="1"/>
  <c r="G287" s="1"/>
  <c r="G288" s="1"/>
  <c r="G289" s="1"/>
  <c r="G290" s="1"/>
  <c r="G291" s="1"/>
  <c r="G292" s="1"/>
  <c r="G293" s="1"/>
  <c r="G294" s="1"/>
  <c r="G295" s="1"/>
  <c r="G296" s="1"/>
  <c r="G297" s="1"/>
  <c r="G298" s="1"/>
  <c r="G299" s="1"/>
  <c r="G300" s="1"/>
  <c r="G301" s="1"/>
  <c r="G302" s="1"/>
  <c r="G303" s="1"/>
  <c r="E242"/>
  <c r="E261"/>
  <c r="E296"/>
  <c r="E265"/>
  <c r="E124"/>
  <c r="E88"/>
  <c r="E225"/>
  <c r="E288"/>
  <c r="E123"/>
  <c r="E146"/>
  <c r="E202"/>
  <c r="E249"/>
  <c r="E70"/>
  <c r="E274"/>
  <c r="E263"/>
  <c r="E229"/>
  <c r="E239"/>
  <c r="E21"/>
  <c r="E205"/>
  <c r="E58"/>
  <c r="E237"/>
  <c r="E67"/>
  <c r="E297"/>
  <c r="E138"/>
  <c r="E112"/>
  <c r="E290"/>
  <c r="E228"/>
  <c r="E223"/>
  <c r="E220"/>
  <c r="E292"/>
  <c r="E121"/>
  <c r="E76"/>
  <c r="E293"/>
  <c r="E171"/>
  <c r="E287"/>
  <c r="E295"/>
  <c r="E33"/>
  <c r="E259"/>
  <c r="E216"/>
  <c r="E10"/>
  <c r="E164"/>
  <c r="E291"/>
  <c r="E179"/>
  <c r="E204"/>
  <c r="E236"/>
  <c r="E286"/>
  <c r="E221"/>
  <c r="E303"/>
  <c r="E217"/>
  <c r="E154"/>
  <c r="E289"/>
  <c r="E206"/>
  <c r="E131"/>
  <c r="E233"/>
  <c r="E211"/>
  <c r="E212"/>
  <c r="E275"/>
  <c r="E247"/>
  <c r="E243"/>
  <c r="E224"/>
  <c r="E214"/>
  <c r="E181"/>
  <c r="E264"/>
  <c r="E7"/>
  <c r="E298"/>
  <c r="E257"/>
  <c r="E260"/>
  <c r="E32"/>
  <c r="E95"/>
  <c r="E158"/>
  <c r="E213"/>
  <c r="E240"/>
  <c r="E215"/>
  <c r="E282"/>
  <c r="E230"/>
  <c r="E280"/>
  <c r="E145"/>
  <c r="E184"/>
  <c r="E46"/>
  <c r="E125"/>
  <c r="E8"/>
  <c r="E149"/>
  <c r="E278"/>
  <c r="E157"/>
  <c r="E27"/>
  <c r="E92"/>
  <c r="E271"/>
  <c r="E276"/>
  <c r="E77"/>
  <c r="E51"/>
  <c r="E252"/>
  <c r="E234"/>
  <c r="E227"/>
  <c r="E285"/>
  <c r="E268"/>
  <c r="E283"/>
  <c r="E254"/>
  <c r="E188"/>
  <c r="E299"/>
  <c r="E226"/>
  <c r="E255"/>
  <c r="E270"/>
  <c r="E284"/>
  <c r="E93"/>
  <c r="E251"/>
  <c r="E52"/>
  <c r="E281"/>
  <c r="E231"/>
  <c r="E210"/>
  <c r="E222"/>
  <c r="E250"/>
  <c r="E2"/>
  <c r="H2" s="1"/>
  <c r="E246"/>
  <c r="E203"/>
  <c r="E294"/>
  <c r="E277"/>
  <c r="E302"/>
  <c r="E256"/>
  <c r="E97"/>
  <c r="E269"/>
  <c r="E218"/>
  <c r="E241"/>
  <c r="E25"/>
  <c r="E245"/>
  <c r="E232"/>
  <c r="E156"/>
  <c r="E219"/>
  <c r="E258"/>
  <c r="E273"/>
  <c r="E209"/>
  <c r="E238"/>
  <c r="E253"/>
  <c r="E300"/>
  <c r="E36"/>
  <c r="E44"/>
  <c r="E147"/>
  <c r="E30"/>
  <c r="E198"/>
  <c r="E244"/>
  <c r="E279"/>
  <c r="E262"/>
  <c r="E272"/>
  <c r="E208"/>
  <c r="E235"/>
  <c r="E266"/>
  <c r="E207"/>
  <c r="E49"/>
  <c r="E301"/>
  <c r="E267"/>
  <c r="E39"/>
  <c r="E248"/>
  <c r="E87"/>
  <c r="E18"/>
  <c r="E40"/>
  <c r="E99"/>
  <c r="E105"/>
  <c r="J1"/>
  <c r="E61"/>
  <c r="E62"/>
  <c r="E122"/>
  <c r="E9"/>
  <c r="E126"/>
  <c r="E60"/>
  <c r="E104"/>
  <c r="E69"/>
  <c r="E94"/>
  <c r="E173"/>
  <c r="E5"/>
  <c r="E133"/>
  <c r="E111"/>
  <c r="E86"/>
  <c r="E199"/>
  <c r="E48"/>
  <c r="E129"/>
  <c r="E189"/>
  <c r="E191"/>
  <c r="E115"/>
  <c r="E79"/>
  <c r="E64"/>
  <c r="E183"/>
  <c r="E42"/>
  <c r="E81"/>
  <c r="E96"/>
  <c r="E177"/>
  <c r="E108"/>
  <c r="E24"/>
  <c r="E100"/>
  <c r="E65"/>
  <c r="E28"/>
  <c r="E63"/>
  <c r="E35"/>
  <c r="E165"/>
  <c r="E41"/>
  <c r="E178"/>
  <c r="E38"/>
  <c r="E194"/>
  <c r="E167"/>
  <c r="E197"/>
  <c r="E163"/>
  <c r="E187"/>
  <c r="E180"/>
  <c r="E176"/>
  <c r="E73"/>
  <c r="E37"/>
  <c r="E162"/>
  <c r="E6"/>
  <c r="E74"/>
  <c r="E43"/>
  <c r="E148"/>
  <c r="E190"/>
  <c r="E150"/>
  <c r="E127"/>
  <c r="E116"/>
  <c r="E22"/>
  <c r="E55"/>
  <c r="E31"/>
  <c r="E161"/>
  <c r="E182"/>
  <c r="E68"/>
  <c r="E185"/>
  <c r="E143"/>
  <c r="E152"/>
  <c r="E139"/>
  <c r="E170"/>
  <c r="E160"/>
  <c r="E78"/>
  <c r="E14"/>
  <c r="E72"/>
  <c r="E109"/>
  <c r="E71"/>
  <c r="E136"/>
  <c r="E101"/>
  <c r="E151"/>
  <c r="E34"/>
  <c r="E192"/>
  <c r="E85"/>
  <c r="E135"/>
  <c r="E90"/>
  <c r="E16"/>
  <c r="E50"/>
  <c r="E83"/>
  <c r="E134"/>
  <c r="E169"/>
  <c r="E117"/>
  <c r="E141"/>
  <c r="E12"/>
  <c r="E137"/>
  <c r="E19"/>
  <c r="E130"/>
  <c r="E172"/>
  <c r="E57"/>
  <c r="E59"/>
  <c r="E15"/>
  <c r="E186"/>
  <c r="E144"/>
  <c r="E20"/>
  <c r="E128"/>
  <c r="E84"/>
  <c r="E17"/>
  <c r="E102"/>
  <c r="E26"/>
  <c r="E200"/>
  <c r="E166"/>
  <c r="E201"/>
  <c r="E4"/>
  <c r="E159"/>
  <c r="E114"/>
  <c r="E53"/>
  <c r="E119"/>
  <c r="E13"/>
  <c r="E106"/>
  <c r="E29"/>
  <c r="E196"/>
  <c r="E103"/>
  <c r="E91"/>
  <c r="E142"/>
  <c r="E98"/>
  <c r="E153"/>
  <c r="E3"/>
  <c r="E75"/>
  <c r="E155"/>
  <c r="E56"/>
  <c r="E140"/>
  <c r="E66"/>
  <c r="E89"/>
  <c r="E80"/>
  <c r="E23"/>
  <c r="E168"/>
  <c r="E54"/>
  <c r="E11"/>
  <c r="E110"/>
  <c r="E175"/>
  <c r="E113"/>
  <c r="E195"/>
  <c r="E193"/>
  <c r="E82"/>
  <c r="E120"/>
  <c r="E132"/>
  <c r="E174"/>
  <c r="E107"/>
  <c r="E45"/>
  <c r="E118"/>
  <c r="H3" l="1"/>
  <c r="H4" s="1"/>
  <c r="H5" s="1"/>
  <c r="H6" s="1"/>
  <c r="H7" s="1"/>
  <c r="H8" s="1"/>
  <c r="H9" s="1"/>
  <c r="H10" s="1"/>
  <c r="H11" s="1"/>
  <c r="H12" s="1"/>
  <c r="H13" s="1"/>
  <c r="H14" s="1"/>
  <c r="H15" s="1"/>
  <c r="H16" s="1"/>
  <c r="H17" s="1"/>
  <c r="H18" s="1"/>
  <c r="H19" s="1"/>
  <c r="H20" s="1"/>
  <c r="H21" s="1"/>
  <c r="H22" s="1"/>
  <c r="H23" s="1"/>
  <c r="H24" s="1"/>
  <c r="H25" s="1"/>
  <c r="H26" s="1"/>
  <c r="H27" s="1"/>
  <c r="H28" s="1"/>
  <c r="H29" s="1"/>
  <c r="H30" s="1"/>
  <c r="H31" s="1"/>
  <c r="H32" s="1"/>
  <c r="H33" s="1"/>
  <c r="H34" s="1"/>
  <c r="H35" s="1"/>
  <c r="H36" s="1"/>
  <c r="H37" s="1"/>
  <c r="H38" s="1"/>
  <c r="H39" s="1"/>
  <c r="H40" s="1"/>
  <c r="H41" s="1"/>
  <c r="H42" s="1"/>
  <c r="H43" s="1"/>
  <c r="H44" s="1"/>
  <c r="H45" s="1"/>
  <c r="H46" s="1"/>
  <c r="H47" s="1"/>
  <c r="H48" s="1"/>
  <c r="H49" s="1"/>
  <c r="H50" s="1"/>
  <c r="H51" s="1"/>
  <c r="H52" s="1"/>
  <c r="H53" s="1"/>
  <c r="H54" s="1"/>
  <c r="H55" s="1"/>
  <c r="H56" s="1"/>
  <c r="H57" s="1"/>
  <c r="H58" s="1"/>
  <c r="H59" s="1"/>
  <c r="H60" s="1"/>
  <c r="H61" s="1"/>
  <c r="H62" s="1"/>
  <c r="H63" s="1"/>
  <c r="H64" s="1"/>
  <c r="H65" s="1"/>
  <c r="H66" s="1"/>
  <c r="H67" s="1"/>
  <c r="H68" s="1"/>
  <c r="H69" s="1"/>
  <c r="H70" s="1"/>
  <c r="H71" s="1"/>
  <c r="H72" s="1"/>
  <c r="H73" s="1"/>
  <c r="H74" s="1"/>
  <c r="H75" s="1"/>
  <c r="H76" s="1"/>
  <c r="H77" s="1"/>
  <c r="H78" s="1"/>
  <c r="H79" s="1"/>
  <c r="H80" s="1"/>
  <c r="H81" s="1"/>
  <c r="H82" s="1"/>
  <c r="H83" s="1"/>
  <c r="H84" s="1"/>
  <c r="H85" s="1"/>
  <c r="H86" s="1"/>
  <c r="H87" s="1"/>
  <c r="H88" s="1"/>
  <c r="H89" s="1"/>
  <c r="H90" s="1"/>
  <c r="H91" s="1"/>
  <c r="H92" s="1"/>
  <c r="H93" s="1"/>
  <c r="H94" s="1"/>
  <c r="H95" s="1"/>
  <c r="H96" s="1"/>
  <c r="H97" s="1"/>
  <c r="H98" s="1"/>
  <c r="H99" s="1"/>
  <c r="H100" s="1"/>
  <c r="H101" s="1"/>
  <c r="H102" s="1"/>
  <c r="H103" s="1"/>
  <c r="H104" s="1"/>
  <c r="H105" s="1"/>
  <c r="H106" s="1"/>
  <c r="H107" s="1"/>
  <c r="H108" s="1"/>
  <c r="H109" s="1"/>
  <c r="H110" s="1"/>
  <c r="H111" s="1"/>
  <c r="H112" s="1"/>
  <c r="H113" s="1"/>
  <c r="H114" s="1"/>
  <c r="H115" s="1"/>
  <c r="H116" s="1"/>
  <c r="H117" s="1"/>
  <c r="H118" s="1"/>
  <c r="H119" s="1"/>
  <c r="H120" s="1"/>
  <c r="H121" s="1"/>
  <c r="H122" s="1"/>
  <c r="H123" s="1"/>
  <c r="H124" s="1"/>
  <c r="H125" s="1"/>
  <c r="H126" s="1"/>
  <c r="H127" s="1"/>
  <c r="H128" s="1"/>
  <c r="H129" s="1"/>
  <c r="H130" s="1"/>
  <c r="H131" s="1"/>
  <c r="H132" s="1"/>
  <c r="H133" s="1"/>
  <c r="H134" s="1"/>
  <c r="H135" s="1"/>
  <c r="H136" s="1"/>
  <c r="H137" s="1"/>
  <c r="H138" s="1"/>
  <c r="H139" s="1"/>
  <c r="H140" s="1"/>
  <c r="H141" s="1"/>
  <c r="H142" s="1"/>
  <c r="H143" s="1"/>
  <c r="H144" s="1"/>
  <c r="H145" s="1"/>
  <c r="H146" s="1"/>
  <c r="H147" s="1"/>
  <c r="H148" s="1"/>
  <c r="H149" s="1"/>
  <c r="H150" s="1"/>
  <c r="H151" s="1"/>
  <c r="H152" s="1"/>
  <c r="H153" s="1"/>
  <c r="H154" s="1"/>
  <c r="H155" s="1"/>
  <c r="H156" s="1"/>
  <c r="H157" s="1"/>
  <c r="H158" s="1"/>
  <c r="H159" s="1"/>
  <c r="H160" s="1"/>
  <c r="H161" s="1"/>
  <c r="H162" s="1"/>
  <c r="H163" s="1"/>
  <c r="H164" s="1"/>
  <c r="H165" s="1"/>
  <c r="H166" s="1"/>
  <c r="H167" s="1"/>
  <c r="H168" s="1"/>
  <c r="H169" s="1"/>
  <c r="H170" s="1"/>
  <c r="H171" s="1"/>
  <c r="H172" s="1"/>
  <c r="H173" s="1"/>
  <c r="H174" s="1"/>
  <c r="H175" s="1"/>
  <c r="H176" s="1"/>
  <c r="H177" s="1"/>
  <c r="H178" s="1"/>
  <c r="H179" s="1"/>
  <c r="H180" s="1"/>
  <c r="H181" s="1"/>
  <c r="H182" s="1"/>
  <c r="H183" s="1"/>
  <c r="H184" s="1"/>
  <c r="H185" s="1"/>
  <c r="H186" s="1"/>
  <c r="H187" s="1"/>
  <c r="H188" s="1"/>
  <c r="H189" s="1"/>
  <c r="H190" s="1"/>
  <c r="H191" s="1"/>
  <c r="H192" s="1"/>
  <c r="H193" s="1"/>
  <c r="H194" s="1"/>
  <c r="H195" s="1"/>
  <c r="H196" s="1"/>
  <c r="H197" s="1"/>
  <c r="H198" s="1"/>
  <c r="H199" s="1"/>
  <c r="H200" s="1"/>
  <c r="H201" s="1"/>
  <c r="H202" s="1"/>
  <c r="H203" s="1"/>
  <c r="H204" s="1"/>
  <c r="H205" s="1"/>
  <c r="H206" s="1"/>
  <c r="H207" s="1"/>
  <c r="H208" s="1"/>
  <c r="H209" s="1"/>
  <c r="H210" s="1"/>
  <c r="H211" s="1"/>
  <c r="H212" s="1"/>
  <c r="H213" s="1"/>
  <c r="H214" s="1"/>
  <c r="H215" s="1"/>
  <c r="H216" s="1"/>
  <c r="H217" s="1"/>
  <c r="H218" s="1"/>
  <c r="H219" s="1"/>
  <c r="H220" s="1"/>
  <c r="H221" s="1"/>
  <c r="H222" s="1"/>
  <c r="H223" s="1"/>
  <c r="H224" s="1"/>
  <c r="H225" s="1"/>
  <c r="H226" s="1"/>
  <c r="H227" s="1"/>
  <c r="H228" s="1"/>
  <c r="H229" s="1"/>
  <c r="H230" s="1"/>
  <c r="H231" s="1"/>
  <c r="H232" s="1"/>
  <c r="H233" s="1"/>
  <c r="H234" s="1"/>
  <c r="H235" s="1"/>
  <c r="H236" s="1"/>
  <c r="H237" s="1"/>
  <c r="H238" s="1"/>
  <c r="H239" s="1"/>
  <c r="H240" s="1"/>
  <c r="H241" s="1"/>
  <c r="H242" s="1"/>
  <c r="H243" s="1"/>
  <c r="H244" s="1"/>
  <c r="H245" s="1"/>
  <c r="H246" s="1"/>
  <c r="H247" s="1"/>
  <c r="H248" s="1"/>
  <c r="H249" s="1"/>
  <c r="H250" s="1"/>
  <c r="H251" s="1"/>
  <c r="H252" s="1"/>
  <c r="H253" s="1"/>
  <c r="H254" s="1"/>
  <c r="H255" s="1"/>
  <c r="H256" s="1"/>
  <c r="H257" s="1"/>
  <c r="H258" s="1"/>
  <c r="H259" s="1"/>
  <c r="H260" s="1"/>
  <c r="H261" s="1"/>
  <c r="H262" s="1"/>
  <c r="H263" s="1"/>
  <c r="H264" s="1"/>
  <c r="H265" s="1"/>
  <c r="H266" s="1"/>
  <c r="H267" s="1"/>
  <c r="H268" s="1"/>
  <c r="H269" s="1"/>
  <c r="H270" s="1"/>
  <c r="H271" s="1"/>
  <c r="H272" s="1"/>
  <c r="H273" s="1"/>
  <c r="H274" s="1"/>
  <c r="H275" s="1"/>
  <c r="H276" s="1"/>
  <c r="H277" s="1"/>
  <c r="H278" s="1"/>
  <c r="H279" s="1"/>
  <c r="H280" s="1"/>
  <c r="H281" s="1"/>
  <c r="H282" s="1"/>
  <c r="H283" s="1"/>
  <c r="H284" s="1"/>
  <c r="H285" s="1"/>
  <c r="H286" s="1"/>
  <c r="H287" s="1"/>
  <c r="H288" s="1"/>
  <c r="H289" s="1"/>
  <c r="H290" s="1"/>
  <c r="H291" s="1"/>
  <c r="H292" s="1"/>
  <c r="H293" s="1"/>
  <c r="H294" s="1"/>
  <c r="H295" s="1"/>
  <c r="H296" s="1"/>
  <c r="H297" s="1"/>
  <c r="H298" s="1"/>
  <c r="H299" s="1"/>
  <c r="H300" s="1"/>
  <c r="H301" s="1"/>
  <c r="H302" s="1"/>
  <c r="H303" s="1"/>
  <c r="H304" s="1"/>
  <c r="H305" s="1"/>
  <c r="H306" s="1"/>
  <c r="H307" s="1"/>
  <c r="H308" s="1"/>
  <c r="H309" s="1"/>
  <c r="H310" s="1"/>
  <c r="H311" s="1"/>
  <c r="H312" s="1"/>
  <c r="H313" s="1"/>
  <c r="H314" s="1"/>
  <c r="H315" s="1"/>
  <c r="H316" s="1"/>
  <c r="H317" s="1"/>
  <c r="H318" s="1"/>
  <c r="H319" s="1"/>
  <c r="H320" s="1"/>
  <c r="H321" s="1"/>
  <c r="H322" s="1"/>
  <c r="H323" s="1"/>
  <c r="H324" s="1"/>
  <c r="H325" s="1"/>
  <c r="H326" s="1"/>
  <c r="H327" s="1"/>
  <c r="H328" s="1"/>
  <c r="H329" s="1"/>
  <c r="H330" s="1"/>
  <c r="H331" s="1"/>
  <c r="H332" s="1"/>
  <c r="H333" s="1"/>
  <c r="H334" s="1"/>
  <c r="H335" s="1"/>
  <c r="H336" s="1"/>
  <c r="H337" s="1"/>
  <c r="H338" s="1"/>
  <c r="H339" s="1"/>
  <c r="H340" s="1"/>
  <c r="H341" s="1"/>
  <c r="H342" s="1"/>
  <c r="H343" s="1"/>
  <c r="H344" s="1"/>
  <c r="H345" s="1"/>
  <c r="H346" s="1"/>
  <c r="H347" s="1"/>
  <c r="H348" s="1"/>
  <c r="H349" s="1"/>
  <c r="H350" s="1"/>
  <c r="H351" s="1"/>
  <c r="H352" s="1"/>
  <c r="H353" s="1"/>
  <c r="H354" s="1"/>
  <c r="H355" s="1"/>
  <c r="H356" s="1"/>
  <c r="H357" s="1"/>
  <c r="H358" s="1"/>
  <c r="H359" s="1"/>
  <c r="H360" s="1"/>
  <c r="H361" s="1"/>
  <c r="H362" s="1"/>
  <c r="H363" s="1"/>
  <c r="H364" s="1"/>
  <c r="H365" s="1"/>
  <c r="H366" s="1"/>
  <c r="H367" s="1"/>
  <c r="H368" s="1"/>
  <c r="H369" s="1"/>
  <c r="H370" s="1"/>
  <c r="H371" s="1"/>
  <c r="H372" s="1"/>
  <c r="H373" s="1"/>
  <c r="H374" s="1"/>
  <c r="H375" s="1"/>
  <c r="H376" s="1"/>
  <c r="H377" s="1"/>
  <c r="H378" s="1"/>
  <c r="H379" s="1"/>
  <c r="H380" s="1"/>
  <c r="H381" s="1"/>
  <c r="H382" s="1"/>
  <c r="H383" s="1"/>
  <c r="H384" s="1"/>
  <c r="H385" s="1"/>
  <c r="H386" s="1"/>
  <c r="H387" s="1"/>
  <c r="H388" s="1"/>
  <c r="H389" s="1"/>
  <c r="H390" s="1"/>
  <c r="H391" s="1"/>
  <c r="H392" s="1"/>
  <c r="H393" s="1"/>
  <c r="H394" s="1"/>
  <c r="H395" s="1"/>
  <c r="H396" s="1"/>
  <c r="H397" s="1"/>
  <c r="H398" s="1"/>
  <c r="H399" s="1"/>
  <c r="H400" s="1"/>
  <c r="J11"/>
  <c r="N13" l="1"/>
  <c r="P18" i="1" l="1"/>
  <c r="M13" i="8"/>
  <c r="X26" i="1"/>
  <c r="V74" i="18"/>
  <c r="V66"/>
  <c r="W26" i="1" l="1"/>
  <c r="P10" s="1"/>
  <c r="V76" i="18"/>
  <c r="V75"/>
  <c r="V67"/>
  <c r="V82" l="1"/>
  <c r="V68"/>
  <c r="V77" l="1"/>
  <c r="V90"/>
  <c r="V78"/>
  <c r="V83"/>
  <c r="V69"/>
  <c r="V91" l="1"/>
  <c r="V79"/>
  <c r="V84"/>
  <c r="V70"/>
  <c r="V92" l="1"/>
  <c r="V81"/>
  <c r="V80"/>
  <c r="V85"/>
  <c r="V71"/>
  <c r="V93" l="1"/>
  <c r="V86"/>
  <c r="V73"/>
  <c r="V72"/>
  <c r="V94" l="1"/>
  <c r="V87"/>
  <c r="V95" l="1"/>
  <c r="V89"/>
  <c r="V88"/>
  <c r="V96" l="1"/>
  <c r="AV11" l="1"/>
  <c r="AV19"/>
  <c r="BJ274"/>
  <c r="AO386"/>
  <c r="AQ386" s="1"/>
  <c r="AH1702" s="1"/>
  <c r="AO114"/>
  <c r="AO375"/>
  <c r="AQ375" s="1"/>
  <c r="AH1691" s="1"/>
  <c r="AO79"/>
  <c r="AQ79" s="1"/>
  <c r="AH486" s="1"/>
  <c r="AI486" s="1"/>
  <c r="AO384"/>
  <c r="AQ384" s="1"/>
  <c r="AH1700" s="1"/>
  <c r="AO359"/>
  <c r="AQ359" s="1"/>
  <c r="AH1675" s="1"/>
  <c r="AV193"/>
  <c r="AV63"/>
  <c r="AO324"/>
  <c r="AQ324" s="1"/>
  <c r="AH1640" s="1"/>
  <c r="AO381"/>
  <c r="AQ381" s="1"/>
  <c r="AH1697" s="1"/>
  <c r="BC70"/>
  <c r="AO356"/>
  <c r="AQ356" s="1"/>
  <c r="AH1672" s="1"/>
  <c r="AO125"/>
  <c r="BC89"/>
  <c r="AO357"/>
  <c r="AQ357" s="1"/>
  <c r="AH1673" s="1"/>
  <c r="AO312"/>
  <c r="AQ312" s="1"/>
  <c r="AH1628" s="1"/>
  <c r="AO201"/>
  <c r="AV181"/>
  <c r="AV12"/>
  <c r="AO340"/>
  <c r="AQ340" s="1"/>
  <c r="AH1656" s="1"/>
  <c r="AO262"/>
  <c r="AO333"/>
  <c r="AQ333" s="1"/>
  <c r="AH1649" s="1"/>
  <c r="AO351"/>
  <c r="AQ351" s="1"/>
  <c r="AH1667" s="1"/>
  <c r="AO163"/>
  <c r="AO165"/>
  <c r="BC95"/>
  <c r="AO393"/>
  <c r="AQ393" s="1"/>
  <c r="AH1709" s="1"/>
  <c r="AO387"/>
  <c r="AQ387" s="1"/>
  <c r="AH1703" s="1"/>
  <c r="AO33"/>
  <c r="AQ33" s="1"/>
  <c r="AH440" s="1"/>
  <c r="AI440" s="1"/>
  <c r="AO275"/>
  <c r="AV79"/>
  <c r="BJ389"/>
  <c r="BL389" s="1"/>
  <c r="AO350"/>
  <c r="AQ350" s="1"/>
  <c r="AH1666" s="1"/>
  <c r="AV337"/>
  <c r="AO313"/>
  <c r="AQ313" s="1"/>
  <c r="AH1629" s="1"/>
  <c r="BC88"/>
  <c r="AO385"/>
  <c r="AQ385" s="1"/>
  <c r="AH1701" s="1"/>
  <c r="AO348"/>
  <c r="AQ348" s="1"/>
  <c r="AH1664" s="1"/>
  <c r="AV252"/>
  <c r="BJ214"/>
  <c r="AV99"/>
  <c r="AV165"/>
  <c r="AO146"/>
  <c r="AO310"/>
  <c r="AQ310" s="1"/>
  <c r="AH1626" s="1"/>
  <c r="AV156"/>
  <c r="BC52"/>
  <c r="AO371"/>
  <c r="AQ371" s="1"/>
  <c r="AH1687" s="1"/>
  <c r="AO383"/>
  <c r="AQ383" s="1"/>
  <c r="AH1699" s="1"/>
  <c r="AO401"/>
  <c r="AQ401" s="1"/>
  <c r="AH1717" s="1"/>
  <c r="AO32"/>
  <c r="AQ32" s="1"/>
  <c r="AH439" s="1"/>
  <c r="AI439" s="1"/>
  <c r="AO49"/>
  <c r="AQ49" s="1"/>
  <c r="AH456" s="1"/>
  <c r="AI456" s="1"/>
  <c r="BC216"/>
  <c r="AV3"/>
  <c r="AO199"/>
  <c r="BC37"/>
  <c r="AV310"/>
  <c r="AO352"/>
  <c r="AQ352" s="1"/>
  <c r="AH1668" s="1"/>
  <c r="AO271"/>
  <c r="BJ136"/>
  <c r="BC287"/>
  <c r="AV390"/>
  <c r="AO62"/>
  <c r="AQ62" s="1"/>
  <c r="AH469" s="1"/>
  <c r="AI469" s="1"/>
  <c r="AO244"/>
  <c r="BC361"/>
  <c r="AV231"/>
  <c r="AV72"/>
  <c r="AO329"/>
  <c r="AQ329" s="1"/>
  <c r="AH1645" s="1"/>
  <c r="AO349"/>
  <c r="AQ349" s="1"/>
  <c r="AH1665" s="1"/>
  <c r="BJ403"/>
  <c r="BL403" s="1"/>
  <c r="BC244"/>
  <c r="AO9"/>
  <c r="AQ9" s="1"/>
  <c r="AH416" s="1"/>
  <c r="AI416" s="1"/>
  <c r="AO283"/>
  <c r="AO193"/>
  <c r="AO316"/>
  <c r="AQ316" s="1"/>
  <c r="AH1632" s="1"/>
  <c r="AO288"/>
  <c r="AV50"/>
  <c r="AV225"/>
  <c r="AO133"/>
  <c r="AO334"/>
  <c r="AQ334" s="1"/>
  <c r="AH1650" s="1"/>
  <c r="AO116"/>
  <c r="AO15"/>
  <c r="AQ15" s="1"/>
  <c r="AH422" s="1"/>
  <c r="AI422" s="1"/>
  <c r="BC79"/>
  <c r="AO396"/>
  <c r="AQ396" s="1"/>
  <c r="AH1712" s="1"/>
  <c r="BC43"/>
  <c r="AO252"/>
  <c r="AO265"/>
  <c r="AO145"/>
  <c r="AV118"/>
  <c r="AO77"/>
  <c r="AQ77" s="1"/>
  <c r="AH484" s="1"/>
  <c r="AI484" s="1"/>
  <c r="AV29"/>
  <c r="AO343"/>
  <c r="AQ343" s="1"/>
  <c r="AH1659" s="1"/>
  <c r="BC215"/>
  <c r="AO115"/>
  <c r="AO155"/>
  <c r="AV297"/>
  <c r="BJ334"/>
  <c r="BL334" s="1"/>
  <c r="AV244"/>
  <c r="AV300"/>
  <c r="BC76"/>
  <c r="BJ50"/>
  <c r="AO41"/>
  <c r="AQ41" s="1"/>
  <c r="AH448" s="1"/>
  <c r="AI448" s="1"/>
  <c r="AO202"/>
  <c r="AO363"/>
  <c r="AQ363" s="1"/>
  <c r="AH1679" s="1"/>
  <c r="AO172"/>
  <c r="AO294"/>
  <c r="BC282"/>
  <c r="BJ60"/>
  <c r="AV134"/>
  <c r="AO380"/>
  <c r="AQ380" s="1"/>
  <c r="AH1696" s="1"/>
  <c r="AO335"/>
  <c r="AQ335" s="1"/>
  <c r="AH1651" s="1"/>
  <c r="AO395"/>
  <c r="AQ395" s="1"/>
  <c r="AH1711" s="1"/>
  <c r="BC129"/>
  <c r="AO330"/>
  <c r="AQ330" s="1"/>
  <c r="AH1646" s="1"/>
  <c r="AO397"/>
  <c r="AQ397" s="1"/>
  <c r="AH1713" s="1"/>
  <c r="BJ12"/>
  <c r="AO243"/>
  <c r="AO373"/>
  <c r="AQ373" s="1"/>
  <c r="AH1689" s="1"/>
  <c r="AV14"/>
  <c r="BJ363"/>
  <c r="BL363" s="1"/>
  <c r="BJ141"/>
  <c r="BC111"/>
  <c r="AV36"/>
  <c r="BJ139"/>
  <c r="AV30"/>
  <c r="BC53"/>
  <c r="AV31"/>
  <c r="AO402"/>
  <c r="AQ402" s="1"/>
  <c r="AH1718" s="1"/>
  <c r="BJ265"/>
  <c r="AO390"/>
  <c r="AQ390" s="1"/>
  <c r="AH1706" s="1"/>
  <c r="BJ401"/>
  <c r="BL401" s="1"/>
  <c r="AO105"/>
  <c r="AO121"/>
  <c r="AV123"/>
  <c r="AO332"/>
  <c r="AQ332" s="1"/>
  <c r="AH1648" s="1"/>
  <c r="AV89"/>
  <c r="AV153"/>
  <c r="AV327"/>
  <c r="AV188"/>
  <c r="AO360"/>
  <c r="AQ360" s="1"/>
  <c r="AH1676" s="1"/>
  <c r="AO74"/>
  <c r="AQ74" s="1"/>
  <c r="AH481" s="1"/>
  <c r="AI481" s="1"/>
  <c r="BC273"/>
  <c r="AV386"/>
  <c r="BC283"/>
  <c r="AO331"/>
  <c r="AQ331" s="1"/>
  <c r="AH1647" s="1"/>
  <c r="AO364"/>
  <c r="AQ364" s="1"/>
  <c r="AH1680" s="1"/>
  <c r="BJ299"/>
  <c r="AV37"/>
  <c r="AO338"/>
  <c r="AQ338" s="1"/>
  <c r="AH1654" s="1"/>
  <c r="AO61"/>
  <c r="AQ61" s="1"/>
  <c r="AH468" s="1"/>
  <c r="AI468" s="1"/>
  <c r="AO377"/>
  <c r="AQ377" s="1"/>
  <c r="AH1693" s="1"/>
  <c r="AV48"/>
  <c r="AV39"/>
  <c r="BJ319"/>
  <c r="BL319" s="1"/>
  <c r="AO40"/>
  <c r="AQ40" s="1"/>
  <c r="AH447" s="1"/>
  <c r="AI447" s="1"/>
  <c r="AV349"/>
  <c r="BC117"/>
  <c r="AO337"/>
  <c r="AQ337" s="1"/>
  <c r="AH1653" s="1"/>
  <c r="AV59"/>
  <c r="BC288"/>
  <c r="AO127"/>
  <c r="BC155"/>
  <c r="BC114"/>
  <c r="BC185"/>
  <c r="BJ395"/>
  <c r="BL395" s="1"/>
  <c r="BJ337"/>
  <c r="BL337" s="1"/>
  <c r="BJ178"/>
  <c r="BC324"/>
  <c r="AO368"/>
  <c r="AQ368" s="1"/>
  <c r="AH1684" s="1"/>
  <c r="BC162"/>
  <c r="AO344"/>
  <c r="AQ344" s="1"/>
  <c r="AH1660" s="1"/>
  <c r="AO153"/>
  <c r="AV44"/>
  <c r="BJ90"/>
  <c r="AV259"/>
  <c r="BC208"/>
  <c r="BC355"/>
  <c r="AO69"/>
  <c r="AQ69" s="1"/>
  <c r="AH476" s="1"/>
  <c r="AI476" s="1"/>
  <c r="BJ216"/>
  <c r="AO339"/>
  <c r="AQ339" s="1"/>
  <c r="AH1655" s="1"/>
  <c r="AO258"/>
  <c r="AV107"/>
  <c r="AV43"/>
  <c r="BJ30"/>
  <c r="BJ275"/>
  <c r="BC56"/>
  <c r="AO119"/>
  <c r="AO198"/>
  <c r="AO82"/>
  <c r="AQ82" s="1"/>
  <c r="AH489" s="1"/>
  <c r="AI489" s="1"/>
  <c r="AO59"/>
  <c r="AQ59" s="1"/>
  <c r="AH466" s="1"/>
  <c r="AI466" s="1"/>
  <c r="AO246"/>
  <c r="BJ285"/>
  <c r="BC294"/>
  <c r="AV114"/>
  <c r="AV132"/>
  <c r="AV176"/>
  <c r="AV200"/>
  <c r="AO156"/>
  <c r="AO297"/>
  <c r="BJ67"/>
  <c r="AO405"/>
  <c r="AQ405" s="1"/>
  <c r="AH1721" s="1"/>
  <c r="BJ58"/>
  <c r="BJ404"/>
  <c r="BL404" s="1"/>
  <c r="AV195"/>
  <c r="BJ341"/>
  <c r="BL341" s="1"/>
  <c r="BC396"/>
  <c r="AO391"/>
  <c r="AQ391" s="1"/>
  <c r="AH1707" s="1"/>
  <c r="AO300"/>
  <c r="BC201"/>
  <c r="AO158"/>
  <c r="BC350"/>
  <c r="AO35"/>
  <c r="AQ35" s="1"/>
  <c r="AH442" s="1"/>
  <c r="AI442" s="1"/>
  <c r="BC254"/>
  <c r="BJ144"/>
  <c r="BC311"/>
  <c r="BC251"/>
  <c r="AV391"/>
  <c r="BJ391"/>
  <c r="BL391" s="1"/>
  <c r="BC146"/>
  <c r="AV60"/>
  <c r="AV68"/>
  <c r="AV162"/>
  <c r="AV240"/>
  <c r="BC174"/>
  <c r="BC113"/>
  <c r="AO124"/>
  <c r="AO104"/>
  <c r="BC55"/>
  <c r="BJ85"/>
  <c r="AO372"/>
  <c r="AQ372" s="1"/>
  <c r="AH1688" s="1"/>
  <c r="AV325"/>
  <c r="BC163"/>
  <c r="BC72"/>
  <c r="AO287"/>
  <c r="BC289"/>
  <c r="BJ81"/>
  <c r="BC80"/>
  <c r="BC377"/>
  <c r="AO80"/>
  <c r="AQ80" s="1"/>
  <c r="AH487" s="1"/>
  <c r="AI487" s="1"/>
  <c r="BC49"/>
  <c r="BC148"/>
  <c r="AV197"/>
  <c r="AO183"/>
  <c r="BC400"/>
  <c r="AO314"/>
  <c r="AQ314" s="1"/>
  <c r="AH1630" s="1"/>
  <c r="BJ147"/>
  <c r="AV128"/>
  <c r="AO186"/>
  <c r="AO370"/>
  <c r="AQ370" s="1"/>
  <c r="AH1686" s="1"/>
  <c r="AO112"/>
  <c r="BJ345"/>
  <c r="BL345" s="1"/>
  <c r="BC139"/>
  <c r="BC229"/>
  <c r="AO374"/>
  <c r="AQ374" s="1"/>
  <c r="AH1690" s="1"/>
  <c r="AO200"/>
  <c r="BJ192"/>
  <c r="AV47"/>
  <c r="AV250"/>
  <c r="BJ258"/>
  <c r="BJ288"/>
  <c r="AV350"/>
  <c r="AO176"/>
  <c r="AO369"/>
  <c r="AQ369" s="1"/>
  <c r="AH1685" s="1"/>
  <c r="AO353"/>
  <c r="AQ353" s="1"/>
  <c r="AH1669" s="1"/>
  <c r="BC78"/>
  <c r="AO320"/>
  <c r="AQ320" s="1"/>
  <c r="AH1636" s="1"/>
  <c r="AO327"/>
  <c r="AQ327" s="1"/>
  <c r="AH1643" s="1"/>
  <c r="AV358"/>
  <c r="AO94"/>
  <c r="AQ94" s="1"/>
  <c r="AH501" s="1"/>
  <c r="AI501" s="1"/>
  <c r="BC338"/>
  <c r="AV96"/>
  <c r="BC221"/>
  <c r="AO379"/>
  <c r="AQ379" s="1"/>
  <c r="AH1695" s="1"/>
  <c r="AO95"/>
  <c r="AQ95" s="1"/>
  <c r="AH502" s="1"/>
  <c r="AI502" s="1"/>
  <c r="AV169"/>
  <c r="AO398"/>
  <c r="AQ398" s="1"/>
  <c r="AH1714" s="1"/>
  <c r="AO403"/>
  <c r="AQ403" s="1"/>
  <c r="AH1719" s="1"/>
  <c r="AV355"/>
  <c r="AO308"/>
  <c r="AQ308" s="1"/>
  <c r="AH1624" s="1"/>
  <c r="AV49"/>
  <c r="AO362"/>
  <c r="AQ362" s="1"/>
  <c r="AH1678" s="1"/>
  <c r="BC71"/>
  <c r="AV180"/>
  <c r="AV106"/>
  <c r="AV164"/>
  <c r="AO179"/>
  <c r="BJ37"/>
  <c r="AO106"/>
  <c r="AO75"/>
  <c r="AQ75" s="1"/>
  <c r="AH482" s="1"/>
  <c r="AI482" s="1"/>
  <c r="BC358"/>
  <c r="BC31"/>
  <c r="AO109"/>
  <c r="AO378"/>
  <c r="AQ378" s="1"/>
  <c r="AH1694" s="1"/>
  <c r="BC284"/>
  <c r="BJ303"/>
  <c r="AV51"/>
  <c r="AV166"/>
  <c r="AO58"/>
  <c r="AQ58" s="1"/>
  <c r="AH465" s="1"/>
  <c r="AI465" s="1"/>
  <c r="AV248"/>
  <c r="AO276"/>
  <c r="AO60"/>
  <c r="AQ60" s="1"/>
  <c r="AH467" s="1"/>
  <c r="AI467" s="1"/>
  <c r="AV170"/>
  <c r="AV287"/>
  <c r="AO347"/>
  <c r="AQ347" s="1"/>
  <c r="AH1663" s="1"/>
  <c r="BC85"/>
  <c r="BC92"/>
  <c r="BC278"/>
  <c r="AV348"/>
  <c r="BJ181"/>
  <c r="BC14"/>
  <c r="BC116"/>
  <c r="BJ382"/>
  <c r="BL382" s="1"/>
  <c r="AV389"/>
  <c r="BC127"/>
  <c r="BJ245"/>
  <c r="BJ253"/>
  <c r="BJ38"/>
  <c r="BJ313"/>
  <c r="BL313" s="1"/>
  <c r="AO136"/>
  <c r="BC161"/>
  <c r="AV82"/>
  <c r="BJ145"/>
  <c r="AO382"/>
  <c r="AQ382" s="1"/>
  <c r="AH1698" s="1"/>
  <c r="AO355"/>
  <c r="AQ355" s="1"/>
  <c r="AH1671" s="1"/>
  <c r="AV80"/>
  <c r="BJ283"/>
  <c r="BJ342"/>
  <c r="BL342" s="1"/>
  <c r="BJ233"/>
  <c r="BJ73"/>
  <c r="AV335"/>
  <c r="BC128"/>
  <c r="BJ146"/>
  <c r="BC373"/>
  <c r="BJ338"/>
  <c r="BL338" s="1"/>
  <c r="BJ377"/>
  <c r="BL377" s="1"/>
  <c r="AO120"/>
  <c r="AO281"/>
  <c r="AO16"/>
  <c r="AQ16" s="1"/>
  <c r="AH423" s="1"/>
  <c r="AI423" s="1"/>
  <c r="BC98"/>
  <c r="AO96"/>
  <c r="AQ96" s="1"/>
  <c r="AH503" s="1"/>
  <c r="AI503" s="1"/>
  <c r="BC97"/>
  <c r="BC45"/>
  <c r="BJ22"/>
  <c r="BJ316"/>
  <c r="BL316" s="1"/>
  <c r="BJ204"/>
  <c r="BL204" s="1"/>
  <c r="AV26"/>
  <c r="BJ396"/>
  <c r="BL396" s="1"/>
  <c r="BC209"/>
  <c r="AV173"/>
  <c r="BC186"/>
  <c r="AO34"/>
  <c r="AQ34" s="1"/>
  <c r="AH441" s="1"/>
  <c r="AI441" s="1"/>
  <c r="AV34"/>
  <c r="AV92"/>
  <c r="BC101"/>
  <c r="BC296"/>
  <c r="AO42"/>
  <c r="AQ42" s="1"/>
  <c r="AH449" s="1"/>
  <c r="AI449" s="1"/>
  <c r="BJ296"/>
  <c r="AO48"/>
  <c r="AQ48" s="1"/>
  <c r="AH455" s="1"/>
  <c r="AI455" s="1"/>
  <c r="BC335"/>
  <c r="AV87"/>
  <c r="AO66"/>
  <c r="AQ66" s="1"/>
  <c r="AH473" s="1"/>
  <c r="AI473" s="1"/>
  <c r="BJ399"/>
  <c r="BL399" s="1"/>
  <c r="AV190"/>
  <c r="BC303"/>
  <c r="AV201"/>
  <c r="BC212"/>
  <c r="AO26"/>
  <c r="AQ26" s="1"/>
  <c r="AH433" s="1"/>
  <c r="AI433" s="1"/>
  <c r="AO232"/>
  <c r="BJ51"/>
  <c r="AO132"/>
  <c r="BC223"/>
  <c r="BC51"/>
  <c r="BC376"/>
  <c r="AV301"/>
  <c r="BC217"/>
  <c r="AO137"/>
  <c r="AV152"/>
  <c r="BC305"/>
  <c r="BE305" s="1"/>
  <c r="BJ289"/>
  <c r="BJ143"/>
  <c r="BJ200"/>
  <c r="BJ280"/>
  <c r="BC15"/>
  <c r="AV93"/>
  <c r="AV295"/>
  <c r="AO328"/>
  <c r="AQ328" s="1"/>
  <c r="AH1644" s="1"/>
  <c r="BJ374"/>
  <c r="BL374" s="1"/>
  <c r="BC170"/>
  <c r="AO45"/>
  <c r="AQ45" s="1"/>
  <c r="AH452" s="1"/>
  <c r="AI452" s="1"/>
  <c r="BC315"/>
  <c r="BJ213"/>
  <c r="BJ210"/>
  <c r="BC107"/>
  <c r="BJ241"/>
  <c r="BJ108"/>
  <c r="BC110"/>
  <c r="BJ325"/>
  <c r="BL325" s="1"/>
  <c r="BC280"/>
  <c r="BJ68"/>
  <c r="AO63"/>
  <c r="AQ63" s="1"/>
  <c r="AH470" s="1"/>
  <c r="AI470" s="1"/>
  <c r="BJ220"/>
  <c r="AV258"/>
  <c r="BJ346"/>
  <c r="BL346" s="1"/>
  <c r="AO197"/>
  <c r="BJ365"/>
  <c r="BL365" s="1"/>
  <c r="AV8"/>
  <c r="BJ384"/>
  <c r="BL384" s="1"/>
  <c r="BC153"/>
  <c r="AV367"/>
  <c r="AV171"/>
  <c r="BC346"/>
  <c r="BJ244"/>
  <c r="AV205"/>
  <c r="AO171"/>
  <c r="AO123"/>
  <c r="BJ350"/>
  <c r="BL350" s="1"/>
  <c r="AV168"/>
  <c r="AO266"/>
  <c r="AO298"/>
  <c r="BC188"/>
  <c r="AV125"/>
  <c r="BJ88"/>
  <c r="AO187"/>
  <c r="BJ327"/>
  <c r="BL327" s="1"/>
  <c r="AO10"/>
  <c r="AQ10" s="1"/>
  <c r="AH417" s="1"/>
  <c r="AI417" s="1"/>
  <c r="AO65"/>
  <c r="AQ65" s="1"/>
  <c r="AH472" s="1"/>
  <c r="AI472" s="1"/>
  <c r="AO214"/>
  <c r="BC38"/>
  <c r="BJ398"/>
  <c r="BL398" s="1"/>
  <c r="AV119"/>
  <c r="BC378"/>
  <c r="BJ208"/>
  <c r="BC320"/>
  <c r="AO23"/>
  <c r="AQ23" s="1"/>
  <c r="AH430" s="1"/>
  <c r="AI430" s="1"/>
  <c r="BC243"/>
  <c r="BC263"/>
  <c r="AV219"/>
  <c r="BC180"/>
  <c r="AV178"/>
  <c r="BJ293"/>
  <c r="BJ360"/>
  <c r="BL360" s="1"/>
  <c r="AO57"/>
  <c r="AQ57" s="1"/>
  <c r="AH464" s="1"/>
  <c r="AI464" s="1"/>
  <c r="BC194"/>
  <c r="BJ186"/>
  <c r="AV318"/>
  <c r="AO14"/>
  <c r="AQ14" s="1"/>
  <c r="AH421" s="1"/>
  <c r="AI421" s="1"/>
  <c r="AV53"/>
  <c r="AO260"/>
  <c r="AO269"/>
  <c r="AO306"/>
  <c r="AQ306" s="1"/>
  <c r="AH1622" s="1"/>
  <c r="AO140"/>
  <c r="BC214"/>
  <c r="BC10"/>
  <c r="BC331"/>
  <c r="BJ179"/>
  <c r="BJ188"/>
  <c r="AO99"/>
  <c r="AQ99" s="1"/>
  <c r="AH506" s="1"/>
  <c r="AI506" s="1"/>
  <c r="AV28"/>
  <c r="BJ127"/>
  <c r="BC90"/>
  <c r="AV199"/>
  <c r="AO90"/>
  <c r="AQ90" s="1"/>
  <c r="AH497" s="1"/>
  <c r="AI497" s="1"/>
  <c r="AO30"/>
  <c r="AQ30" s="1"/>
  <c r="AH437" s="1"/>
  <c r="AI437" s="1"/>
  <c r="BJ393"/>
  <c r="BL393" s="1"/>
  <c r="AV364"/>
  <c r="BJ261"/>
  <c r="BJ199"/>
  <c r="AO12"/>
  <c r="AQ12" s="1"/>
  <c r="AH419" s="1"/>
  <c r="AI419" s="1"/>
  <c r="AO358"/>
  <c r="AQ358" s="1"/>
  <c r="AH1674" s="1"/>
  <c r="AO253"/>
  <c r="AO56"/>
  <c r="AQ56" s="1"/>
  <c r="AH463" s="1"/>
  <c r="AI463" s="1"/>
  <c r="AV2"/>
  <c r="BJ9"/>
  <c r="BJ106"/>
  <c r="BC124"/>
  <c r="AV62"/>
  <c r="BJ323"/>
  <c r="BL323" s="1"/>
  <c r="BJ378"/>
  <c r="BL378" s="1"/>
  <c r="AO4"/>
  <c r="AQ4" s="1"/>
  <c r="AH411" s="1"/>
  <c r="AI411" s="1"/>
  <c r="AO191"/>
  <c r="BJ54"/>
  <c r="BJ250"/>
  <c r="AV369"/>
  <c r="AO309"/>
  <c r="AQ309" s="1"/>
  <c r="AH1625" s="1"/>
  <c r="AO318"/>
  <c r="AQ318" s="1"/>
  <c r="AH1634" s="1"/>
  <c r="AO307"/>
  <c r="AQ307" s="1"/>
  <c r="AH1623" s="1"/>
  <c r="BJ94"/>
  <c r="AV210"/>
  <c r="BJ281"/>
  <c r="BJ132"/>
  <c r="AV15"/>
  <c r="AV277"/>
  <c r="AV363"/>
  <c r="BJ308"/>
  <c r="BL308" s="1"/>
  <c r="BJ235"/>
  <c r="BJ56"/>
  <c r="BJ109"/>
  <c r="AV174"/>
  <c r="BJ27"/>
  <c r="AV334"/>
  <c r="AV149"/>
  <c r="AO248"/>
  <c r="BJ215"/>
  <c r="AV321"/>
  <c r="AV143"/>
  <c r="BJ317"/>
  <c r="BL317" s="1"/>
  <c r="BJ35"/>
  <c r="BC182"/>
  <c r="AO130"/>
  <c r="BC140"/>
  <c r="BJ352"/>
  <c r="BL352" s="1"/>
  <c r="AO27"/>
  <c r="AQ27" s="1"/>
  <c r="AH434" s="1"/>
  <c r="AI434" s="1"/>
  <c r="AO70"/>
  <c r="AQ70" s="1"/>
  <c r="AH477" s="1"/>
  <c r="AI477" s="1"/>
  <c r="BC69"/>
  <c r="BC308"/>
  <c r="AV381"/>
  <c r="BJ100"/>
  <c r="BC204"/>
  <c r="BE204" s="1"/>
  <c r="AO166"/>
  <c r="AV218"/>
  <c r="BC183"/>
  <c r="BC178"/>
  <c r="BJ329"/>
  <c r="BL329" s="1"/>
  <c r="BC245"/>
  <c r="BJ314"/>
  <c r="BL314" s="1"/>
  <c r="AO122"/>
  <c r="AV90"/>
  <c r="AV241"/>
  <c r="BJ72"/>
  <c r="AO354"/>
  <c r="AQ354" s="1"/>
  <c r="AH1670" s="1"/>
  <c r="AO129"/>
  <c r="BC167"/>
  <c r="AV110"/>
  <c r="AV101"/>
  <c r="BJ115"/>
  <c r="BC300"/>
  <c r="BC298"/>
  <c r="AV42"/>
  <c r="AO29"/>
  <c r="AQ29" s="1"/>
  <c r="AH436" s="1"/>
  <c r="AI436" s="1"/>
  <c r="AV336"/>
  <c r="AV280"/>
  <c r="AV375"/>
  <c r="BC234"/>
  <c r="AV81"/>
  <c r="BC6"/>
  <c r="BJ103"/>
  <c r="BL103" s="1"/>
  <c r="BJ173"/>
  <c r="BJ357"/>
  <c r="BL357" s="1"/>
  <c r="AO322"/>
  <c r="AQ322" s="1"/>
  <c r="AH1638" s="1"/>
  <c r="AO188"/>
  <c r="AV6"/>
  <c r="AV354"/>
  <c r="AV275"/>
  <c r="AO54"/>
  <c r="AQ54" s="1"/>
  <c r="AH461" s="1"/>
  <c r="AI461" s="1"/>
  <c r="BJ116"/>
  <c r="BC32"/>
  <c r="BJ282"/>
  <c r="AO8"/>
  <c r="AQ8" s="1"/>
  <c r="AH415" s="1"/>
  <c r="AI415" s="1"/>
  <c r="AV266"/>
  <c r="BJ61"/>
  <c r="AO87"/>
  <c r="AQ87" s="1"/>
  <c r="AH494" s="1"/>
  <c r="AI494" s="1"/>
  <c r="BJ124"/>
  <c r="BC102"/>
  <c r="AO17"/>
  <c r="AQ17" s="1"/>
  <c r="AH424" s="1"/>
  <c r="AI424" s="1"/>
  <c r="AV73"/>
  <c r="BJ307"/>
  <c r="BL307" s="1"/>
  <c r="AV120"/>
  <c r="AV111"/>
  <c r="BC120"/>
  <c r="AO290"/>
  <c r="BJ177"/>
  <c r="AO255"/>
  <c r="AO98"/>
  <c r="AQ98" s="1"/>
  <c r="AH505" s="1"/>
  <c r="AI505" s="1"/>
  <c r="AO336"/>
  <c r="AQ336" s="1"/>
  <c r="AH1652" s="1"/>
  <c r="BJ6"/>
  <c r="BJ287"/>
  <c r="AO277"/>
  <c r="BJ269"/>
  <c r="BJ400"/>
  <c r="BL400" s="1"/>
  <c r="BC168"/>
  <c r="BC383"/>
  <c r="AO160"/>
  <c r="BJ212"/>
  <c r="AO51"/>
  <c r="AQ51" s="1"/>
  <c r="AH458" s="1"/>
  <c r="AI458" s="1"/>
  <c r="AO39"/>
  <c r="AQ39" s="1"/>
  <c r="AH446" s="1"/>
  <c r="AI446" s="1"/>
  <c r="BJ86"/>
  <c r="BC77"/>
  <c r="AV256"/>
  <c r="AV40"/>
  <c r="AO64"/>
  <c r="AQ64" s="1"/>
  <c r="AH471" s="1"/>
  <c r="AI471" s="1"/>
  <c r="AO19"/>
  <c r="AQ19" s="1"/>
  <c r="AH426" s="1"/>
  <c r="AI426" s="1"/>
  <c r="BC293"/>
  <c r="AV379"/>
  <c r="AV222"/>
  <c r="AV74"/>
  <c r="BJ305"/>
  <c r="AV368"/>
  <c r="AO217"/>
  <c r="AO321"/>
  <c r="AQ321" s="1"/>
  <c r="AH1637" s="1"/>
  <c r="AO376"/>
  <c r="AQ376" s="1"/>
  <c r="AH1692" s="1"/>
  <c r="AV88"/>
  <c r="AV141"/>
  <c r="AO249"/>
  <c r="AO388"/>
  <c r="AQ388" s="1"/>
  <c r="AH1704" s="1"/>
  <c r="AO292"/>
  <c r="BC42"/>
  <c r="BJ182"/>
  <c r="BC99"/>
  <c r="BJ75"/>
  <c r="BJ11"/>
  <c r="AV404"/>
  <c r="BC192"/>
  <c r="BJ227"/>
  <c r="AV285"/>
  <c r="AO169"/>
  <c r="AO7"/>
  <c r="AQ7" s="1"/>
  <c r="AH414" s="1"/>
  <c r="AI414" s="1"/>
  <c r="AV366"/>
  <c r="AO224"/>
  <c r="AO261"/>
  <c r="AO150"/>
  <c r="AV328"/>
  <c r="AV298"/>
  <c r="AO325"/>
  <c r="AQ325" s="1"/>
  <c r="AH1641" s="1"/>
  <c r="AV61"/>
  <c r="AO128"/>
  <c r="AO73"/>
  <c r="AQ73" s="1"/>
  <c r="AH480" s="1"/>
  <c r="AI480" s="1"/>
  <c r="BJ153"/>
  <c r="BC389"/>
  <c r="AO280"/>
  <c r="AO185"/>
  <c r="AO282"/>
  <c r="AV288"/>
  <c r="AV167"/>
  <c r="BC236"/>
  <c r="BC381"/>
  <c r="AV278"/>
  <c r="AV142"/>
  <c r="BJ257"/>
  <c r="AV46"/>
  <c r="BJ248"/>
  <c r="BJ209"/>
  <c r="BC94"/>
  <c r="BJ80"/>
  <c r="BJ270"/>
  <c r="BC272"/>
  <c r="BJ111"/>
  <c r="AV263"/>
  <c r="AV309"/>
  <c r="BC368"/>
  <c r="AV319"/>
  <c r="AO25"/>
  <c r="AQ25" s="1"/>
  <c r="AH432" s="1"/>
  <c r="AI432" s="1"/>
  <c r="BC74"/>
  <c r="AV302"/>
  <c r="BJ107"/>
  <c r="AV126"/>
  <c r="AO236"/>
  <c r="BJ137"/>
  <c r="AV94"/>
  <c r="BJ397"/>
  <c r="BL397" s="1"/>
  <c r="BJ380"/>
  <c r="BL380" s="1"/>
  <c r="AO278"/>
  <c r="AO367"/>
  <c r="AQ367" s="1"/>
  <c r="AH1683" s="1"/>
  <c r="BC24"/>
  <c r="BC398"/>
  <c r="BC332"/>
  <c r="BC386"/>
  <c r="BJ388"/>
  <c r="BL388" s="1"/>
  <c r="BC354"/>
  <c r="AV147"/>
  <c r="BJ34"/>
  <c r="BJ77"/>
  <c r="BJ130"/>
  <c r="AV329"/>
  <c r="AV38"/>
  <c r="BC247"/>
  <c r="AO110"/>
  <c r="BJ246"/>
  <c r="BJ36"/>
  <c r="BJ206"/>
  <c r="BC152"/>
  <c r="AV247"/>
  <c r="BC261"/>
  <c r="AV77"/>
  <c r="AO21"/>
  <c r="AQ21" s="1"/>
  <c r="AH428" s="1"/>
  <c r="AI428" s="1"/>
  <c r="AO216"/>
  <c r="BC369"/>
  <c r="AV282"/>
  <c r="BC233"/>
  <c r="AV84"/>
  <c r="BC27"/>
  <c r="BC130"/>
  <c r="AO161"/>
  <c r="BC349"/>
  <c r="BC281"/>
  <c r="BJ302"/>
  <c r="BJ135"/>
  <c r="BJ169"/>
  <c r="BJ207"/>
  <c r="AO159"/>
  <c r="AO126"/>
  <c r="BC60"/>
  <c r="AV23"/>
  <c r="BC405"/>
  <c r="AV33"/>
  <c r="BC197"/>
  <c r="BJ112"/>
  <c r="AV320"/>
  <c r="BJ33"/>
  <c r="AO239"/>
  <c r="AV281"/>
  <c r="AV10"/>
  <c r="BJ142"/>
  <c r="AO229"/>
  <c r="AO273"/>
  <c r="AV313"/>
  <c r="AO291"/>
  <c r="AO71"/>
  <c r="AQ71" s="1"/>
  <c r="AH478" s="1"/>
  <c r="AI478" s="1"/>
  <c r="BJ231"/>
  <c r="AV396"/>
  <c r="AV186"/>
  <c r="BC41"/>
  <c r="AO365"/>
  <c r="AQ365" s="1"/>
  <c r="AH1681" s="1"/>
  <c r="AV16"/>
  <c r="AV397"/>
  <c r="BJ381"/>
  <c r="BL381" s="1"/>
  <c r="AV17"/>
  <c r="BC241"/>
  <c r="AV138"/>
  <c r="BC20"/>
  <c r="BJ158"/>
  <c r="BJ356"/>
  <c r="BL356" s="1"/>
  <c r="BJ355"/>
  <c r="BL355" s="1"/>
  <c r="AV136"/>
  <c r="BJ272"/>
  <c r="AO18"/>
  <c r="AQ18" s="1"/>
  <c r="AH425" s="1"/>
  <c r="AI425" s="1"/>
  <c r="AO143"/>
  <c r="BC84"/>
  <c r="AO264"/>
  <c r="BC360"/>
  <c r="AO181"/>
  <c r="BJ294"/>
  <c r="AV221"/>
  <c r="AO180"/>
  <c r="BJ10"/>
  <c r="BC271"/>
  <c r="BJ335"/>
  <c r="BL335" s="1"/>
  <c r="BC275"/>
  <c r="AV332"/>
  <c r="AV272"/>
  <c r="AO167"/>
  <c r="BC210"/>
  <c r="AV25"/>
  <c r="AO101"/>
  <c r="AQ101" s="1"/>
  <c r="AH508" s="1"/>
  <c r="AI508" s="1"/>
  <c r="AO301"/>
  <c r="BC33"/>
  <c r="BC279"/>
  <c r="AO345"/>
  <c r="AQ345" s="1"/>
  <c r="AH1661" s="1"/>
  <c r="BJ291"/>
  <c r="AV185"/>
  <c r="BJ166"/>
  <c r="BC108"/>
  <c r="AO342"/>
  <c r="AQ342" s="1"/>
  <c r="AH1658" s="1"/>
  <c r="BC46"/>
  <c r="AO361"/>
  <c r="AQ361" s="1"/>
  <c r="AH1677" s="1"/>
  <c r="AO43"/>
  <c r="AQ43" s="1"/>
  <c r="AH450" s="1"/>
  <c r="AI450" s="1"/>
  <c r="AV294"/>
  <c r="BJ226"/>
  <c r="AV76"/>
  <c r="BJ185"/>
  <c r="AO226"/>
  <c r="AO227"/>
  <c r="BJ264"/>
  <c r="AV57"/>
  <c r="AO274"/>
  <c r="AV273"/>
  <c r="AO311"/>
  <c r="AQ311" s="1"/>
  <c r="AH1627" s="1"/>
  <c r="AV100"/>
  <c r="BC138"/>
  <c r="BC67"/>
  <c r="BJ205"/>
  <c r="AV7"/>
  <c r="BC226"/>
  <c r="BJ368"/>
  <c r="BL368" s="1"/>
  <c r="BC141"/>
  <c r="AV220"/>
  <c r="BJ82"/>
  <c r="AO268"/>
  <c r="BJ49"/>
  <c r="BC199"/>
  <c r="AO91"/>
  <c r="AQ91" s="1"/>
  <c r="AH498" s="1"/>
  <c r="AI498" s="1"/>
  <c r="AV130"/>
  <c r="BJ348"/>
  <c r="BL348" s="1"/>
  <c r="BC100"/>
  <c r="AO81"/>
  <c r="AQ81" s="1"/>
  <c r="AH488" s="1"/>
  <c r="AI488" s="1"/>
  <c r="BC313"/>
  <c r="BJ87"/>
  <c r="AO286"/>
  <c r="BJ240"/>
  <c r="BC25"/>
  <c r="BC206"/>
  <c r="BC301"/>
  <c r="BC388"/>
  <c r="BC290"/>
  <c r="BJ372"/>
  <c r="BL372" s="1"/>
  <c r="AV387"/>
  <c r="AV260"/>
  <c r="AV322"/>
  <c r="BJ163"/>
  <c r="BC171"/>
  <c r="AV91"/>
  <c r="AV361"/>
  <c r="AV286"/>
  <c r="BJ64"/>
  <c r="BJ304"/>
  <c r="AV154"/>
  <c r="AO225"/>
  <c r="BC5"/>
  <c r="BC371"/>
  <c r="BC367"/>
  <c r="AV324"/>
  <c r="BJ123"/>
  <c r="BJ390"/>
  <c r="BL390" s="1"/>
  <c r="AO257"/>
  <c r="AO196"/>
  <c r="BJ223"/>
  <c r="AV55"/>
  <c r="AO323"/>
  <c r="AQ323" s="1"/>
  <c r="AH1639" s="1"/>
  <c r="AO285"/>
  <c r="AV227"/>
  <c r="BJ167"/>
  <c r="BC189"/>
  <c r="BJ31"/>
  <c r="BC86"/>
  <c r="BC8"/>
  <c r="AV380"/>
  <c r="BC131"/>
  <c r="BC191"/>
  <c r="BJ263"/>
  <c r="AO151"/>
  <c r="BC200"/>
  <c r="AO222"/>
  <c r="BJ19"/>
  <c r="BJ197"/>
  <c r="AO299"/>
  <c r="AO231"/>
  <c r="AV70"/>
  <c r="BC112"/>
  <c r="AO223"/>
  <c r="AO72"/>
  <c r="AQ72" s="1"/>
  <c r="AH479" s="1"/>
  <c r="AI479" s="1"/>
  <c r="BC333"/>
  <c r="BC255"/>
  <c r="BC252"/>
  <c r="AO182"/>
  <c r="AV95"/>
  <c r="BJ286"/>
  <c r="AO241"/>
  <c r="BC218"/>
  <c r="BC249"/>
  <c r="AO210"/>
  <c r="AV331"/>
  <c r="BC160"/>
  <c r="BC304"/>
  <c r="BJ126"/>
  <c r="AV234"/>
  <c r="AO83"/>
  <c r="AQ83" s="1"/>
  <c r="AH490" s="1"/>
  <c r="AI490" s="1"/>
  <c r="BC326"/>
  <c r="BC93"/>
  <c r="AV400"/>
  <c r="BC22"/>
  <c r="BC137"/>
  <c r="BJ405"/>
  <c r="BL405" s="1"/>
  <c r="BJ387"/>
  <c r="BL387" s="1"/>
  <c r="BJ219"/>
  <c r="BC342"/>
  <c r="AV351"/>
  <c r="BC239"/>
  <c r="BC18"/>
  <c r="AV184"/>
  <c r="AO37"/>
  <c r="AQ37" s="1"/>
  <c r="AH444" s="1"/>
  <c r="AI444" s="1"/>
  <c r="AV213"/>
  <c r="BJ321"/>
  <c r="BL321" s="1"/>
  <c r="AV312"/>
  <c r="AV137"/>
  <c r="BC39"/>
  <c r="BJ150"/>
  <c r="BJ344"/>
  <c r="BL344" s="1"/>
  <c r="BJ71"/>
  <c r="BJ268"/>
  <c r="BC351"/>
  <c r="AV402"/>
  <c r="BC256"/>
  <c r="BJ171"/>
  <c r="BJ247"/>
  <c r="BJ149"/>
  <c r="BJ74"/>
  <c r="BC224"/>
  <c r="BJ131"/>
  <c r="AV341"/>
  <c r="AV20"/>
  <c r="BJ259"/>
  <c r="BJ183"/>
  <c r="AV299"/>
  <c r="AO247"/>
  <c r="AV357"/>
  <c r="AO68"/>
  <c r="AQ68" s="1"/>
  <c r="AH475" s="1"/>
  <c r="AI475" s="1"/>
  <c r="BJ172"/>
  <c r="BJ55"/>
  <c r="BC403"/>
  <c r="AV239"/>
  <c r="BJ129"/>
  <c r="AV384"/>
  <c r="AV121"/>
  <c r="BJ14"/>
  <c r="BJ194"/>
  <c r="AV401"/>
  <c r="BC68"/>
  <c r="AV243"/>
  <c r="BJ394"/>
  <c r="BL394" s="1"/>
  <c r="BC365"/>
  <c r="BC238"/>
  <c r="BJ96"/>
  <c r="BC29"/>
  <c r="BJ15"/>
  <c r="BJ140"/>
  <c r="AO46"/>
  <c r="AQ46" s="1"/>
  <c r="AH453" s="1"/>
  <c r="AI453" s="1"/>
  <c r="BC66"/>
  <c r="AV207"/>
  <c r="AV315"/>
  <c r="BC165"/>
  <c r="BJ175"/>
  <c r="BC158"/>
  <c r="AO233"/>
  <c r="BJ229"/>
  <c r="BC181"/>
  <c r="BC344"/>
  <c r="AV403"/>
  <c r="BJ279"/>
  <c r="BJ362"/>
  <c r="BL362" s="1"/>
  <c r="AO235"/>
  <c r="BC314"/>
  <c r="BC13"/>
  <c r="BJ201"/>
  <c r="BJ359"/>
  <c r="BL359" s="1"/>
  <c r="BC142"/>
  <c r="BJ133"/>
  <c r="BJ7"/>
  <c r="AV13"/>
  <c r="BC203"/>
  <c r="BJ310"/>
  <c r="BL310" s="1"/>
  <c r="AV232"/>
  <c r="BC232"/>
  <c r="BC285"/>
  <c r="AV376"/>
  <c r="AV283"/>
  <c r="AV122"/>
  <c r="BJ69"/>
  <c r="AO142"/>
  <c r="BJ48"/>
  <c r="AV191"/>
  <c r="BC292"/>
  <c r="BC227"/>
  <c r="AV150"/>
  <c r="BJ322"/>
  <c r="BL322" s="1"/>
  <c r="BJ25"/>
  <c r="AO203"/>
  <c r="AV196"/>
  <c r="AO212"/>
  <c r="AO404"/>
  <c r="AQ404" s="1"/>
  <c r="AH1720" s="1"/>
  <c r="AV371"/>
  <c r="BJ375"/>
  <c r="BL375" s="1"/>
  <c r="BJ315"/>
  <c r="BL315" s="1"/>
  <c r="AO152"/>
  <c r="AO245"/>
  <c r="BC175"/>
  <c r="BJ336"/>
  <c r="BL336" s="1"/>
  <c r="BC259"/>
  <c r="AO237"/>
  <c r="BC23"/>
  <c r="BC380"/>
  <c r="BC213"/>
  <c r="AV290"/>
  <c r="BC374"/>
  <c r="BJ203"/>
  <c r="BC343"/>
  <c r="AO317"/>
  <c r="AQ317" s="1"/>
  <c r="AH1633" s="1"/>
  <c r="AO228"/>
  <c r="AV238"/>
  <c r="BC397"/>
  <c r="AO205"/>
  <c r="BC40"/>
  <c r="AV146"/>
  <c r="AO85"/>
  <c r="AQ85" s="1"/>
  <c r="AH492" s="1"/>
  <c r="AI492" s="1"/>
  <c r="AO67"/>
  <c r="AQ67" s="1"/>
  <c r="AH474" s="1"/>
  <c r="AI474" s="1"/>
  <c r="AO400"/>
  <c r="AQ400" s="1"/>
  <c r="AH1716" s="1"/>
  <c r="BC11"/>
  <c r="BC3"/>
  <c r="BC154"/>
  <c r="AV274"/>
  <c r="AO175"/>
  <c r="BJ99"/>
  <c r="BJ232"/>
  <c r="BC306"/>
  <c r="AV251"/>
  <c r="AV228"/>
  <c r="AO52"/>
  <c r="AQ52" s="1"/>
  <c r="AH459" s="1"/>
  <c r="AI459" s="1"/>
  <c r="BC307"/>
  <c r="BC362"/>
  <c r="BC132"/>
  <c r="BC176"/>
  <c r="BC382"/>
  <c r="BC220"/>
  <c r="BC401"/>
  <c r="BJ84"/>
  <c r="BJ243"/>
  <c r="AV393"/>
  <c r="AV254"/>
  <c r="BC318"/>
  <c r="AO242"/>
  <c r="AV69"/>
  <c r="BJ361"/>
  <c r="BL361" s="1"/>
  <c r="BC17"/>
  <c r="BJ271"/>
  <c r="BC135"/>
  <c r="BJ230"/>
  <c r="BC353"/>
  <c r="AV109"/>
  <c r="AO118"/>
  <c r="AV216"/>
  <c r="AV333"/>
  <c r="BC4"/>
  <c r="BC384"/>
  <c r="BC48"/>
  <c r="BC134"/>
  <c r="BJ239"/>
  <c r="AO296"/>
  <c r="BJ42"/>
  <c r="BJ102"/>
  <c r="BJ105"/>
  <c r="BJ18"/>
  <c r="AO215"/>
  <c r="AV182"/>
  <c r="AV271"/>
  <c r="AO55"/>
  <c r="AQ55" s="1"/>
  <c r="AH462" s="1"/>
  <c r="AI462" s="1"/>
  <c r="AV4"/>
  <c r="BJ156"/>
  <c r="BC119"/>
  <c r="BC309"/>
  <c r="AO211"/>
  <c r="BJ251"/>
  <c r="BJ79"/>
  <c r="BJ43"/>
  <c r="BJ83"/>
  <c r="BC336"/>
  <c r="BC370"/>
  <c r="BC394"/>
  <c r="AV65"/>
  <c r="BJ47"/>
  <c r="AO100"/>
  <c r="AQ100" s="1"/>
  <c r="AH507" s="1"/>
  <c r="AI507" s="1"/>
  <c r="BJ63"/>
  <c r="BC337"/>
  <c r="BC242"/>
  <c r="BC125"/>
  <c r="AO250"/>
  <c r="AV330"/>
  <c r="BC363"/>
  <c r="AO36"/>
  <c r="AQ36" s="1"/>
  <c r="AH443" s="1"/>
  <c r="AI443" s="1"/>
  <c r="BJ165"/>
  <c r="AO113"/>
  <c r="AO53"/>
  <c r="AQ53" s="1"/>
  <c r="AH460" s="1"/>
  <c r="AI460" s="1"/>
  <c r="AO221"/>
  <c r="BC347"/>
  <c r="AO86"/>
  <c r="AQ86" s="1"/>
  <c r="AH493" s="1"/>
  <c r="AI493" s="1"/>
  <c r="AV151"/>
  <c r="BC348"/>
  <c r="AV103"/>
  <c r="AX103" s="1"/>
  <c r="AV158"/>
  <c r="BC321"/>
  <c r="AV78"/>
  <c r="BJ57"/>
  <c r="AO392"/>
  <c r="AQ392" s="1"/>
  <c r="AH1708" s="1"/>
  <c r="BC57"/>
  <c r="BC399"/>
  <c r="AV308"/>
  <c r="BJ218"/>
  <c r="BC345"/>
  <c r="BC302"/>
  <c r="BJ222"/>
  <c r="AO178"/>
  <c r="BJ318"/>
  <c r="BL318" s="1"/>
  <c r="BC299"/>
  <c r="BC295"/>
  <c r="BJ228"/>
  <c r="BC28"/>
  <c r="AO189"/>
  <c r="BJ41"/>
  <c r="AV189"/>
  <c r="AV175"/>
  <c r="BJ402"/>
  <c r="BL402" s="1"/>
  <c r="BC16"/>
  <c r="BJ128"/>
  <c r="BJ32"/>
  <c r="AV339"/>
  <c r="AO206"/>
  <c r="BJ24"/>
  <c r="BC193"/>
  <c r="BJ119"/>
  <c r="BJ256"/>
  <c r="AV113"/>
  <c r="BJ155"/>
  <c r="BJ164"/>
  <c r="AV347"/>
  <c r="BJ26"/>
  <c r="BJ331"/>
  <c r="BL331" s="1"/>
  <c r="AO107"/>
  <c r="BC359"/>
  <c r="BJ8"/>
  <c r="BC265"/>
  <c r="AV35"/>
  <c r="AV359"/>
  <c r="AV279"/>
  <c r="BJ366"/>
  <c r="BL366" s="1"/>
  <c r="BC352"/>
  <c r="AV268"/>
  <c r="BJ260"/>
  <c r="BJ370"/>
  <c r="BL370" s="1"/>
  <c r="BJ168"/>
  <c r="BC291"/>
  <c r="BJ138"/>
  <c r="AV304"/>
  <c r="AV338"/>
  <c r="BJ66"/>
  <c r="BJ117"/>
  <c r="AV105"/>
  <c r="BJ193"/>
  <c r="BJ295"/>
  <c r="AV289"/>
  <c r="BC136"/>
  <c r="AO208"/>
  <c r="BC356"/>
  <c r="BC222"/>
  <c r="BC274"/>
  <c r="AV373"/>
  <c r="BC184"/>
  <c r="AO295"/>
  <c r="BJ202"/>
  <c r="BJ242"/>
  <c r="BC190"/>
  <c r="AV148"/>
  <c r="BC195"/>
  <c r="BJ340"/>
  <c r="BL340" s="1"/>
  <c r="BC122"/>
  <c r="BJ184"/>
  <c r="BJ39"/>
  <c r="BC157"/>
  <c r="AV127"/>
  <c r="BC166"/>
  <c r="AV311"/>
  <c r="BC395"/>
  <c r="AV249"/>
  <c r="AV257"/>
  <c r="AV22"/>
  <c r="AV362"/>
  <c r="BC267"/>
  <c r="AV112"/>
  <c r="BJ252"/>
  <c r="BC277"/>
  <c r="AV41"/>
  <c r="AO218"/>
  <c r="BJ159"/>
  <c r="AV192"/>
  <c r="BJ125"/>
  <c r="AV157"/>
  <c r="BJ17"/>
  <c r="AV323"/>
  <c r="BJ160"/>
  <c r="AV346"/>
  <c r="BC2"/>
  <c r="BE2" s="1"/>
  <c r="AH611" s="1"/>
  <c r="AI611" s="1"/>
  <c r="BJ196"/>
  <c r="AV66"/>
  <c r="AO263"/>
  <c r="AO251"/>
  <c r="AV305"/>
  <c r="AX305" s="1"/>
  <c r="BJ28"/>
  <c r="BJ76"/>
  <c r="AV316"/>
  <c r="AV317"/>
  <c r="BJ46"/>
  <c r="AO254"/>
  <c r="BJ198"/>
  <c r="BJ45"/>
  <c r="AV54"/>
  <c r="BC260"/>
  <c r="BJ324"/>
  <c r="BL324" s="1"/>
  <c r="BJ217"/>
  <c r="AV360"/>
  <c r="AV303"/>
  <c r="BC231"/>
  <c r="AO174"/>
  <c r="AO259"/>
  <c r="BJ154"/>
  <c r="AO240"/>
  <c r="BC147"/>
  <c r="BJ151"/>
  <c r="AO230"/>
  <c r="BC264"/>
  <c r="BJ95"/>
  <c r="AV64"/>
  <c r="AV124"/>
  <c r="AO315"/>
  <c r="AQ315" s="1"/>
  <c r="AH1631" s="1"/>
  <c r="BJ371"/>
  <c r="BL371" s="1"/>
  <c r="AV172"/>
  <c r="BJ351"/>
  <c r="BL351" s="1"/>
  <c r="AV45"/>
  <c r="BC106"/>
  <c r="BJ176"/>
  <c r="AO103"/>
  <c r="AQ103" s="1"/>
  <c r="AH813" s="1"/>
  <c r="AI813" s="1"/>
  <c r="AV135"/>
  <c r="AO213"/>
  <c r="BC317"/>
  <c r="BJ110"/>
  <c r="AV52"/>
  <c r="AV115"/>
  <c r="BJ267"/>
  <c r="BJ333"/>
  <c r="BL333" s="1"/>
  <c r="BC402"/>
  <c r="AV344"/>
  <c r="BC341"/>
  <c r="AO209"/>
  <c r="BC262"/>
  <c r="AO84"/>
  <c r="AQ84" s="1"/>
  <c r="AH491" s="1"/>
  <c r="AI491" s="1"/>
  <c r="BJ101"/>
  <c r="BC144"/>
  <c r="BJ195"/>
  <c r="BJ364"/>
  <c r="BL364" s="1"/>
  <c r="BJ134"/>
  <c r="BJ354"/>
  <c r="BL354" s="1"/>
  <c r="BC322"/>
  <c r="BJ104"/>
  <c r="AO192"/>
  <c r="AV394"/>
  <c r="AO190"/>
  <c r="AO195"/>
  <c r="BC250"/>
  <c r="BC35"/>
  <c r="AV264"/>
  <c r="BJ273"/>
  <c r="AV385"/>
  <c r="AO89"/>
  <c r="AQ89" s="1"/>
  <c r="AH496" s="1"/>
  <c r="AI496" s="1"/>
  <c r="BJ21"/>
  <c r="AV67"/>
  <c r="AO256"/>
  <c r="BC63"/>
  <c r="BJ330"/>
  <c r="BL330" s="1"/>
  <c r="AO302"/>
  <c r="AO168"/>
  <c r="BJ237"/>
  <c r="AV269"/>
  <c r="AO162"/>
  <c r="AO341"/>
  <c r="AQ341" s="1"/>
  <c r="AH1657" s="1"/>
  <c r="AO177"/>
  <c r="BJ300"/>
  <c r="AO207"/>
  <c r="BJ52"/>
  <c r="BC177"/>
  <c r="BJ236"/>
  <c r="BJ118"/>
  <c r="AV211"/>
  <c r="BC198"/>
  <c r="BC82"/>
  <c r="BC387"/>
  <c r="BJ70"/>
  <c r="BC372"/>
  <c r="AV236"/>
  <c r="AV177"/>
  <c r="BC327"/>
  <c r="AO108"/>
  <c r="BJ332"/>
  <c r="BL332" s="1"/>
  <c r="BJ343"/>
  <c r="BL343" s="1"/>
  <c r="AO93"/>
  <c r="AQ93" s="1"/>
  <c r="AH500" s="1"/>
  <c r="AI500" s="1"/>
  <c r="AO117"/>
  <c r="BC75"/>
  <c r="BJ373"/>
  <c r="BL373" s="1"/>
  <c r="BJ284"/>
  <c r="AV5"/>
  <c r="AO270"/>
  <c r="AO131"/>
  <c r="BC339"/>
  <c r="AV97"/>
  <c r="AO11"/>
  <c r="AQ11" s="1"/>
  <c r="AH418" s="1"/>
  <c r="AI418" s="1"/>
  <c r="BC12"/>
  <c r="BJ234"/>
  <c r="BJ312"/>
  <c r="BL312" s="1"/>
  <c r="AV21"/>
  <c r="BJ224"/>
  <c r="AO147"/>
  <c r="AV345"/>
  <c r="BJ255"/>
  <c r="AV129"/>
  <c r="BJ369"/>
  <c r="BL369" s="1"/>
  <c r="AV356"/>
  <c r="BC268"/>
  <c r="BJ367"/>
  <c r="BL367" s="1"/>
  <c r="AO303"/>
  <c r="AV98"/>
  <c r="BJ278"/>
  <c r="AV209"/>
  <c r="AV340"/>
  <c r="BC126"/>
  <c r="BJ2"/>
  <c r="BL2" s="1"/>
  <c r="AH712" s="1"/>
  <c r="AI712" s="1"/>
  <c r="BJ353"/>
  <c r="BL353" s="1"/>
  <c r="AO28"/>
  <c r="AQ28" s="1"/>
  <c r="AH435" s="1"/>
  <c r="AI435" s="1"/>
  <c r="AV284"/>
  <c r="BC248"/>
  <c r="AO326"/>
  <c r="AQ326" s="1"/>
  <c r="AH1642" s="1"/>
  <c r="BC202"/>
  <c r="BJ326"/>
  <c r="BL326" s="1"/>
  <c r="AV398"/>
  <c r="AO399"/>
  <c r="AQ399" s="1"/>
  <c r="AH1715" s="1"/>
  <c r="BJ385"/>
  <c r="BL385" s="1"/>
  <c r="BC145"/>
  <c r="AO293"/>
  <c r="BJ44"/>
  <c r="AO76"/>
  <c r="AQ76" s="1"/>
  <c r="AH483" s="1"/>
  <c r="AI483" s="1"/>
  <c r="BC118"/>
  <c r="BC151"/>
  <c r="BJ254"/>
  <c r="BJ292"/>
  <c r="AO346"/>
  <c r="AQ346" s="1"/>
  <c r="AH1662" s="1"/>
  <c r="BC276"/>
  <c r="BJ306"/>
  <c r="BL306" s="1"/>
  <c r="AV262"/>
  <c r="BC81"/>
  <c r="AV202"/>
  <c r="AO305"/>
  <c r="AQ305" s="1"/>
  <c r="AH1621" s="1"/>
  <c r="AV382"/>
  <c r="BJ122"/>
  <c r="AV183"/>
  <c r="AO173"/>
  <c r="BC225"/>
  <c r="AO134"/>
  <c r="AV108"/>
  <c r="AO157"/>
  <c r="BC87"/>
  <c r="AO3"/>
  <c r="AQ3" s="1"/>
  <c r="AH410" s="1"/>
  <c r="AI410" s="1"/>
  <c r="AV131"/>
  <c r="AV261"/>
  <c r="BJ309"/>
  <c r="BL309" s="1"/>
  <c r="BJ93"/>
  <c r="AO149"/>
  <c r="BC312"/>
  <c r="BJ174"/>
  <c r="AV352"/>
  <c r="BC91"/>
  <c r="BJ3"/>
  <c r="AO22"/>
  <c r="AQ22" s="1"/>
  <c r="AH429" s="1"/>
  <c r="AI429" s="1"/>
  <c r="BJ152"/>
  <c r="AV85"/>
  <c r="AO139"/>
  <c r="AV187"/>
  <c r="BJ65"/>
  <c r="BJ59"/>
  <c r="BC34"/>
  <c r="AO164"/>
  <c r="BC115"/>
  <c r="AV83"/>
  <c r="AO279"/>
  <c r="BC211"/>
  <c r="AV139"/>
  <c r="BC325"/>
  <c r="BC143"/>
  <c r="BJ225"/>
  <c r="BC179"/>
  <c r="AO154"/>
  <c r="AO220"/>
  <c r="BJ187"/>
  <c r="AO138"/>
  <c r="AO304"/>
  <c r="BC196"/>
  <c r="AO148"/>
  <c r="BC385"/>
  <c r="AV296"/>
  <c r="AV179"/>
  <c r="BJ320"/>
  <c r="BL320" s="1"/>
  <c r="AO170"/>
  <c r="AV117"/>
  <c r="BC286"/>
  <c r="AV292"/>
  <c r="AO102"/>
  <c r="AQ102" s="1"/>
  <c r="AH509" s="1"/>
  <c r="AI509" s="1"/>
  <c r="BJ98"/>
  <c r="AV237"/>
  <c r="AV255"/>
  <c r="AV9"/>
  <c r="AV208"/>
  <c r="AV267"/>
  <c r="BC156"/>
  <c r="AV377"/>
  <c r="AO38"/>
  <c r="AQ38" s="1"/>
  <c r="AH445" s="1"/>
  <c r="AI445" s="1"/>
  <c r="BJ266"/>
  <c r="BC228"/>
  <c r="BC44"/>
  <c r="BJ301"/>
  <c r="AO394"/>
  <c r="AQ394" s="1"/>
  <c r="AH1710" s="1"/>
  <c r="BC50"/>
  <c r="AV203"/>
  <c r="AO20"/>
  <c r="AQ20" s="1"/>
  <c r="AH427" s="1"/>
  <c r="AI427" s="1"/>
  <c r="AV27"/>
  <c r="AV374"/>
  <c r="BC266"/>
  <c r="BJ386"/>
  <c r="BL386" s="1"/>
  <c r="AO44"/>
  <c r="AQ44" s="1"/>
  <c r="AH451" s="1"/>
  <c r="AI451" s="1"/>
  <c r="BC390"/>
  <c r="BC159"/>
  <c r="BC230"/>
  <c r="BC83"/>
  <c r="BJ347"/>
  <c r="BL347" s="1"/>
  <c r="BJ349"/>
  <c r="BL349" s="1"/>
  <c r="BC123"/>
  <c r="AV102"/>
  <c r="BC104"/>
  <c r="AV235"/>
  <c r="AO219"/>
  <c r="BC319"/>
  <c r="AV194"/>
  <c r="AV217"/>
  <c r="BJ97"/>
  <c r="BC65"/>
  <c r="BJ328"/>
  <c r="BL328" s="1"/>
  <c r="AV18"/>
  <c r="BC164"/>
  <c r="BC61"/>
  <c r="AO5"/>
  <c r="AQ5" s="1"/>
  <c r="AH412" s="1"/>
  <c r="AI412" s="1"/>
  <c r="BJ376"/>
  <c r="BL376" s="1"/>
  <c r="AV405"/>
  <c r="BC96"/>
  <c r="BC364"/>
  <c r="BC26"/>
  <c r="BJ89"/>
  <c r="BC329"/>
  <c r="BJ16"/>
  <c r="AV159"/>
  <c r="BC169"/>
  <c r="AV161"/>
  <c r="AO272"/>
  <c r="BC205"/>
  <c r="AV163"/>
  <c r="BJ120"/>
  <c r="BC257"/>
  <c r="BC310"/>
  <c r="BC58"/>
  <c r="AO111"/>
  <c r="AO50"/>
  <c r="AQ50" s="1"/>
  <c r="AH457" s="1"/>
  <c r="AI457" s="1"/>
  <c r="BC73"/>
  <c r="AV388"/>
  <c r="BC21"/>
  <c r="AO284"/>
  <c r="AV365"/>
  <c r="AO24"/>
  <c r="AQ24" s="1"/>
  <c r="AH431" s="1"/>
  <c r="AI431" s="1"/>
  <c r="AV145"/>
  <c r="AV291"/>
  <c r="BJ379"/>
  <c r="BL379" s="1"/>
  <c r="AV246"/>
  <c r="BC149"/>
  <c r="AO366"/>
  <c r="AQ366" s="1"/>
  <c r="AH1682" s="1"/>
  <c r="BC103"/>
  <c r="BE103" s="1"/>
  <c r="AO88"/>
  <c r="AQ88" s="1"/>
  <c r="AH495" s="1"/>
  <c r="AI495" s="1"/>
  <c r="AO234"/>
  <c r="AV75"/>
  <c r="AV198"/>
  <c r="AV226"/>
  <c r="BC334"/>
  <c r="BJ40"/>
  <c r="BJ161"/>
  <c r="BJ78"/>
  <c r="AV160"/>
  <c r="BC173"/>
  <c r="BJ162"/>
  <c r="BC379"/>
  <c r="BC7"/>
  <c r="AO13"/>
  <c r="AQ13" s="1"/>
  <c r="AH420" s="1"/>
  <c r="AI420" s="1"/>
  <c r="AV392"/>
  <c r="AO47"/>
  <c r="AQ47" s="1"/>
  <c r="AH454" s="1"/>
  <c r="AI454" s="1"/>
  <c r="AV212"/>
  <c r="AO267"/>
  <c r="BJ20"/>
  <c r="BJ62"/>
  <c r="AO78"/>
  <c r="AQ78" s="1"/>
  <c r="AH485" s="1"/>
  <c r="AI485" s="1"/>
  <c r="BJ290"/>
  <c r="AV214"/>
  <c r="AO144"/>
  <c r="AV326"/>
  <c r="BC253"/>
  <c r="BC62"/>
  <c r="AV307"/>
  <c r="BC235"/>
  <c r="BJ91"/>
  <c r="BC150"/>
  <c r="AV71"/>
  <c r="BJ238"/>
  <c r="BC133"/>
  <c r="BC109"/>
  <c r="BJ311"/>
  <c r="BL311" s="1"/>
  <c r="AV215"/>
  <c r="BC323"/>
  <c r="BJ211"/>
  <c r="AV395"/>
  <c r="BJ53"/>
  <c r="BC105"/>
  <c r="BJ180"/>
  <c r="AO289"/>
  <c r="AV270"/>
  <c r="BC328"/>
  <c r="BC207"/>
  <c r="AO194"/>
  <c r="AV399"/>
  <c r="AV144"/>
  <c r="BJ4"/>
  <c r="BC392"/>
  <c r="AO184"/>
  <c r="AV370"/>
  <c r="BJ383"/>
  <c r="BL383" s="1"/>
  <c r="AV265"/>
  <c r="AV242"/>
  <c r="AV140"/>
  <c r="BJ13"/>
  <c r="BC316"/>
  <c r="AV383"/>
  <c r="AV343"/>
  <c r="AV253"/>
  <c r="BC340"/>
  <c r="AV223"/>
  <c r="AV206"/>
  <c r="BJ297"/>
  <c r="BJ392"/>
  <c r="BL392" s="1"/>
  <c r="BJ5"/>
  <c r="BC172"/>
  <c r="AV230"/>
  <c r="BC240"/>
  <c r="AO319"/>
  <c r="AQ319" s="1"/>
  <c r="AH1635" s="1"/>
  <c r="BC47"/>
  <c r="AV314"/>
  <c r="BC258"/>
  <c r="AV229"/>
  <c r="AV353"/>
  <c r="BJ113"/>
  <c r="BJ221"/>
  <c r="AO97"/>
  <c r="AQ97" s="1"/>
  <c r="AH504" s="1"/>
  <c r="AI504" s="1"/>
  <c r="AV342"/>
  <c r="BC121"/>
  <c r="BC19"/>
  <c r="AO92"/>
  <c r="AQ92" s="1"/>
  <c r="AH499" s="1"/>
  <c r="AI499" s="1"/>
  <c r="AO6"/>
  <c r="AQ6" s="1"/>
  <c r="AH413" s="1"/>
  <c r="AI413" s="1"/>
  <c r="BC366"/>
  <c r="AV32"/>
  <c r="BJ358"/>
  <c r="BL358" s="1"/>
  <c r="BC393"/>
  <c r="BC404"/>
  <c r="BJ249"/>
  <c r="BC36"/>
  <c r="AV233"/>
  <c r="BJ189"/>
  <c r="AV293"/>
  <c r="BC64"/>
  <c r="AV24"/>
  <c r="BC30"/>
  <c r="BC246"/>
  <c r="AV276"/>
  <c r="BC330"/>
  <c r="AO204"/>
  <c r="BJ148"/>
  <c r="BC391"/>
  <c r="AV245"/>
  <c r="BC375"/>
  <c r="AV104"/>
  <c r="BJ298"/>
  <c r="BJ276"/>
  <c r="BJ157"/>
  <c r="BJ262"/>
  <c r="AV155"/>
  <c r="AO135"/>
  <c r="BC270"/>
  <c r="BJ92"/>
  <c r="AV56"/>
  <c r="BJ121"/>
  <c r="BJ339"/>
  <c r="BL339" s="1"/>
  <c r="AO238"/>
  <c r="BC54"/>
  <c r="BJ277"/>
  <c r="AO389"/>
  <c r="AQ389" s="1"/>
  <c r="AH1705" s="1"/>
  <c r="AO141"/>
  <c r="AV204"/>
  <c r="AX204" s="1"/>
  <c r="BJ114"/>
  <c r="AV306"/>
  <c r="AV224"/>
  <c r="BJ170"/>
  <c r="BC187"/>
  <c r="BC219"/>
  <c r="AV116"/>
  <c r="BC59"/>
  <c r="AV58"/>
  <c r="BJ23"/>
  <c r="AV133"/>
  <c r="BC237"/>
  <c r="AO31"/>
  <c r="AQ31" s="1"/>
  <c r="AH438" s="1"/>
  <c r="AI438" s="1"/>
  <c r="BJ29"/>
  <c r="AV86"/>
  <c r="AV378"/>
  <c r="BC297"/>
  <c r="BJ190"/>
  <c r="BC9"/>
  <c r="AV372"/>
  <c r="BJ191"/>
  <c r="BC357"/>
  <c r="BC269"/>
  <c r="BE73" l="1"/>
  <c r="AH682" s="1"/>
  <c r="AI682" s="1"/>
  <c r="BE96"/>
  <c r="AH705" s="1"/>
  <c r="AI705" s="1"/>
  <c r="BE83"/>
  <c r="AH692" s="1"/>
  <c r="AI692" s="1"/>
  <c r="BL93"/>
  <c r="AH803" s="1"/>
  <c r="AI803" s="1"/>
  <c r="BE81"/>
  <c r="AH690" s="1"/>
  <c r="AI690" s="1"/>
  <c r="BL95"/>
  <c r="AH805" s="1"/>
  <c r="AI805" s="1"/>
  <c r="BL76"/>
  <c r="AH786" s="1"/>
  <c r="AI786" s="1"/>
  <c r="AX78"/>
  <c r="AH586" s="1"/>
  <c r="AI586" s="1"/>
  <c r="BL83"/>
  <c r="AH793" s="1"/>
  <c r="AI793" s="1"/>
  <c r="BL79"/>
  <c r="AH789" s="1"/>
  <c r="AI789" s="1"/>
  <c r="AX95"/>
  <c r="AH603" s="1"/>
  <c r="AI603" s="1"/>
  <c r="AX91"/>
  <c r="AH599" s="1"/>
  <c r="AI599" s="1"/>
  <c r="BL87"/>
  <c r="AH797" s="1"/>
  <c r="AI797" s="1"/>
  <c r="BL82"/>
  <c r="AH792" s="1"/>
  <c r="AI792" s="1"/>
  <c r="AX76"/>
  <c r="AH584" s="1"/>
  <c r="AI584" s="1"/>
  <c r="AX94"/>
  <c r="AH602" s="1"/>
  <c r="AI602" s="1"/>
  <c r="BE74"/>
  <c r="AH683" s="1"/>
  <c r="AI683" s="1"/>
  <c r="BE94"/>
  <c r="AH703" s="1"/>
  <c r="AI703" s="1"/>
  <c r="BL86"/>
  <c r="AH796" s="1"/>
  <c r="AI796" s="1"/>
  <c r="AX81"/>
  <c r="AH589" s="1"/>
  <c r="AI589" s="1"/>
  <c r="BE90"/>
  <c r="AH699" s="1"/>
  <c r="AI699" s="1"/>
  <c r="BL88"/>
  <c r="AH798" s="1"/>
  <c r="AI798" s="1"/>
  <c r="AX93"/>
  <c r="AH601" s="1"/>
  <c r="AI601" s="1"/>
  <c r="AX87"/>
  <c r="AH595" s="1"/>
  <c r="AI595" s="1"/>
  <c r="BE92"/>
  <c r="AH701" s="1"/>
  <c r="AI701" s="1"/>
  <c r="BL81"/>
  <c r="AH791" s="1"/>
  <c r="AI791" s="1"/>
  <c r="BL90"/>
  <c r="AH800" s="1"/>
  <c r="AI800" s="1"/>
  <c r="AX89"/>
  <c r="AH597" s="1"/>
  <c r="AI597" s="1"/>
  <c r="BE76"/>
  <c r="AH685" s="1"/>
  <c r="AI685" s="1"/>
  <c r="AX79"/>
  <c r="AH587" s="1"/>
  <c r="AI587" s="1"/>
  <c r="AX86"/>
  <c r="AH594" s="1"/>
  <c r="AI594" s="1"/>
  <c r="BL92"/>
  <c r="AH802" s="1"/>
  <c r="AI802" s="1"/>
  <c r="BL91"/>
  <c r="AH801" s="1"/>
  <c r="AI801" s="1"/>
  <c r="BL78"/>
  <c r="AH788" s="1"/>
  <c r="AI788" s="1"/>
  <c r="AX75"/>
  <c r="AH583" s="1"/>
  <c r="AI583" s="1"/>
  <c r="BL89"/>
  <c r="AH799" s="1"/>
  <c r="AI799" s="1"/>
  <c r="AX83"/>
  <c r="AH591" s="1"/>
  <c r="AI591" s="1"/>
  <c r="AX85"/>
  <c r="AH593" s="1"/>
  <c r="AI593" s="1"/>
  <c r="BE91"/>
  <c r="AH700" s="1"/>
  <c r="AI700" s="1"/>
  <c r="BE87"/>
  <c r="AH696" s="1"/>
  <c r="AI696" s="1"/>
  <c r="BE75"/>
  <c r="AH684" s="1"/>
  <c r="AI684" s="1"/>
  <c r="BE82"/>
  <c r="AH691" s="1"/>
  <c r="AI691" s="1"/>
  <c r="BL84"/>
  <c r="AH794" s="1"/>
  <c r="AI794" s="1"/>
  <c r="BL96"/>
  <c r="AH806" s="1"/>
  <c r="AI806" s="1"/>
  <c r="BL74"/>
  <c r="AH784" s="1"/>
  <c r="AI784" s="1"/>
  <c r="BE93"/>
  <c r="AH702" s="1"/>
  <c r="AI702" s="1"/>
  <c r="BE86"/>
  <c r="AH695" s="1"/>
  <c r="AI695" s="1"/>
  <c r="BE84"/>
  <c r="AH693" s="1"/>
  <c r="AI693" s="1"/>
  <c r="AX84"/>
  <c r="AH592" s="1"/>
  <c r="AI592" s="1"/>
  <c r="AX77"/>
  <c r="AH585" s="1"/>
  <c r="AI585" s="1"/>
  <c r="BL77"/>
  <c r="AH787" s="1"/>
  <c r="AI787" s="1"/>
  <c r="BL80"/>
  <c r="AH790" s="1"/>
  <c r="AI790" s="1"/>
  <c r="BL75"/>
  <c r="AH785" s="1"/>
  <c r="AI785" s="1"/>
  <c r="AX88"/>
  <c r="AH596" s="1"/>
  <c r="AI596" s="1"/>
  <c r="AX74"/>
  <c r="AH582" s="1"/>
  <c r="AI582" s="1"/>
  <c r="BE77"/>
  <c r="AH686" s="1"/>
  <c r="AI686" s="1"/>
  <c r="AX73"/>
  <c r="AH581" s="1"/>
  <c r="AI581" s="1"/>
  <c r="AX90"/>
  <c r="AH598" s="1"/>
  <c r="AI598" s="1"/>
  <c r="BL94"/>
  <c r="AH804" s="1"/>
  <c r="AI804" s="1"/>
  <c r="AX92"/>
  <c r="AH600" s="1"/>
  <c r="AI600" s="1"/>
  <c r="BL73"/>
  <c r="AH783" s="1"/>
  <c r="AI783" s="1"/>
  <c r="AX80"/>
  <c r="AH588" s="1"/>
  <c r="AI588" s="1"/>
  <c r="AX82"/>
  <c r="AH590" s="1"/>
  <c r="AI590" s="1"/>
  <c r="BE85"/>
  <c r="AH694" s="1"/>
  <c r="AI694" s="1"/>
  <c r="AX96"/>
  <c r="AH604" s="1"/>
  <c r="AI604" s="1"/>
  <c r="BE78"/>
  <c r="AH687" s="1"/>
  <c r="AI687" s="1"/>
  <c r="BE80"/>
  <c r="AH689" s="1"/>
  <c r="AI689" s="1"/>
  <c r="BL85"/>
  <c r="AH795" s="1"/>
  <c r="AI795" s="1"/>
  <c r="BE79"/>
  <c r="AH688" s="1"/>
  <c r="AI688" s="1"/>
  <c r="BE88"/>
  <c r="AH697" s="1"/>
  <c r="AI697" s="1"/>
  <c r="BE95"/>
  <c r="AH704" s="1"/>
  <c r="AI704" s="1"/>
  <c r="BE89"/>
  <c r="AH698" s="1"/>
  <c r="AI698" s="1"/>
  <c r="BL190"/>
  <c r="AH1203" s="1"/>
  <c r="AI1203" s="1"/>
  <c r="AX378"/>
  <c r="AH1795" s="1"/>
  <c r="AI1795" s="1"/>
  <c r="BL298"/>
  <c r="AH1614" s="1"/>
  <c r="AI1614" s="1"/>
  <c r="BE391"/>
  <c r="AH1909" s="1"/>
  <c r="AI1909" s="1"/>
  <c r="AX276"/>
  <c r="AH1390" s="1"/>
  <c r="AI1390" s="1"/>
  <c r="BL189"/>
  <c r="AH1202" s="1"/>
  <c r="AI1202" s="1"/>
  <c r="BE404"/>
  <c r="AH1922" s="1"/>
  <c r="AI1922" s="1"/>
  <c r="BL297"/>
  <c r="AH1613" s="1"/>
  <c r="AI1613" s="1"/>
  <c r="AX383"/>
  <c r="AH1800" s="1"/>
  <c r="AI1800" s="1"/>
  <c r="AQ184"/>
  <c r="AH894" s="1"/>
  <c r="AI894" s="1"/>
  <c r="AX399"/>
  <c r="AH1816" s="1"/>
  <c r="AI1816" s="1"/>
  <c r="BL180"/>
  <c r="AH1193" s="1"/>
  <c r="AI1193" s="1"/>
  <c r="AX392"/>
  <c r="AH1809" s="1"/>
  <c r="AI1809" s="1"/>
  <c r="AX198"/>
  <c r="AH1009" s="1"/>
  <c r="AI1009" s="1"/>
  <c r="AX102"/>
  <c r="AH610" s="1"/>
  <c r="AI610" s="1"/>
  <c r="AX203"/>
  <c r="AH1014" s="1"/>
  <c r="AI1014" s="1"/>
  <c r="AX377"/>
  <c r="AH1794" s="1"/>
  <c r="AI1794" s="1"/>
  <c r="BE286"/>
  <c r="AH1501" s="1"/>
  <c r="AI1501" s="1"/>
  <c r="AX179"/>
  <c r="AH990" s="1"/>
  <c r="AI990" s="1"/>
  <c r="BE385"/>
  <c r="AH1903" s="1"/>
  <c r="AI1903" s="1"/>
  <c r="BE196"/>
  <c r="AH1108" s="1"/>
  <c r="AI1108" s="1"/>
  <c r="BE179"/>
  <c r="AH1091" s="1"/>
  <c r="AI1091" s="1"/>
  <c r="AQ279"/>
  <c r="AH1292" s="1"/>
  <c r="AI1292" s="1"/>
  <c r="AX284"/>
  <c r="AH1398" s="1"/>
  <c r="AI1398" s="1"/>
  <c r="AX98"/>
  <c r="AH606" s="1"/>
  <c r="AI606" s="1"/>
  <c r="AX97"/>
  <c r="AH605" s="1"/>
  <c r="AI605" s="1"/>
  <c r="AX177"/>
  <c r="AH988" s="1"/>
  <c r="AI988" s="1"/>
  <c r="BE387"/>
  <c r="AH1905" s="1"/>
  <c r="AI1905" s="1"/>
  <c r="BE198"/>
  <c r="AH1110" s="1"/>
  <c r="AI1110" s="1"/>
  <c r="BE177"/>
  <c r="AH1089" s="1"/>
  <c r="AI1089" s="1"/>
  <c r="AQ177"/>
  <c r="AH887" s="1"/>
  <c r="AI887" s="1"/>
  <c r="AQ302"/>
  <c r="AH1315" s="1"/>
  <c r="AI1315" s="1"/>
  <c r="AQ195"/>
  <c r="AH905" s="1"/>
  <c r="AI905" s="1"/>
  <c r="AX394"/>
  <c r="AH1811" s="1"/>
  <c r="AI1811" s="1"/>
  <c r="AQ174"/>
  <c r="AH884" s="1"/>
  <c r="AI884" s="1"/>
  <c r="AX303"/>
  <c r="AH1417" s="1"/>
  <c r="AI1417" s="1"/>
  <c r="BL196"/>
  <c r="AH1209" s="1"/>
  <c r="AI1209" s="1"/>
  <c r="AX192"/>
  <c r="AH1003" s="1"/>
  <c r="AI1003" s="1"/>
  <c r="BE277"/>
  <c r="AH1492" s="1"/>
  <c r="AI1492" s="1"/>
  <c r="BE395"/>
  <c r="AH1913" s="1"/>
  <c r="AI1913" s="1"/>
  <c r="BL184"/>
  <c r="AH1197" s="1"/>
  <c r="AI1197" s="1"/>
  <c r="AQ295"/>
  <c r="AH1308" s="1"/>
  <c r="AI1308" s="1"/>
  <c r="AX289"/>
  <c r="AH1403" s="1"/>
  <c r="AI1403" s="1"/>
  <c r="BL193"/>
  <c r="AH1206" s="1"/>
  <c r="AI1206" s="1"/>
  <c r="AX279"/>
  <c r="AH1393" s="1"/>
  <c r="AI1393" s="1"/>
  <c r="AX189"/>
  <c r="AH1000" s="1"/>
  <c r="AI1000" s="1"/>
  <c r="AQ189"/>
  <c r="AH899" s="1"/>
  <c r="AI899" s="1"/>
  <c r="BE299"/>
  <c r="AH1514" s="1"/>
  <c r="AI1514" s="1"/>
  <c r="AQ178"/>
  <c r="AH888" s="1"/>
  <c r="AI888" s="1"/>
  <c r="BE302"/>
  <c r="AH1517" s="1"/>
  <c r="AI1517" s="1"/>
  <c r="BE399"/>
  <c r="AH1917" s="1"/>
  <c r="AI1917" s="1"/>
  <c r="BE401"/>
  <c r="AH1919" s="1"/>
  <c r="AI1919" s="1"/>
  <c r="BE382"/>
  <c r="AH1900" s="1"/>
  <c r="AI1900" s="1"/>
  <c r="BL99"/>
  <c r="AH809" s="1"/>
  <c r="AI809" s="1"/>
  <c r="BE397"/>
  <c r="AH1915" s="1"/>
  <c r="AI1915" s="1"/>
  <c r="BE175"/>
  <c r="AH1087" s="1"/>
  <c r="AI1087" s="1"/>
  <c r="AX196"/>
  <c r="AH1007" s="1"/>
  <c r="AI1007" s="1"/>
  <c r="BE292"/>
  <c r="AH1507" s="1"/>
  <c r="AI1507" s="1"/>
  <c r="AX283"/>
  <c r="AH1397" s="1"/>
  <c r="AI1397" s="1"/>
  <c r="BE285"/>
  <c r="AH1500" s="1"/>
  <c r="AI1500" s="1"/>
  <c r="BE203"/>
  <c r="AH1115" s="1"/>
  <c r="AI1115" s="1"/>
  <c r="BL201"/>
  <c r="AH1214" s="1"/>
  <c r="AI1214" s="1"/>
  <c r="AX403"/>
  <c r="AH1820" s="1"/>
  <c r="AI1820" s="1"/>
  <c r="BE181"/>
  <c r="AH1093" s="1"/>
  <c r="AI1093" s="1"/>
  <c r="BL175"/>
  <c r="AH1188" s="1"/>
  <c r="AI1188" s="1"/>
  <c r="BL194"/>
  <c r="AH1207" s="1"/>
  <c r="AI1207" s="1"/>
  <c r="BE403"/>
  <c r="AH1921" s="1"/>
  <c r="AI1921" s="1"/>
  <c r="AX299"/>
  <c r="AH1413" s="1"/>
  <c r="AI1413" s="1"/>
  <c r="AX402"/>
  <c r="AH1819" s="1"/>
  <c r="AI1819" s="1"/>
  <c r="AX184"/>
  <c r="AH995" s="1"/>
  <c r="AI995" s="1"/>
  <c r="AX400"/>
  <c r="AH1817" s="1"/>
  <c r="AI1817" s="1"/>
  <c r="BE304"/>
  <c r="AH1519" s="1"/>
  <c r="AI1519" s="1"/>
  <c r="AQ299"/>
  <c r="AH1312" s="1"/>
  <c r="AI1312" s="1"/>
  <c r="BE200"/>
  <c r="AH1112" s="1"/>
  <c r="AI1112" s="1"/>
  <c r="AQ285"/>
  <c r="AH1298" s="1"/>
  <c r="AI1298" s="1"/>
  <c r="AQ196"/>
  <c r="AH906" s="1"/>
  <c r="AI906" s="1"/>
  <c r="BL304"/>
  <c r="AH1620" s="1"/>
  <c r="AI1620" s="1"/>
  <c r="AX286"/>
  <c r="AH1400" s="1"/>
  <c r="AI1400" s="1"/>
  <c r="BE388"/>
  <c r="AH1906" s="1"/>
  <c r="AI1906" s="1"/>
  <c r="AX294"/>
  <c r="AH1408" s="1"/>
  <c r="AI1408" s="1"/>
  <c r="BL291"/>
  <c r="AH1607" s="1"/>
  <c r="AI1607" s="1"/>
  <c r="BE279"/>
  <c r="AH1494" s="1"/>
  <c r="AI1494" s="1"/>
  <c r="AQ301"/>
  <c r="AH1314" s="1"/>
  <c r="AI1314" s="1"/>
  <c r="AQ181"/>
  <c r="AH891" s="1"/>
  <c r="AI891" s="1"/>
  <c r="AX397"/>
  <c r="AH1814" s="1"/>
  <c r="AI1814" s="1"/>
  <c r="AX186"/>
  <c r="AH997" s="1"/>
  <c r="AI997" s="1"/>
  <c r="AQ291"/>
  <c r="AH1304" s="1"/>
  <c r="AI1304" s="1"/>
  <c r="AX281"/>
  <c r="AH1395" s="1"/>
  <c r="AI1395" s="1"/>
  <c r="BE281"/>
  <c r="AH1496" s="1"/>
  <c r="AI1496" s="1"/>
  <c r="BE386"/>
  <c r="AH1904" s="1"/>
  <c r="AI1904" s="1"/>
  <c r="BE398"/>
  <c r="AH1916" s="1"/>
  <c r="AI1916" s="1"/>
  <c r="AX278"/>
  <c r="AH1392" s="1"/>
  <c r="AI1392" s="1"/>
  <c r="AX288"/>
  <c r="AH1402" s="1"/>
  <c r="AI1402" s="1"/>
  <c r="AQ185"/>
  <c r="AH895" s="1"/>
  <c r="AI895" s="1"/>
  <c r="BE389"/>
  <c r="AH1907" s="1"/>
  <c r="AI1907" s="1"/>
  <c r="AX298"/>
  <c r="AH1412" s="1"/>
  <c r="AI1412" s="1"/>
  <c r="AX285"/>
  <c r="AH1399" s="1"/>
  <c r="AI1399" s="1"/>
  <c r="BE192"/>
  <c r="AH1104" s="1"/>
  <c r="AI1104" s="1"/>
  <c r="BE99"/>
  <c r="AH708" s="1"/>
  <c r="AI708" s="1"/>
  <c r="BE293"/>
  <c r="AH1508" s="1"/>
  <c r="AI1508" s="1"/>
  <c r="BL287"/>
  <c r="AH1603" s="1"/>
  <c r="AI1603" s="1"/>
  <c r="AQ290"/>
  <c r="AH1303" s="1"/>
  <c r="AI1303" s="1"/>
  <c r="AQ188"/>
  <c r="AH898" s="1"/>
  <c r="AI898" s="1"/>
  <c r="BE300"/>
  <c r="AH1515" s="1"/>
  <c r="AI1515" s="1"/>
  <c r="AX101"/>
  <c r="AH609" s="1"/>
  <c r="AI609" s="1"/>
  <c r="BE178"/>
  <c r="AH1090" s="1"/>
  <c r="AI1090" s="1"/>
  <c r="AX381"/>
  <c r="AH1798" s="1"/>
  <c r="AI1798" s="1"/>
  <c r="BE182"/>
  <c r="AH1094" s="1"/>
  <c r="AI1094" s="1"/>
  <c r="AX174"/>
  <c r="AH985" s="1"/>
  <c r="AI985" s="1"/>
  <c r="AX277"/>
  <c r="AH1391" s="1"/>
  <c r="AI1391" s="1"/>
  <c r="AQ191"/>
  <c r="AH901" s="1"/>
  <c r="AI901" s="1"/>
  <c r="BL188"/>
  <c r="AH1201" s="1"/>
  <c r="AI1201" s="1"/>
  <c r="BL186"/>
  <c r="AH1199" s="1"/>
  <c r="AI1199" s="1"/>
  <c r="BL293"/>
  <c r="AH1609" s="1"/>
  <c r="AI1609" s="1"/>
  <c r="BE180"/>
  <c r="AH1092" s="1"/>
  <c r="AI1092" s="1"/>
  <c r="BE188"/>
  <c r="AH1100" s="1"/>
  <c r="AI1100" s="1"/>
  <c r="AQ197"/>
  <c r="AH907" s="1"/>
  <c r="AI907" s="1"/>
  <c r="BE280"/>
  <c r="AH1495" s="1"/>
  <c r="AI1495" s="1"/>
  <c r="BL280"/>
  <c r="AH1596" s="1"/>
  <c r="AI1596" s="1"/>
  <c r="AX301"/>
  <c r="AH1415" s="1"/>
  <c r="AI1415" s="1"/>
  <c r="BE303"/>
  <c r="AH1518" s="1"/>
  <c r="AI1518" s="1"/>
  <c r="BE101"/>
  <c r="AH710" s="1"/>
  <c r="AI710" s="1"/>
  <c r="BE186"/>
  <c r="AH1098" s="1"/>
  <c r="AI1098" s="1"/>
  <c r="BL283"/>
  <c r="AH1599" s="1"/>
  <c r="AI1599" s="1"/>
  <c r="AQ276"/>
  <c r="AH1289" s="1"/>
  <c r="AI1289" s="1"/>
  <c r="BE284"/>
  <c r="AH1499" s="1"/>
  <c r="AI1499" s="1"/>
  <c r="AQ179"/>
  <c r="AH889" s="1"/>
  <c r="AI889" s="1"/>
  <c r="AQ176"/>
  <c r="AH886" s="1"/>
  <c r="AI886" s="1"/>
  <c r="BL288"/>
  <c r="AH1604" s="1"/>
  <c r="AI1604" s="1"/>
  <c r="BL192"/>
  <c r="AH1205" s="1"/>
  <c r="AI1205" s="1"/>
  <c r="AQ186"/>
  <c r="AH896" s="1"/>
  <c r="AI896" s="1"/>
  <c r="BE400"/>
  <c r="AH1918" s="1"/>
  <c r="AI1918" s="1"/>
  <c r="AX197"/>
  <c r="AH1008" s="1"/>
  <c r="AI1008" s="1"/>
  <c r="BE377"/>
  <c r="AH1895" s="1"/>
  <c r="AI1895" s="1"/>
  <c r="AQ287"/>
  <c r="AH1300" s="1"/>
  <c r="AI1300" s="1"/>
  <c r="BE174"/>
  <c r="AH1086" s="1"/>
  <c r="AI1086" s="1"/>
  <c r="AQ300"/>
  <c r="AH1313" s="1"/>
  <c r="AI1313" s="1"/>
  <c r="BE396"/>
  <c r="AH1914" s="1"/>
  <c r="AI1914" s="1"/>
  <c r="AX195"/>
  <c r="AH1006" s="1"/>
  <c r="AI1006" s="1"/>
  <c r="AX176"/>
  <c r="AH987" s="1"/>
  <c r="AI987" s="1"/>
  <c r="BL285"/>
  <c r="AH1601" s="1"/>
  <c r="AI1601" s="1"/>
  <c r="AQ198"/>
  <c r="AH908" s="1"/>
  <c r="AI908" s="1"/>
  <c r="BE185"/>
  <c r="AH1097" s="1"/>
  <c r="AI1097" s="1"/>
  <c r="BE288"/>
  <c r="AH1503" s="1"/>
  <c r="AI1503" s="1"/>
  <c r="BE283"/>
  <c r="AH1498" s="1"/>
  <c r="AI1498" s="1"/>
  <c r="AQ294"/>
  <c r="AH1307" s="1"/>
  <c r="AI1307" s="1"/>
  <c r="AX297"/>
  <c r="AH1411" s="1"/>
  <c r="AI1411" s="1"/>
  <c r="AQ288"/>
  <c r="AH1301" s="1"/>
  <c r="AI1301" s="1"/>
  <c r="AQ193"/>
  <c r="AH903" s="1"/>
  <c r="AI903" s="1"/>
  <c r="AX390"/>
  <c r="AH1807" s="1"/>
  <c r="AI1807" s="1"/>
  <c r="AX99"/>
  <c r="AH607" s="1"/>
  <c r="AI607" s="1"/>
  <c r="AQ201"/>
  <c r="AH911" s="1"/>
  <c r="AI911" s="1"/>
  <c r="AX193"/>
  <c r="AH1004" s="1"/>
  <c r="AI1004" s="1"/>
  <c r="BL191"/>
  <c r="AH1204" s="1"/>
  <c r="AI1204" s="1"/>
  <c r="BE297"/>
  <c r="AH1512" s="1"/>
  <c r="AI1512" s="1"/>
  <c r="BE187"/>
  <c r="AH1099" s="1"/>
  <c r="AI1099" s="1"/>
  <c r="BL277"/>
  <c r="AH1593" s="1"/>
  <c r="AI1593" s="1"/>
  <c r="BL276"/>
  <c r="AH1592" s="1"/>
  <c r="AI1592" s="1"/>
  <c r="AX293"/>
  <c r="AH1407" s="1"/>
  <c r="AI1407" s="1"/>
  <c r="BE393"/>
  <c r="AH1911" s="1"/>
  <c r="AI1911" s="1"/>
  <c r="BE392"/>
  <c r="AH1910" s="1"/>
  <c r="AI1910" s="1"/>
  <c r="AQ194"/>
  <c r="AH904" s="1"/>
  <c r="AI904" s="1"/>
  <c r="AQ289"/>
  <c r="AH1302" s="1"/>
  <c r="AI1302" s="1"/>
  <c r="AX395"/>
  <c r="AH1812" s="1"/>
  <c r="AI1812" s="1"/>
  <c r="BL290"/>
  <c r="AH1606" s="1"/>
  <c r="AI1606" s="1"/>
  <c r="BE379"/>
  <c r="AH1897" s="1"/>
  <c r="AI1897" s="1"/>
  <c r="AX291"/>
  <c r="AH1405" s="1"/>
  <c r="AI1405" s="1"/>
  <c r="AQ284"/>
  <c r="AH1297" s="1"/>
  <c r="AI1297" s="1"/>
  <c r="AX388"/>
  <c r="AH1805" s="1"/>
  <c r="AI1805" s="1"/>
  <c r="AX405"/>
  <c r="AH1822" s="1"/>
  <c r="AI1822" s="1"/>
  <c r="BL97"/>
  <c r="AH807" s="1"/>
  <c r="AI807" s="1"/>
  <c r="AX194"/>
  <c r="AH1005" s="1"/>
  <c r="AI1005" s="1"/>
  <c r="BE390"/>
  <c r="AH1908" s="1"/>
  <c r="AI1908" s="1"/>
  <c r="BL301"/>
  <c r="AH1617" s="1"/>
  <c r="AI1617" s="1"/>
  <c r="BL98"/>
  <c r="AH808" s="1"/>
  <c r="AI808" s="1"/>
  <c r="AX292"/>
  <c r="AH1406" s="1"/>
  <c r="AI1406" s="1"/>
  <c r="AX296"/>
  <c r="AH1410" s="1"/>
  <c r="AI1410" s="1"/>
  <c r="AQ304"/>
  <c r="AH1317" s="1"/>
  <c r="AI1317" s="1"/>
  <c r="BL187"/>
  <c r="AH1200" s="1"/>
  <c r="AI1200" s="1"/>
  <c r="AX187"/>
  <c r="AH998" s="1"/>
  <c r="AI998" s="1"/>
  <c r="BL174"/>
  <c r="AH1187" s="1"/>
  <c r="AI1187" s="1"/>
  <c r="AX183"/>
  <c r="AH994" s="1"/>
  <c r="AI994" s="1"/>
  <c r="AX382"/>
  <c r="AH1799" s="1"/>
  <c r="AI1799" s="1"/>
  <c r="AX202"/>
  <c r="AH1013" s="1"/>
  <c r="AI1013" s="1"/>
  <c r="BE276"/>
  <c r="AH1491" s="1"/>
  <c r="AI1491" s="1"/>
  <c r="BL292"/>
  <c r="AH1608" s="1"/>
  <c r="AI1608" s="1"/>
  <c r="AQ293"/>
  <c r="AH1306" s="1"/>
  <c r="AI1306" s="1"/>
  <c r="AX398"/>
  <c r="AH1815" s="1"/>
  <c r="AI1815" s="1"/>
  <c r="BE202"/>
  <c r="AH1114" s="1"/>
  <c r="AI1114" s="1"/>
  <c r="BL278"/>
  <c r="AH1594" s="1"/>
  <c r="AI1594" s="1"/>
  <c r="AQ303"/>
  <c r="AH1316" s="1"/>
  <c r="AI1316" s="1"/>
  <c r="BL284"/>
  <c r="AH1600" s="1"/>
  <c r="AI1600" s="1"/>
  <c r="BL300"/>
  <c r="AH1616" s="1"/>
  <c r="AI1616" s="1"/>
  <c r="AX385"/>
  <c r="AH1802" s="1"/>
  <c r="AI1802" s="1"/>
  <c r="AQ190"/>
  <c r="AH900" s="1"/>
  <c r="AI900" s="1"/>
  <c r="AQ192"/>
  <c r="AH902" s="1"/>
  <c r="AI902" s="1"/>
  <c r="BL195"/>
  <c r="AH1208" s="1"/>
  <c r="AI1208" s="1"/>
  <c r="BL101"/>
  <c r="AH811" s="1"/>
  <c r="AI811" s="1"/>
  <c r="BE402"/>
  <c r="AH1920" s="1"/>
  <c r="AI1920" s="1"/>
  <c r="BL176"/>
  <c r="AH1189" s="1"/>
  <c r="AI1189" s="1"/>
  <c r="BL198"/>
  <c r="AH1211" s="1"/>
  <c r="AI1211" s="1"/>
  <c r="BE195"/>
  <c r="AH1107" s="1"/>
  <c r="AI1107" s="1"/>
  <c r="BE190"/>
  <c r="AH1102" s="1"/>
  <c r="AI1102" s="1"/>
  <c r="BL202"/>
  <c r="AH1215" s="1"/>
  <c r="AI1215" s="1"/>
  <c r="BE184"/>
  <c r="AH1096" s="1"/>
  <c r="AI1096" s="1"/>
  <c r="BL295"/>
  <c r="AH1611" s="1"/>
  <c r="AI1611" s="1"/>
  <c r="AX304"/>
  <c r="AH1418" s="1"/>
  <c r="AI1418" s="1"/>
  <c r="BE291"/>
  <c r="AH1506" s="1"/>
  <c r="AI1506" s="1"/>
  <c r="BE193"/>
  <c r="AH1105" s="1"/>
  <c r="AI1105" s="1"/>
  <c r="AX175"/>
  <c r="AH986" s="1"/>
  <c r="AI986" s="1"/>
  <c r="BE295"/>
  <c r="AH1510" s="1"/>
  <c r="AI1510" s="1"/>
  <c r="BE394"/>
  <c r="AH1912" s="1"/>
  <c r="AI1912" s="1"/>
  <c r="AX182"/>
  <c r="AH993" s="1"/>
  <c r="AI993" s="1"/>
  <c r="BL102"/>
  <c r="AH812" s="1"/>
  <c r="AI812" s="1"/>
  <c r="AQ296"/>
  <c r="AH1309" s="1"/>
  <c r="AI1309" s="1"/>
  <c r="BE384"/>
  <c r="AH1902" s="1"/>
  <c r="AI1902" s="1"/>
  <c r="AX393"/>
  <c r="AH1810" s="1"/>
  <c r="AI1810" s="1"/>
  <c r="BE176"/>
  <c r="AH1088" s="1"/>
  <c r="AI1088" s="1"/>
  <c r="AQ175"/>
  <c r="AH885" s="1"/>
  <c r="AI885" s="1"/>
  <c r="BL203"/>
  <c r="AH1216" s="1"/>
  <c r="AI1216" s="1"/>
  <c r="AX290"/>
  <c r="AH1404" s="1"/>
  <c r="AI1404" s="1"/>
  <c r="BE380"/>
  <c r="AH1898" s="1"/>
  <c r="AI1898" s="1"/>
  <c r="AQ203"/>
  <c r="AH913" s="1"/>
  <c r="AI913" s="1"/>
  <c r="AX191"/>
  <c r="AH1002" s="1"/>
  <c r="AI1002" s="1"/>
  <c r="AX376"/>
  <c r="AH1793" s="1"/>
  <c r="AI1793" s="1"/>
  <c r="BL279"/>
  <c r="AH1595" s="1"/>
  <c r="AI1595" s="1"/>
  <c r="AX401"/>
  <c r="AH1818" s="1"/>
  <c r="AI1818" s="1"/>
  <c r="AX384"/>
  <c r="AH1801" s="1"/>
  <c r="AI1801" s="1"/>
  <c r="BL183"/>
  <c r="AH1196" s="1"/>
  <c r="AI1196" s="1"/>
  <c r="BL286"/>
  <c r="AH1602" s="1"/>
  <c r="AI1602" s="1"/>
  <c r="AQ182"/>
  <c r="AH892" s="1"/>
  <c r="AI892" s="1"/>
  <c r="BL197"/>
  <c r="AH1210" s="1"/>
  <c r="AI1210" s="1"/>
  <c r="BE191"/>
  <c r="AH1103" s="1"/>
  <c r="AI1103" s="1"/>
  <c r="AX380"/>
  <c r="AH1797" s="1"/>
  <c r="AI1797" s="1"/>
  <c r="BE189"/>
  <c r="AH1101" s="1"/>
  <c r="AI1101" s="1"/>
  <c r="AX387"/>
  <c r="AH1804" s="1"/>
  <c r="AI1804" s="1"/>
  <c r="BE290"/>
  <c r="AH1505" s="1"/>
  <c r="AI1505" s="1"/>
  <c r="BE301"/>
  <c r="AH1516" s="1"/>
  <c r="AI1516" s="1"/>
  <c r="AQ286"/>
  <c r="AH1299" s="1"/>
  <c r="AI1299" s="1"/>
  <c r="BE100"/>
  <c r="AH709" s="1"/>
  <c r="AI709" s="1"/>
  <c r="BE199"/>
  <c r="AH1111" s="1"/>
  <c r="AI1111" s="1"/>
  <c r="AX100"/>
  <c r="AH608" s="1"/>
  <c r="AI608" s="1"/>
  <c r="BL185"/>
  <c r="AH1198" s="1"/>
  <c r="AI1198" s="1"/>
  <c r="AX185"/>
  <c r="AH996" s="1"/>
  <c r="AI996" s="1"/>
  <c r="BE275"/>
  <c r="AH1490" s="1"/>
  <c r="AI1490" s="1"/>
  <c r="AQ180"/>
  <c r="AH890" s="1"/>
  <c r="AI890" s="1"/>
  <c r="BL294"/>
  <c r="AH1610" s="1"/>
  <c r="AI1610" s="1"/>
  <c r="AX396"/>
  <c r="AH1813" s="1"/>
  <c r="AI1813" s="1"/>
  <c r="BE197"/>
  <c r="AH1109" s="1"/>
  <c r="AI1109" s="1"/>
  <c r="BE405"/>
  <c r="AH1923" s="1"/>
  <c r="AI1923" s="1"/>
  <c r="BL302"/>
  <c r="AH1618" s="1"/>
  <c r="AI1618" s="1"/>
  <c r="AX282"/>
  <c r="AH1396" s="1"/>
  <c r="AI1396" s="1"/>
  <c r="AQ278"/>
  <c r="AH1291" s="1"/>
  <c r="AI1291" s="1"/>
  <c r="AX302"/>
  <c r="AH1416" s="1"/>
  <c r="AI1416" s="1"/>
  <c r="BE381"/>
  <c r="AH1899" s="1"/>
  <c r="AI1899" s="1"/>
  <c r="AQ282"/>
  <c r="AH1295" s="1"/>
  <c r="AI1295" s="1"/>
  <c r="AQ280"/>
  <c r="AH1293" s="1"/>
  <c r="AI1293" s="1"/>
  <c r="AX404"/>
  <c r="AH1821" s="1"/>
  <c r="AI1821" s="1"/>
  <c r="BL182"/>
  <c r="AH1195" s="1"/>
  <c r="AI1195" s="1"/>
  <c r="AQ292"/>
  <c r="AH1305" s="1"/>
  <c r="AI1305" s="1"/>
  <c r="AX379"/>
  <c r="AH1796" s="1"/>
  <c r="AI1796" s="1"/>
  <c r="BE383"/>
  <c r="AH1901" s="1"/>
  <c r="AI1901" s="1"/>
  <c r="AQ277"/>
  <c r="AH1290" s="1"/>
  <c r="AI1290" s="1"/>
  <c r="BL177"/>
  <c r="AH1190" s="1"/>
  <c r="AI1190" s="1"/>
  <c r="BE102"/>
  <c r="AH711" s="1"/>
  <c r="AI711" s="1"/>
  <c r="BL282"/>
  <c r="AH1598" s="1"/>
  <c r="AI1598" s="1"/>
  <c r="AX275"/>
  <c r="AH1389" s="1"/>
  <c r="AI1389" s="1"/>
  <c r="AX280"/>
  <c r="AH1394" s="1"/>
  <c r="AI1394" s="1"/>
  <c r="BE298"/>
  <c r="AH1513" s="1"/>
  <c r="AI1513" s="1"/>
  <c r="BE183"/>
  <c r="AH1095" s="1"/>
  <c r="AI1095" s="1"/>
  <c r="BL100"/>
  <c r="AH810" s="1"/>
  <c r="AI810" s="1"/>
  <c r="BL281"/>
  <c r="AH1597" s="1"/>
  <c r="AI1597" s="1"/>
  <c r="BL199"/>
  <c r="AH1212" s="1"/>
  <c r="AI1212" s="1"/>
  <c r="AX199"/>
  <c r="AH1010" s="1"/>
  <c r="AI1010" s="1"/>
  <c r="BL179"/>
  <c r="AH1192" s="1"/>
  <c r="AI1192" s="1"/>
  <c r="BE194"/>
  <c r="AH1106" s="1"/>
  <c r="AI1106" s="1"/>
  <c r="AX178"/>
  <c r="AH989" s="1"/>
  <c r="AI989" s="1"/>
  <c r="BE378"/>
  <c r="AH1896" s="1"/>
  <c r="AI1896" s="1"/>
  <c r="AQ187"/>
  <c r="AH897" s="1"/>
  <c r="AI897" s="1"/>
  <c r="AQ298"/>
  <c r="AH1311" s="1"/>
  <c r="AI1311" s="1"/>
  <c r="AX295"/>
  <c r="AH1409" s="1"/>
  <c r="AI1409" s="1"/>
  <c r="BL200"/>
  <c r="AH1213" s="1"/>
  <c r="AI1213" s="1"/>
  <c r="BL289"/>
  <c r="AH1605" s="1"/>
  <c r="AI1605" s="1"/>
  <c r="BE376"/>
  <c r="AH1894" s="1"/>
  <c r="AI1894" s="1"/>
  <c r="AX201"/>
  <c r="AH1012" s="1"/>
  <c r="AI1012" s="1"/>
  <c r="AX190"/>
  <c r="AH1001" s="1"/>
  <c r="AI1001" s="1"/>
  <c r="BL296"/>
  <c r="AH1612" s="1"/>
  <c r="AI1612" s="1"/>
  <c r="BE296"/>
  <c r="AH1511" s="1"/>
  <c r="AI1511" s="1"/>
  <c r="BE97"/>
  <c r="AH706" s="1"/>
  <c r="AI706" s="1"/>
  <c r="BE98"/>
  <c r="AH707" s="1"/>
  <c r="AI707" s="1"/>
  <c r="AQ281"/>
  <c r="AH1294" s="1"/>
  <c r="AI1294" s="1"/>
  <c r="AX389"/>
  <c r="AH1806" s="1"/>
  <c r="AI1806" s="1"/>
  <c r="BL181"/>
  <c r="AH1194" s="1"/>
  <c r="AI1194" s="1"/>
  <c r="BE278"/>
  <c r="AH1493" s="1"/>
  <c r="AI1493" s="1"/>
  <c r="AX287"/>
  <c r="AH1401" s="1"/>
  <c r="AI1401" s="1"/>
  <c r="BL303"/>
  <c r="AH1619" s="1"/>
  <c r="AI1619" s="1"/>
  <c r="AX180"/>
  <c r="AH991" s="1"/>
  <c r="AI991" s="1"/>
  <c r="AQ200"/>
  <c r="AH910" s="1"/>
  <c r="AI910" s="1"/>
  <c r="AQ183"/>
  <c r="AH893" s="1"/>
  <c r="AI893" s="1"/>
  <c r="BE289"/>
  <c r="AH1504" s="1"/>
  <c r="AI1504" s="1"/>
  <c r="AX391"/>
  <c r="AH1808" s="1"/>
  <c r="AI1808" s="1"/>
  <c r="BE201"/>
  <c r="AH1113" s="1"/>
  <c r="AI1113" s="1"/>
  <c r="AQ297"/>
  <c r="AH1310" s="1"/>
  <c r="AI1310" s="1"/>
  <c r="AX200"/>
  <c r="AH1011" s="1"/>
  <c r="AI1011" s="1"/>
  <c r="BE294"/>
  <c r="AH1509" s="1"/>
  <c r="AI1509" s="1"/>
  <c r="BL275"/>
  <c r="AH1591" s="1"/>
  <c r="AI1591" s="1"/>
  <c r="BL178"/>
  <c r="AH1191" s="1"/>
  <c r="AI1191" s="1"/>
  <c r="BL299"/>
  <c r="AH1615" s="1"/>
  <c r="AI1615" s="1"/>
  <c r="AX386"/>
  <c r="AH1803" s="1"/>
  <c r="AI1803" s="1"/>
  <c r="AX188"/>
  <c r="AH999" s="1"/>
  <c r="AI999" s="1"/>
  <c r="BE282"/>
  <c r="AH1497" s="1"/>
  <c r="AI1497" s="1"/>
  <c r="AQ202"/>
  <c r="AH912" s="1"/>
  <c r="AI912" s="1"/>
  <c r="AX300"/>
  <c r="AH1414" s="1"/>
  <c r="AI1414" s="1"/>
  <c r="AQ283"/>
  <c r="AH1296" s="1"/>
  <c r="AI1296" s="1"/>
  <c r="BE287"/>
  <c r="AH1502" s="1"/>
  <c r="AI1502" s="1"/>
  <c r="AQ199"/>
  <c r="AH909" s="1"/>
  <c r="AI909" s="1"/>
  <c r="AQ275"/>
  <c r="AH1288" s="1"/>
  <c r="AI1288" s="1"/>
  <c r="AX181"/>
  <c r="AH992" s="1"/>
  <c r="AI992" s="1"/>
  <c r="AX58"/>
  <c r="AH566" s="1"/>
  <c r="AI566" s="1"/>
  <c r="BE357"/>
  <c r="AH1875" s="1"/>
  <c r="AI1875" s="1"/>
  <c r="AX372"/>
  <c r="AH1789" s="1"/>
  <c r="AI1789" s="1"/>
  <c r="BE59"/>
  <c r="AH668" s="1"/>
  <c r="AI668" s="1"/>
  <c r="BL170"/>
  <c r="AH1183" s="1"/>
  <c r="AI1183" s="1"/>
  <c r="BE54"/>
  <c r="AH663" s="1"/>
  <c r="AI663" s="1"/>
  <c r="AX56"/>
  <c r="AH564" s="1"/>
  <c r="AI564" s="1"/>
  <c r="BE270"/>
  <c r="AH1485" s="1"/>
  <c r="AI1485" s="1"/>
  <c r="AX155"/>
  <c r="AH966" s="1"/>
  <c r="AI966" s="1"/>
  <c r="BL157"/>
  <c r="AH1170" s="1"/>
  <c r="AI1170" s="1"/>
  <c r="BE375"/>
  <c r="AH1893" s="1"/>
  <c r="AI1893" s="1"/>
  <c r="BE64"/>
  <c r="AH673" s="1"/>
  <c r="AI673" s="1"/>
  <c r="BE366"/>
  <c r="AH1884" s="1"/>
  <c r="AI1884" s="1"/>
  <c r="AX270"/>
  <c r="AH1384" s="1"/>
  <c r="AI1384" s="1"/>
  <c r="BL53"/>
  <c r="AH763" s="1"/>
  <c r="AI763" s="1"/>
  <c r="BE62"/>
  <c r="AH671" s="1"/>
  <c r="AI671" s="1"/>
  <c r="BL162"/>
  <c r="AH1175" s="1"/>
  <c r="AI1175" s="1"/>
  <c r="AX160"/>
  <c r="AH971" s="1"/>
  <c r="AI971" s="1"/>
  <c r="BL161"/>
  <c r="AH1174" s="1"/>
  <c r="AI1174" s="1"/>
  <c r="AX365"/>
  <c r="AH1782" s="1"/>
  <c r="AI1782" s="1"/>
  <c r="AX161"/>
  <c r="AH972" s="1"/>
  <c r="AI972" s="1"/>
  <c r="AX159"/>
  <c r="AH970" s="1"/>
  <c r="AI970" s="1"/>
  <c r="BE61"/>
  <c r="AH670" s="1"/>
  <c r="AI670" s="1"/>
  <c r="BE65"/>
  <c r="AH674" s="1"/>
  <c r="AI674" s="1"/>
  <c r="BE159"/>
  <c r="AH1071" s="1"/>
  <c r="AI1071" s="1"/>
  <c r="BE266"/>
  <c r="AH1481" s="1"/>
  <c r="AI1481" s="1"/>
  <c r="BL266"/>
  <c r="AH1582" s="1"/>
  <c r="AI1582" s="1"/>
  <c r="AX267"/>
  <c r="AH1381" s="1"/>
  <c r="AI1381" s="1"/>
  <c r="AQ170"/>
  <c r="AH880" s="1"/>
  <c r="AI880" s="1"/>
  <c r="BL65"/>
  <c r="AH775" s="1"/>
  <c r="AI775" s="1"/>
  <c r="AX261"/>
  <c r="AH1375" s="1"/>
  <c r="AI1375" s="1"/>
  <c r="AQ157"/>
  <c r="AH867" s="1"/>
  <c r="AI867" s="1"/>
  <c r="AQ173"/>
  <c r="AH883" s="1"/>
  <c r="AI883" s="1"/>
  <c r="AX356"/>
  <c r="AH1773" s="1"/>
  <c r="AI1773" s="1"/>
  <c r="BE372"/>
  <c r="AH1890" s="1"/>
  <c r="AI1890" s="1"/>
  <c r="AQ162"/>
  <c r="AH872" s="1"/>
  <c r="AI872" s="1"/>
  <c r="BE63"/>
  <c r="AH672" s="1"/>
  <c r="AI672" s="1"/>
  <c r="AX67"/>
  <c r="AH575" s="1"/>
  <c r="AI575" s="1"/>
  <c r="BL273"/>
  <c r="AH1589" s="1"/>
  <c r="AI1589" s="1"/>
  <c r="BL154"/>
  <c r="AH1167" s="1"/>
  <c r="AI1167" s="1"/>
  <c r="BE260"/>
  <c r="AH1475" s="1"/>
  <c r="AI1475" s="1"/>
  <c r="AQ263"/>
  <c r="AH1276" s="1"/>
  <c r="AI1276" s="1"/>
  <c r="AX157"/>
  <c r="AH968" s="1"/>
  <c r="AI968" s="1"/>
  <c r="AX362"/>
  <c r="AH1779" s="1"/>
  <c r="AI1779" s="1"/>
  <c r="AX257"/>
  <c r="AH1371" s="1"/>
  <c r="AI1371" s="1"/>
  <c r="BE166"/>
  <c r="AH1078" s="1"/>
  <c r="AI1078" s="1"/>
  <c r="BE157"/>
  <c r="AH1069" s="1"/>
  <c r="AI1069" s="1"/>
  <c r="AX373"/>
  <c r="AH1790" s="1"/>
  <c r="AI1790" s="1"/>
  <c r="BL168"/>
  <c r="AH1181" s="1"/>
  <c r="AI1181" s="1"/>
  <c r="BL260"/>
  <c r="AH1576" s="1"/>
  <c r="AI1576" s="1"/>
  <c r="BL164"/>
  <c r="AH1177" s="1"/>
  <c r="AI1177" s="1"/>
  <c r="AX158"/>
  <c r="AH969" s="1"/>
  <c r="AI969" s="1"/>
  <c r="AX65"/>
  <c r="AH573" s="1"/>
  <c r="AI573" s="1"/>
  <c r="BE370"/>
  <c r="AH1888" s="1"/>
  <c r="AI1888" s="1"/>
  <c r="AX271"/>
  <c r="AH1385" s="1"/>
  <c r="AI1385" s="1"/>
  <c r="BL271"/>
  <c r="AH1587" s="1"/>
  <c r="AI1587" s="1"/>
  <c r="AX274"/>
  <c r="AH1388" s="1"/>
  <c r="AI1388" s="1"/>
  <c r="BE374"/>
  <c r="AH1892" s="1"/>
  <c r="AI1892" s="1"/>
  <c r="BE259"/>
  <c r="AH1474" s="1"/>
  <c r="AI1474" s="1"/>
  <c r="BL69"/>
  <c r="AH779" s="1"/>
  <c r="AI779" s="1"/>
  <c r="BE66"/>
  <c r="AH675" s="1"/>
  <c r="AI675" s="1"/>
  <c r="BE68"/>
  <c r="AH677" s="1"/>
  <c r="AI677" s="1"/>
  <c r="BL172"/>
  <c r="AH1185" s="1"/>
  <c r="AI1185" s="1"/>
  <c r="AX357"/>
  <c r="AH1774" s="1"/>
  <c r="AI1774" s="1"/>
  <c r="BL259"/>
  <c r="AH1575" s="1"/>
  <c r="AI1575" s="1"/>
  <c r="BL171"/>
  <c r="AH1184" s="1"/>
  <c r="AI1184" s="1"/>
  <c r="BL268"/>
  <c r="AH1584" s="1"/>
  <c r="AI1584" s="1"/>
  <c r="AX70"/>
  <c r="AH578" s="1"/>
  <c r="AI578" s="1"/>
  <c r="BL263"/>
  <c r="AH1579" s="1"/>
  <c r="AI1579" s="1"/>
  <c r="BL167"/>
  <c r="AH1180" s="1"/>
  <c r="AI1180" s="1"/>
  <c r="AX55"/>
  <c r="AH563" s="1"/>
  <c r="AI563" s="1"/>
  <c r="BE371"/>
  <c r="AH1889" s="1"/>
  <c r="AI1889" s="1"/>
  <c r="BL163"/>
  <c r="AH1176" s="1"/>
  <c r="AI1176" s="1"/>
  <c r="AX260"/>
  <c r="AH1374" s="1"/>
  <c r="AI1374" s="1"/>
  <c r="AQ274"/>
  <c r="AH1287" s="1"/>
  <c r="AI1287" s="1"/>
  <c r="BL264"/>
  <c r="AH1580" s="1"/>
  <c r="AI1580" s="1"/>
  <c r="BL166"/>
  <c r="AH1179" s="1"/>
  <c r="AI1179" s="1"/>
  <c r="AQ167"/>
  <c r="AH877" s="1"/>
  <c r="AI877" s="1"/>
  <c r="AQ264"/>
  <c r="AH1277" s="1"/>
  <c r="AI1277" s="1"/>
  <c r="BL272"/>
  <c r="AH1588" s="1"/>
  <c r="AI1588" s="1"/>
  <c r="BL158"/>
  <c r="AH1171" s="1"/>
  <c r="AI1171" s="1"/>
  <c r="AQ273"/>
  <c r="AH1286" s="1"/>
  <c r="AI1286" s="1"/>
  <c r="AQ161"/>
  <c r="AH871" s="1"/>
  <c r="AI871" s="1"/>
  <c r="BE369"/>
  <c r="AH1887" s="1"/>
  <c r="AI1887" s="1"/>
  <c r="BE261"/>
  <c r="AH1476" s="1"/>
  <c r="AI1476" s="1"/>
  <c r="BL270"/>
  <c r="AH1586" s="1"/>
  <c r="AI1586" s="1"/>
  <c r="BL257"/>
  <c r="AH1573" s="1"/>
  <c r="AI1573" s="1"/>
  <c r="AX61"/>
  <c r="AH569" s="1"/>
  <c r="AI569" s="1"/>
  <c r="AX256"/>
  <c r="AH1370" s="1"/>
  <c r="AI1370" s="1"/>
  <c r="AQ160"/>
  <c r="AH870" s="1"/>
  <c r="AI870" s="1"/>
  <c r="BE168"/>
  <c r="AH1080" s="1"/>
  <c r="AI1080" s="1"/>
  <c r="BL269"/>
  <c r="AH1585" s="1"/>
  <c r="AI1585" s="1"/>
  <c r="AQ255"/>
  <c r="AH1268" s="1"/>
  <c r="AI1268" s="1"/>
  <c r="BL61"/>
  <c r="AH771" s="1"/>
  <c r="AI771" s="1"/>
  <c r="AX375"/>
  <c r="AH1792" s="1"/>
  <c r="AI1792" s="1"/>
  <c r="BE167"/>
  <c r="AH1079" s="1"/>
  <c r="AI1079" s="1"/>
  <c r="BE69"/>
  <c r="AH678" s="1"/>
  <c r="AI678" s="1"/>
  <c r="BL56"/>
  <c r="AH766" s="1"/>
  <c r="AI766" s="1"/>
  <c r="AX62"/>
  <c r="AH570" s="1"/>
  <c r="AI570" s="1"/>
  <c r="BL261"/>
  <c r="AH1577" s="1"/>
  <c r="AI1577" s="1"/>
  <c r="AQ260"/>
  <c r="AH1273" s="1"/>
  <c r="AI1273" s="1"/>
  <c r="BE263"/>
  <c r="AH1478" s="1"/>
  <c r="AI1478" s="1"/>
  <c r="AQ266"/>
  <c r="AH1279" s="1"/>
  <c r="AI1279" s="1"/>
  <c r="AQ171"/>
  <c r="AH881" s="1"/>
  <c r="AI881" s="1"/>
  <c r="AX171"/>
  <c r="AH982" s="1"/>
  <c r="AI982" s="1"/>
  <c r="AX258"/>
  <c r="AH1372" s="1"/>
  <c r="AI1372" s="1"/>
  <c r="BE170"/>
  <c r="AH1082" s="1"/>
  <c r="AI1082" s="1"/>
  <c r="BE161"/>
  <c r="AH1073" s="1"/>
  <c r="AI1073" s="1"/>
  <c r="AX170"/>
  <c r="AH981" s="1"/>
  <c r="AI981" s="1"/>
  <c r="BE358"/>
  <c r="AH1876" s="1"/>
  <c r="AI1876" s="1"/>
  <c r="BE71"/>
  <c r="AH680" s="1"/>
  <c r="AI680" s="1"/>
  <c r="AX358"/>
  <c r="AH1775" s="1"/>
  <c r="AI1775" s="1"/>
  <c r="BE163"/>
  <c r="AH1075" s="1"/>
  <c r="AI1075" s="1"/>
  <c r="BE55"/>
  <c r="AH664" s="1"/>
  <c r="AI664" s="1"/>
  <c r="AX162"/>
  <c r="AH973" s="1"/>
  <c r="AI973" s="1"/>
  <c r="AX60"/>
  <c r="AH568" s="1"/>
  <c r="AI568" s="1"/>
  <c r="AQ158"/>
  <c r="AH868" s="1"/>
  <c r="AI868" s="1"/>
  <c r="BL58"/>
  <c r="AH768" s="1"/>
  <c r="AI768" s="1"/>
  <c r="BL67"/>
  <c r="AH777" s="1"/>
  <c r="AI777" s="1"/>
  <c r="AQ156"/>
  <c r="AH866" s="1"/>
  <c r="AI866" s="1"/>
  <c r="BE56"/>
  <c r="AH665" s="1"/>
  <c r="AI665" s="1"/>
  <c r="BE162"/>
  <c r="AH1074" s="1"/>
  <c r="AI1074" s="1"/>
  <c r="BE155"/>
  <c r="AH1067" s="1"/>
  <c r="AI1067" s="1"/>
  <c r="BE273"/>
  <c r="AH1488" s="1"/>
  <c r="AI1488" s="1"/>
  <c r="BE53"/>
  <c r="AH662" s="1"/>
  <c r="AI662" s="1"/>
  <c r="BL60"/>
  <c r="AH770" s="1"/>
  <c r="AI770" s="1"/>
  <c r="AX156"/>
  <c r="AH967" s="1"/>
  <c r="AI967" s="1"/>
  <c r="AQ165"/>
  <c r="AH875" s="1"/>
  <c r="AI875" s="1"/>
  <c r="AQ262"/>
  <c r="AH1275" s="1"/>
  <c r="AI1275" s="1"/>
  <c r="BE70"/>
  <c r="AH679" s="1"/>
  <c r="AI679" s="1"/>
  <c r="BE269"/>
  <c r="AH1484" s="1"/>
  <c r="AI1484" s="1"/>
  <c r="BL262"/>
  <c r="AH1578" s="1"/>
  <c r="AI1578" s="1"/>
  <c r="BE258"/>
  <c r="AH1473" s="1"/>
  <c r="AI1473" s="1"/>
  <c r="BE172"/>
  <c r="AH1084" s="1"/>
  <c r="AI1084" s="1"/>
  <c r="AX265"/>
  <c r="AH1379" s="1"/>
  <c r="AI1379" s="1"/>
  <c r="AX370"/>
  <c r="AH1787" s="1"/>
  <c r="AI1787" s="1"/>
  <c r="AX71"/>
  <c r="AH579" s="1"/>
  <c r="AI579" s="1"/>
  <c r="BL62"/>
  <c r="AH772" s="1"/>
  <c r="AI772" s="1"/>
  <c r="AQ267"/>
  <c r="AH1280" s="1"/>
  <c r="AI1280" s="1"/>
  <c r="BE173"/>
  <c r="AH1085" s="1"/>
  <c r="AI1085" s="1"/>
  <c r="BE58"/>
  <c r="AH667" s="1"/>
  <c r="AI667" s="1"/>
  <c r="BE257"/>
  <c r="AH1472" s="1"/>
  <c r="AI1472" s="1"/>
  <c r="AX163"/>
  <c r="AH974" s="1"/>
  <c r="AI974" s="1"/>
  <c r="AQ272"/>
  <c r="AH1285" s="1"/>
  <c r="AI1285" s="1"/>
  <c r="BE169"/>
  <c r="AH1081" s="1"/>
  <c r="AI1081" s="1"/>
  <c r="BE364"/>
  <c r="AH1882" s="1"/>
  <c r="AI1882" s="1"/>
  <c r="BE164"/>
  <c r="AH1076" s="1"/>
  <c r="AI1076" s="1"/>
  <c r="AX374"/>
  <c r="AH1791" s="1"/>
  <c r="AI1791" s="1"/>
  <c r="BE156"/>
  <c r="AH1068" s="1"/>
  <c r="AI1068" s="1"/>
  <c r="AX255"/>
  <c r="AH1369" s="1"/>
  <c r="AI1369" s="1"/>
  <c r="AQ154"/>
  <c r="AH864" s="1"/>
  <c r="AI864" s="1"/>
  <c r="AQ164"/>
  <c r="AH874" s="1"/>
  <c r="AI874" s="1"/>
  <c r="BL59"/>
  <c r="AH769" s="1"/>
  <c r="AI769" s="1"/>
  <c r="AX262"/>
  <c r="AH1376" s="1"/>
  <c r="AI1376" s="1"/>
  <c r="BE268"/>
  <c r="AH1483" s="1"/>
  <c r="AI1483" s="1"/>
  <c r="BL255"/>
  <c r="AH1571" s="1"/>
  <c r="AI1571" s="1"/>
  <c r="AQ270"/>
  <c r="AH1283" s="1"/>
  <c r="AI1283" s="1"/>
  <c r="BL70"/>
  <c r="AH780" s="1"/>
  <c r="AI780" s="1"/>
  <c r="AX269"/>
  <c r="AH1383" s="1"/>
  <c r="AI1383" s="1"/>
  <c r="AQ168"/>
  <c r="AH878" s="1"/>
  <c r="AI878" s="1"/>
  <c r="AQ256"/>
  <c r="AH1269" s="1"/>
  <c r="AI1269" s="1"/>
  <c r="AX264"/>
  <c r="AH1378" s="1"/>
  <c r="AI1378" s="1"/>
  <c r="BE262"/>
  <c r="AH1477" s="1"/>
  <c r="AI1477" s="1"/>
  <c r="BL267"/>
  <c r="AH1583" s="1"/>
  <c r="AI1583" s="1"/>
  <c r="AX172"/>
  <c r="AH983" s="1"/>
  <c r="AI983" s="1"/>
  <c r="AX64"/>
  <c r="AH572" s="1"/>
  <c r="AI572" s="1"/>
  <c r="BE264"/>
  <c r="AH1479" s="1"/>
  <c r="AI1479" s="1"/>
  <c r="AQ259"/>
  <c r="AH1272" s="1"/>
  <c r="AI1272" s="1"/>
  <c r="AX360"/>
  <c r="AH1777" s="1"/>
  <c r="AI1777" s="1"/>
  <c r="AX54"/>
  <c r="AH562" s="1"/>
  <c r="AI562" s="1"/>
  <c r="AX66"/>
  <c r="AH574" s="1"/>
  <c r="AI574" s="1"/>
  <c r="BL160"/>
  <c r="AH1173" s="1"/>
  <c r="AI1173" s="1"/>
  <c r="BL159"/>
  <c r="AH1172" s="1"/>
  <c r="AI1172" s="1"/>
  <c r="BE267"/>
  <c r="AH1482" s="1"/>
  <c r="AI1482" s="1"/>
  <c r="BE274"/>
  <c r="AH1489" s="1"/>
  <c r="AI1489" s="1"/>
  <c r="BE356"/>
  <c r="AH1874" s="1"/>
  <c r="AI1874" s="1"/>
  <c r="BL66"/>
  <c r="AH776" s="1"/>
  <c r="AI776" s="1"/>
  <c r="AX268"/>
  <c r="AH1382" s="1"/>
  <c r="AI1382" s="1"/>
  <c r="AX359"/>
  <c r="AH1776" s="1"/>
  <c r="AI1776" s="1"/>
  <c r="BE265"/>
  <c r="AH1480" s="1"/>
  <c r="AI1480" s="1"/>
  <c r="BE359"/>
  <c r="AH1877" s="1"/>
  <c r="AI1877" s="1"/>
  <c r="BL155"/>
  <c r="AH1168" s="1"/>
  <c r="AI1168" s="1"/>
  <c r="BL256"/>
  <c r="AH1572" s="1"/>
  <c r="AI1572" s="1"/>
  <c r="BE57"/>
  <c r="AH666" s="1"/>
  <c r="AI666" s="1"/>
  <c r="BL57"/>
  <c r="AH767" s="1"/>
  <c r="AI767" s="1"/>
  <c r="BL165"/>
  <c r="AH1178" s="1"/>
  <c r="AI1178" s="1"/>
  <c r="BE363"/>
  <c r="AH1881" s="1"/>
  <c r="AI1881" s="1"/>
  <c r="BL63"/>
  <c r="AH773" s="1"/>
  <c r="AI773" s="1"/>
  <c r="BL156"/>
  <c r="AH1169" s="1"/>
  <c r="AI1169" s="1"/>
  <c r="AX69"/>
  <c r="AH577" s="1"/>
  <c r="AI577" s="1"/>
  <c r="BE362"/>
  <c r="AH1880" s="1"/>
  <c r="AI1880" s="1"/>
  <c r="BE154"/>
  <c r="AH1066" s="1"/>
  <c r="AI1066" s="1"/>
  <c r="AX371"/>
  <c r="AH1788" s="1"/>
  <c r="AI1788" s="1"/>
  <c r="BE158"/>
  <c r="AH1070" s="1"/>
  <c r="AI1070" s="1"/>
  <c r="BE165"/>
  <c r="AH1077" s="1"/>
  <c r="AI1077" s="1"/>
  <c r="BE365"/>
  <c r="AH1883" s="1"/>
  <c r="AI1883" s="1"/>
  <c r="BL55"/>
  <c r="AH765" s="1"/>
  <c r="AI765" s="1"/>
  <c r="BE256"/>
  <c r="AH1471" s="1"/>
  <c r="AI1471" s="1"/>
  <c r="BL71"/>
  <c r="AH781" s="1"/>
  <c r="AI781" s="1"/>
  <c r="BE160"/>
  <c r="AH1072" s="1"/>
  <c r="AI1072" s="1"/>
  <c r="BE255"/>
  <c r="AH1470" s="1"/>
  <c r="AI1470" s="1"/>
  <c r="AQ257"/>
  <c r="AH1270" s="1"/>
  <c r="AI1270" s="1"/>
  <c r="BE367"/>
  <c r="AH1885" s="1"/>
  <c r="AI1885" s="1"/>
  <c r="AX154"/>
  <c r="AH965" s="1"/>
  <c r="AI965" s="1"/>
  <c r="BL64"/>
  <c r="AH774" s="1"/>
  <c r="AI774" s="1"/>
  <c r="AX361"/>
  <c r="AH1778" s="1"/>
  <c r="AI1778" s="1"/>
  <c r="BE171"/>
  <c r="AH1083" s="1"/>
  <c r="AI1083" s="1"/>
  <c r="AQ268"/>
  <c r="AH1281" s="1"/>
  <c r="AI1281" s="1"/>
  <c r="BE67"/>
  <c r="AH676" s="1"/>
  <c r="AI676" s="1"/>
  <c r="AX273"/>
  <c r="AH1387" s="1"/>
  <c r="AI1387" s="1"/>
  <c r="AX57"/>
  <c r="AH565" s="1"/>
  <c r="AI565" s="1"/>
  <c r="AX272"/>
  <c r="AH1386" s="1"/>
  <c r="AI1386" s="1"/>
  <c r="BE271"/>
  <c r="AH1486" s="1"/>
  <c r="AI1486" s="1"/>
  <c r="BE360"/>
  <c r="AH1878" s="1"/>
  <c r="AI1878" s="1"/>
  <c r="BE60"/>
  <c r="AH669" s="1"/>
  <c r="AI669" s="1"/>
  <c r="AQ159"/>
  <c r="AH869" s="1"/>
  <c r="AI869" s="1"/>
  <c r="BL169"/>
  <c r="AH1182" s="1"/>
  <c r="AI1182" s="1"/>
  <c r="BE368"/>
  <c r="AH1886" s="1"/>
  <c r="AI1886" s="1"/>
  <c r="AX263"/>
  <c r="AH1377" s="1"/>
  <c r="AI1377" s="1"/>
  <c r="BE272"/>
  <c r="AH1487" s="1"/>
  <c r="AI1487" s="1"/>
  <c r="AX167"/>
  <c r="AH978" s="1"/>
  <c r="AI978" s="1"/>
  <c r="AQ261"/>
  <c r="AH1274" s="1"/>
  <c r="AI1274" s="1"/>
  <c r="AX366"/>
  <c r="AH1783" s="1"/>
  <c r="AI1783" s="1"/>
  <c r="AQ169"/>
  <c r="AH879" s="1"/>
  <c r="AI879" s="1"/>
  <c r="AX368"/>
  <c r="AH1785" s="1"/>
  <c r="AI1785" s="1"/>
  <c r="AX266"/>
  <c r="AH1380" s="1"/>
  <c r="AI1380" s="1"/>
  <c r="BL173"/>
  <c r="AH1186" s="1"/>
  <c r="AI1186" s="1"/>
  <c r="BL72"/>
  <c r="AH782" s="1"/>
  <c r="AI782" s="1"/>
  <c r="AQ166"/>
  <c r="AH876" s="1"/>
  <c r="AI876" s="1"/>
  <c r="AX363"/>
  <c r="AH1780" s="1"/>
  <c r="AI1780" s="1"/>
  <c r="AX369"/>
  <c r="AH1786" s="1"/>
  <c r="AI1786" s="1"/>
  <c r="BL54"/>
  <c r="AH764" s="1"/>
  <c r="AI764" s="1"/>
  <c r="AX364"/>
  <c r="AH1781" s="1"/>
  <c r="AI1781" s="1"/>
  <c r="AQ269"/>
  <c r="AH1282" s="1"/>
  <c r="AI1282" s="1"/>
  <c r="AX53"/>
  <c r="AH561" s="1"/>
  <c r="AI561" s="1"/>
  <c r="AX168"/>
  <c r="AH979" s="1"/>
  <c r="AI979" s="1"/>
  <c r="AX367"/>
  <c r="AH1784" s="1"/>
  <c r="AI1784" s="1"/>
  <c r="BL68"/>
  <c r="AH778" s="1"/>
  <c r="AI778" s="1"/>
  <c r="AX173"/>
  <c r="AH984" s="1"/>
  <c r="AI984" s="1"/>
  <c r="BE373"/>
  <c r="AH1891" s="1"/>
  <c r="AI1891" s="1"/>
  <c r="AX166"/>
  <c r="AH977" s="1"/>
  <c r="AI977" s="1"/>
  <c r="AX164"/>
  <c r="AH975" s="1"/>
  <c r="AI975" s="1"/>
  <c r="AX169"/>
  <c r="AH980" s="1"/>
  <c r="AI980" s="1"/>
  <c r="BL258"/>
  <c r="AH1574" s="1"/>
  <c r="AI1574" s="1"/>
  <c r="BE72"/>
  <c r="AH681" s="1"/>
  <c r="AI681" s="1"/>
  <c r="AX68"/>
  <c r="AH576" s="1"/>
  <c r="AI576" s="1"/>
  <c r="AQ258"/>
  <c r="AH1271" s="1"/>
  <c r="AI1271" s="1"/>
  <c r="AX259"/>
  <c r="AH1373" s="1"/>
  <c r="AI1373" s="1"/>
  <c r="AX59"/>
  <c r="AH567" s="1"/>
  <c r="AI567" s="1"/>
  <c r="BL265"/>
  <c r="AH1581" s="1"/>
  <c r="AI1581" s="1"/>
  <c r="AQ172"/>
  <c r="AH882" s="1"/>
  <c r="AI882" s="1"/>
  <c r="AQ155"/>
  <c r="AH865" s="1"/>
  <c r="AI865" s="1"/>
  <c r="AQ265"/>
  <c r="AH1278" s="1"/>
  <c r="AI1278" s="1"/>
  <c r="AX72"/>
  <c r="AH580" s="1"/>
  <c r="AI580" s="1"/>
  <c r="BE361"/>
  <c r="AH1879" s="1"/>
  <c r="AI1879" s="1"/>
  <c r="AQ271"/>
  <c r="AH1284" s="1"/>
  <c r="AI1284" s="1"/>
  <c r="AX165"/>
  <c r="AH976" s="1"/>
  <c r="AI976" s="1"/>
  <c r="AQ163"/>
  <c r="AH873" s="1"/>
  <c r="AI873" s="1"/>
  <c r="AX63"/>
  <c r="AH571" s="1"/>
  <c r="AI571" s="1"/>
  <c r="BL274"/>
  <c r="AH1590" s="1"/>
  <c r="AI1590" s="1"/>
  <c r="AX133"/>
  <c r="AH944" s="1"/>
  <c r="AI944" s="1"/>
  <c r="AQ141"/>
  <c r="AH851" s="1"/>
  <c r="AI851" s="1"/>
  <c r="BL29"/>
  <c r="AH739" s="1"/>
  <c r="AI739" s="1"/>
  <c r="BE237"/>
  <c r="AH1452" s="1"/>
  <c r="AI1452" s="1"/>
  <c r="BL23"/>
  <c r="AH733" s="1"/>
  <c r="AI733" s="1"/>
  <c r="BE30"/>
  <c r="AH639" s="1"/>
  <c r="AI639" s="1"/>
  <c r="BE36"/>
  <c r="AH645" s="1"/>
  <c r="AI645" s="1"/>
  <c r="AX229"/>
  <c r="AH1343" s="1"/>
  <c r="AI1343" s="1"/>
  <c r="AX230"/>
  <c r="AH1344" s="1"/>
  <c r="AI1344" s="1"/>
  <c r="AX253"/>
  <c r="AH1367" s="1"/>
  <c r="AI1367" s="1"/>
  <c r="AX242"/>
  <c r="AH1356" s="1"/>
  <c r="AI1356" s="1"/>
  <c r="BL238"/>
  <c r="AH1554" s="1"/>
  <c r="AI1554" s="1"/>
  <c r="BE150"/>
  <c r="AH1062" s="1"/>
  <c r="AI1062" s="1"/>
  <c r="BE235"/>
  <c r="AH1450" s="1"/>
  <c r="AI1450" s="1"/>
  <c r="AX326"/>
  <c r="AH1743" s="1"/>
  <c r="AI1743" s="1"/>
  <c r="BE334"/>
  <c r="AH1852" s="1"/>
  <c r="AI1852" s="1"/>
  <c r="AQ234"/>
  <c r="AH1247" s="1"/>
  <c r="AI1247" s="1"/>
  <c r="BE149"/>
  <c r="AH1061" s="1"/>
  <c r="AI1061" s="1"/>
  <c r="AX145"/>
  <c r="AH956" s="1"/>
  <c r="AI956" s="1"/>
  <c r="BE329"/>
  <c r="AH1847" s="1"/>
  <c r="AI1847" s="1"/>
  <c r="BE26"/>
  <c r="AH635" s="1"/>
  <c r="AI635" s="1"/>
  <c r="AX235"/>
  <c r="AH1349" s="1"/>
  <c r="AI1349" s="1"/>
  <c r="AX27"/>
  <c r="AH535" s="1"/>
  <c r="AI535" s="1"/>
  <c r="BE44"/>
  <c r="AH653" s="1"/>
  <c r="AI653" s="1"/>
  <c r="AX237"/>
  <c r="AH1351" s="1"/>
  <c r="AI1351" s="1"/>
  <c r="AQ138"/>
  <c r="AH848" s="1"/>
  <c r="AI848" s="1"/>
  <c r="BE143"/>
  <c r="AH1055" s="1"/>
  <c r="AI1055" s="1"/>
  <c r="AX139"/>
  <c r="AH950" s="1"/>
  <c r="AI950" s="1"/>
  <c r="BE34"/>
  <c r="AH643" s="1"/>
  <c r="AI643" s="1"/>
  <c r="AQ139"/>
  <c r="AH849" s="1"/>
  <c r="AI849" s="1"/>
  <c r="BL152"/>
  <c r="AH1165" s="1"/>
  <c r="AI1165" s="1"/>
  <c r="AX352"/>
  <c r="AH1769" s="1"/>
  <c r="AI1769" s="1"/>
  <c r="AQ134"/>
  <c r="AH844" s="1"/>
  <c r="AI844" s="1"/>
  <c r="BL254"/>
  <c r="AH1570" s="1"/>
  <c r="AI1570" s="1"/>
  <c r="BL44"/>
  <c r="AH754" s="1"/>
  <c r="AI754" s="1"/>
  <c r="BE145"/>
  <c r="AH1057" s="1"/>
  <c r="AI1057" s="1"/>
  <c r="BE126"/>
  <c r="AH1038" s="1"/>
  <c r="AI1038" s="1"/>
  <c r="AX129"/>
  <c r="AH940" s="1"/>
  <c r="AI940" s="1"/>
  <c r="AX345"/>
  <c r="AH1762" s="1"/>
  <c r="AI1762" s="1"/>
  <c r="AQ131"/>
  <c r="AH841" s="1"/>
  <c r="AI841" s="1"/>
  <c r="BL237"/>
  <c r="AH1553" s="1"/>
  <c r="AI1553" s="1"/>
  <c r="BE35"/>
  <c r="AH644" s="1"/>
  <c r="AI644" s="1"/>
  <c r="BE144"/>
  <c r="AH1056" s="1"/>
  <c r="AI1056" s="1"/>
  <c r="AX344"/>
  <c r="AH1761" s="1"/>
  <c r="AI1761" s="1"/>
  <c r="AX124"/>
  <c r="AH935" s="1"/>
  <c r="AI935" s="1"/>
  <c r="AQ230"/>
  <c r="AH1243" s="1"/>
  <c r="AI1243" s="1"/>
  <c r="BE147"/>
  <c r="AH1059" s="1"/>
  <c r="AI1059" s="1"/>
  <c r="BL45"/>
  <c r="AH755" s="1"/>
  <c r="AI755" s="1"/>
  <c r="AQ254"/>
  <c r="AH1267" s="1"/>
  <c r="AI1267" s="1"/>
  <c r="AX346"/>
  <c r="AH1763" s="1"/>
  <c r="AI1763" s="1"/>
  <c r="AX148"/>
  <c r="AH959" s="1"/>
  <c r="AI959" s="1"/>
  <c r="BL242"/>
  <c r="AH1558" s="1"/>
  <c r="AI1558" s="1"/>
  <c r="AX338"/>
  <c r="AH1755" s="1"/>
  <c r="AI1755" s="1"/>
  <c r="BL138"/>
  <c r="AH1151" s="1"/>
  <c r="AI1151" s="1"/>
  <c r="BE352"/>
  <c r="AH1870" s="1"/>
  <c r="AI1870" s="1"/>
  <c r="AX35"/>
  <c r="AH543" s="1"/>
  <c r="AI543" s="1"/>
  <c r="BL26"/>
  <c r="AH736" s="1"/>
  <c r="AI736" s="1"/>
  <c r="BL24"/>
  <c r="AH734" s="1"/>
  <c r="AI734" s="1"/>
  <c r="AX339"/>
  <c r="AH1756" s="1"/>
  <c r="AI1756" s="1"/>
  <c r="BL128"/>
  <c r="AH1141" s="1"/>
  <c r="AI1141" s="1"/>
  <c r="BL228"/>
  <c r="AH1544" s="1"/>
  <c r="AI1544" s="1"/>
  <c r="BE348"/>
  <c r="AH1866" s="1"/>
  <c r="AI1866" s="1"/>
  <c r="AX330"/>
  <c r="AH1747" s="1"/>
  <c r="AI1747" s="1"/>
  <c r="BE125"/>
  <c r="AH1037" s="1"/>
  <c r="AI1037" s="1"/>
  <c r="BE337"/>
  <c r="AH1855" s="1"/>
  <c r="AI1855" s="1"/>
  <c r="BL42"/>
  <c r="AH752" s="1"/>
  <c r="AI752" s="1"/>
  <c r="BL239"/>
  <c r="AH1555" s="1"/>
  <c r="AI1555" s="1"/>
  <c r="BE48"/>
  <c r="AH657" s="1"/>
  <c r="AI657" s="1"/>
  <c r="BL230"/>
  <c r="AH1546" s="1"/>
  <c r="AI1546" s="1"/>
  <c r="AQ242"/>
  <c r="AH1255" s="1"/>
  <c r="AI1255" s="1"/>
  <c r="AX254"/>
  <c r="AH1368" s="1"/>
  <c r="AI1368" s="1"/>
  <c r="BL243"/>
  <c r="AH1559" s="1"/>
  <c r="AI1559" s="1"/>
  <c r="BE132"/>
  <c r="AH1044" s="1"/>
  <c r="AI1044" s="1"/>
  <c r="AX228"/>
  <c r="AH1342" s="1"/>
  <c r="AI1342" s="1"/>
  <c r="BE40"/>
  <c r="AH649" s="1"/>
  <c r="AI649" s="1"/>
  <c r="AQ228"/>
  <c r="AH1241" s="1"/>
  <c r="AI1241" s="1"/>
  <c r="BE343"/>
  <c r="AH1861" s="1"/>
  <c r="AI1861" s="1"/>
  <c r="BE23"/>
  <c r="AH632" s="1"/>
  <c r="AI632" s="1"/>
  <c r="AQ152"/>
  <c r="AH862" s="1"/>
  <c r="AI862" s="1"/>
  <c r="BL25"/>
  <c r="AH735" s="1"/>
  <c r="AI735" s="1"/>
  <c r="AX150"/>
  <c r="AH961" s="1"/>
  <c r="AI961" s="1"/>
  <c r="BL48"/>
  <c r="AH758" s="1"/>
  <c r="AI758" s="1"/>
  <c r="AX232"/>
  <c r="AH1346" s="1"/>
  <c r="AI1346" s="1"/>
  <c r="BE142"/>
  <c r="AH1054" s="1"/>
  <c r="AI1054" s="1"/>
  <c r="AQ233"/>
  <c r="AH1246" s="1"/>
  <c r="AI1246" s="1"/>
  <c r="BL140"/>
  <c r="AH1153" s="1"/>
  <c r="AI1153" s="1"/>
  <c r="BE29"/>
  <c r="AH638" s="1"/>
  <c r="AI638" s="1"/>
  <c r="BE238"/>
  <c r="AH1453" s="1"/>
  <c r="AI1453" s="1"/>
  <c r="BL129"/>
  <c r="AH1142" s="1"/>
  <c r="AI1142" s="1"/>
  <c r="AX341"/>
  <c r="AH1758" s="1"/>
  <c r="AI1758" s="1"/>
  <c r="BL149"/>
  <c r="AH1162" s="1"/>
  <c r="AI1162" s="1"/>
  <c r="BE39"/>
  <c r="AH648" s="1"/>
  <c r="AI648" s="1"/>
  <c r="BE239"/>
  <c r="AH1454" s="1"/>
  <c r="AI1454" s="1"/>
  <c r="BE342"/>
  <c r="AH1860" s="1"/>
  <c r="AI1860" s="1"/>
  <c r="BE137"/>
  <c r="AH1049" s="1"/>
  <c r="AI1049" s="1"/>
  <c r="BE326"/>
  <c r="AH1844" s="1"/>
  <c r="AI1844" s="1"/>
  <c r="AX234"/>
  <c r="AH1348" s="1"/>
  <c r="AI1348" s="1"/>
  <c r="AX331"/>
  <c r="AH1748" s="1"/>
  <c r="AI1748" s="1"/>
  <c r="BE249"/>
  <c r="AH1464" s="1"/>
  <c r="AI1464" s="1"/>
  <c r="AQ241"/>
  <c r="AH1254" s="1"/>
  <c r="AI1254" s="1"/>
  <c r="BE252"/>
  <c r="AH1467" s="1"/>
  <c r="AI1467" s="1"/>
  <c r="BE333"/>
  <c r="AH1851" s="1"/>
  <c r="AI1851" s="1"/>
  <c r="BE131"/>
  <c r="AH1043" s="1"/>
  <c r="AI1043" s="1"/>
  <c r="BL31"/>
  <c r="AH741" s="1"/>
  <c r="AI741" s="1"/>
  <c r="AQ225"/>
  <c r="AH1238" s="1"/>
  <c r="AI1238" s="1"/>
  <c r="BL240"/>
  <c r="AH1556" s="1"/>
  <c r="AI1556" s="1"/>
  <c r="BL49"/>
  <c r="AH759" s="1"/>
  <c r="AI759" s="1"/>
  <c r="BE141"/>
  <c r="AH1053" s="1"/>
  <c r="AI1053" s="1"/>
  <c r="BE226"/>
  <c r="AH1441" s="1"/>
  <c r="AI1441" s="1"/>
  <c r="BE138"/>
  <c r="AH1050" s="1"/>
  <c r="AI1050" s="1"/>
  <c r="AQ226"/>
  <c r="AH1239" s="1"/>
  <c r="AI1239" s="1"/>
  <c r="AX25"/>
  <c r="AH533" s="1"/>
  <c r="AI533" s="1"/>
  <c r="AX332"/>
  <c r="AH1749" s="1"/>
  <c r="AI1749" s="1"/>
  <c r="AQ143"/>
  <c r="AH853" s="1"/>
  <c r="AI853" s="1"/>
  <c r="AX138"/>
  <c r="AH949" s="1"/>
  <c r="AI949" s="1"/>
  <c r="BL231"/>
  <c r="AH1547" s="1"/>
  <c r="AI1547" s="1"/>
  <c r="BL142"/>
  <c r="AH1155" s="1"/>
  <c r="AI1155" s="1"/>
  <c r="BL33"/>
  <c r="AH743" s="1"/>
  <c r="AI743" s="1"/>
  <c r="AX33"/>
  <c r="AH541" s="1"/>
  <c r="AI541" s="1"/>
  <c r="AX23"/>
  <c r="AH531" s="1"/>
  <c r="AI531" s="1"/>
  <c r="AQ126"/>
  <c r="AH836" s="1"/>
  <c r="AI836" s="1"/>
  <c r="BL135"/>
  <c r="AH1148" s="1"/>
  <c r="AI1148" s="1"/>
  <c r="BE27"/>
  <c r="AH636" s="1"/>
  <c r="AI636" s="1"/>
  <c r="BE233"/>
  <c r="AH1448" s="1"/>
  <c r="AI1448" s="1"/>
  <c r="BE152"/>
  <c r="AH1064" s="1"/>
  <c r="AI1064" s="1"/>
  <c r="BL36"/>
  <c r="AH746" s="1"/>
  <c r="AI746" s="1"/>
  <c r="AX38"/>
  <c r="AH546" s="1"/>
  <c r="AI546" s="1"/>
  <c r="BL130"/>
  <c r="AH1143" s="1"/>
  <c r="AI1143" s="1"/>
  <c r="BL34"/>
  <c r="AH744" s="1"/>
  <c r="AI744" s="1"/>
  <c r="BE354"/>
  <c r="AH1872" s="1"/>
  <c r="AI1872" s="1"/>
  <c r="AQ236"/>
  <c r="AH1249" s="1"/>
  <c r="AI1249" s="1"/>
  <c r="BL248"/>
  <c r="AH1564" s="1"/>
  <c r="AI1564" s="1"/>
  <c r="BE236"/>
  <c r="AH1451" s="1"/>
  <c r="AI1451" s="1"/>
  <c r="AQ150"/>
  <c r="AH860" s="1"/>
  <c r="AI860" s="1"/>
  <c r="BE42"/>
  <c r="AH651" s="1"/>
  <c r="AI651" s="1"/>
  <c r="AX141"/>
  <c r="AH952" s="1"/>
  <c r="AI952" s="1"/>
  <c r="BL124"/>
  <c r="AH1137" s="1"/>
  <c r="AI1137" s="1"/>
  <c r="BE32"/>
  <c r="AH641" s="1"/>
  <c r="AI641" s="1"/>
  <c r="AX354"/>
  <c r="AH1771" s="1"/>
  <c r="AI1771" s="1"/>
  <c r="AX336"/>
  <c r="AH1753" s="1"/>
  <c r="AI1753" s="1"/>
  <c r="AX42"/>
  <c r="AH550" s="1"/>
  <c r="AI550" s="1"/>
  <c r="AX241"/>
  <c r="AH1355" s="1"/>
  <c r="AI1355" s="1"/>
  <c r="BE245"/>
  <c r="AH1460" s="1"/>
  <c r="AI1460" s="1"/>
  <c r="BE140"/>
  <c r="AH1052" s="1"/>
  <c r="AI1052" s="1"/>
  <c r="AQ248"/>
  <c r="AH1261" s="1"/>
  <c r="AI1261" s="1"/>
  <c r="AX334"/>
  <c r="AH1751" s="1"/>
  <c r="AI1751" s="1"/>
  <c r="BL132"/>
  <c r="AH1145" s="1"/>
  <c r="AI1145" s="1"/>
  <c r="BL250"/>
  <c r="AH1566" s="1"/>
  <c r="AI1566" s="1"/>
  <c r="AQ253"/>
  <c r="AH1266" s="1"/>
  <c r="AI1266" s="1"/>
  <c r="AX28"/>
  <c r="AH536" s="1"/>
  <c r="AI536" s="1"/>
  <c r="BE331"/>
  <c r="AH1849" s="1"/>
  <c r="AI1849" s="1"/>
  <c r="BE38"/>
  <c r="AH647" s="1"/>
  <c r="AI647" s="1"/>
  <c r="BL244"/>
  <c r="AH1560" s="1"/>
  <c r="AI1560" s="1"/>
  <c r="BE153"/>
  <c r="AH1065" s="1"/>
  <c r="AI1065" s="1"/>
  <c r="BL241"/>
  <c r="AH1557" s="1"/>
  <c r="AI1557" s="1"/>
  <c r="BL143"/>
  <c r="AH1156" s="1"/>
  <c r="AI1156" s="1"/>
  <c r="AQ137"/>
  <c r="AH847" s="1"/>
  <c r="AI847" s="1"/>
  <c r="BE51"/>
  <c r="AH660" s="1"/>
  <c r="AI660" s="1"/>
  <c r="AQ132"/>
  <c r="AH842" s="1"/>
  <c r="AI842" s="1"/>
  <c r="AQ232"/>
  <c r="AH1245" s="1"/>
  <c r="AI1245" s="1"/>
  <c r="AX34"/>
  <c r="AH542" s="1"/>
  <c r="AI542" s="1"/>
  <c r="AX26"/>
  <c r="AH534" s="1"/>
  <c r="AI534" s="1"/>
  <c r="BE45"/>
  <c r="AH654" s="1"/>
  <c r="AI654" s="1"/>
  <c r="BL146"/>
  <c r="AH1159" s="1"/>
  <c r="AI1159" s="1"/>
  <c r="AX335"/>
  <c r="AH1752" s="1"/>
  <c r="AI1752" s="1"/>
  <c r="BL233"/>
  <c r="AH1549" s="1"/>
  <c r="AI1549" s="1"/>
  <c r="BL145"/>
  <c r="AH1158" s="1"/>
  <c r="AI1158" s="1"/>
  <c r="BL253"/>
  <c r="AH1569" s="1"/>
  <c r="AI1569" s="1"/>
  <c r="BE127"/>
  <c r="AH1039" s="1"/>
  <c r="AI1039" s="1"/>
  <c r="AX348"/>
  <c r="AH1765" s="1"/>
  <c r="AI1765" s="1"/>
  <c r="AX51"/>
  <c r="AH559" s="1"/>
  <c r="AI559" s="1"/>
  <c r="AX49"/>
  <c r="AH557" s="1"/>
  <c r="AI557" s="1"/>
  <c r="AX355"/>
  <c r="AH1772" s="1"/>
  <c r="AI1772" s="1"/>
  <c r="BE338"/>
  <c r="AH1856" s="1"/>
  <c r="AI1856" s="1"/>
  <c r="AX250"/>
  <c r="AH1364" s="1"/>
  <c r="AI1364" s="1"/>
  <c r="BE139"/>
  <c r="AH1051" s="1"/>
  <c r="AI1051" s="1"/>
  <c r="BL147"/>
  <c r="AH1160" s="1"/>
  <c r="AI1160" s="1"/>
  <c r="BE49"/>
  <c r="AH658" s="1"/>
  <c r="AI658" s="1"/>
  <c r="AQ124"/>
  <c r="AH834" s="1"/>
  <c r="AI834" s="1"/>
  <c r="BE251"/>
  <c r="AH1466" s="1"/>
  <c r="AI1466" s="1"/>
  <c r="BL144"/>
  <c r="AH1157" s="1"/>
  <c r="AI1157" s="1"/>
  <c r="BL30"/>
  <c r="AH740" s="1"/>
  <c r="AI740" s="1"/>
  <c r="AQ153"/>
  <c r="AH863" s="1"/>
  <c r="AI863" s="1"/>
  <c r="AX349"/>
  <c r="AH1766" s="1"/>
  <c r="AI1766" s="1"/>
  <c r="AX48"/>
  <c r="AH556" s="1"/>
  <c r="AI556" s="1"/>
  <c r="AX37"/>
  <c r="AH545" s="1"/>
  <c r="AI545" s="1"/>
  <c r="AX327"/>
  <c r="AH1744" s="1"/>
  <c r="AI1744" s="1"/>
  <c r="BL139"/>
  <c r="AH1152" s="1"/>
  <c r="AI1152" s="1"/>
  <c r="AX244"/>
  <c r="AH1358" s="1"/>
  <c r="AI1358" s="1"/>
  <c r="AQ145"/>
  <c r="AH855" s="1"/>
  <c r="AI855" s="1"/>
  <c r="AQ252"/>
  <c r="AH1265" s="1"/>
  <c r="AI1265" s="1"/>
  <c r="AX225"/>
  <c r="AH1339" s="1"/>
  <c r="AI1339" s="1"/>
  <c r="AX231"/>
  <c r="AH1345" s="1"/>
  <c r="AI1345" s="1"/>
  <c r="AQ244"/>
  <c r="AH1257" s="1"/>
  <c r="AI1257" s="1"/>
  <c r="BL136"/>
  <c r="AH1149" s="1"/>
  <c r="AI1149" s="1"/>
  <c r="BE37"/>
  <c r="AH646" s="1"/>
  <c r="AI646" s="1"/>
  <c r="AQ146"/>
  <c r="AH856" s="1"/>
  <c r="AI856" s="1"/>
  <c r="AX252"/>
  <c r="AH1366" s="1"/>
  <c r="AI1366" s="1"/>
  <c r="AQ125"/>
  <c r="AH835" s="1"/>
  <c r="AI835" s="1"/>
  <c r="AQ238"/>
  <c r="AH1251" s="1"/>
  <c r="AI1251" s="1"/>
  <c r="AQ135"/>
  <c r="AH845" s="1"/>
  <c r="AI845" s="1"/>
  <c r="AX245"/>
  <c r="AH1359" s="1"/>
  <c r="AI1359" s="1"/>
  <c r="BL148"/>
  <c r="AH1161" s="1"/>
  <c r="AI1161" s="1"/>
  <c r="BE330"/>
  <c r="AH1848" s="1"/>
  <c r="AI1848" s="1"/>
  <c r="BE246"/>
  <c r="AH1461" s="1"/>
  <c r="AI1461" s="1"/>
  <c r="AX24"/>
  <c r="AH532" s="1"/>
  <c r="AI532" s="1"/>
  <c r="AX233"/>
  <c r="AH1347" s="1"/>
  <c r="AI1347" s="1"/>
  <c r="BL249"/>
  <c r="AH1565" s="1"/>
  <c r="AI1565" s="1"/>
  <c r="AX32"/>
  <c r="AH540" s="1"/>
  <c r="AI540" s="1"/>
  <c r="AX342"/>
  <c r="AH1759" s="1"/>
  <c r="AI1759" s="1"/>
  <c r="AX353"/>
  <c r="AH1770" s="1"/>
  <c r="AI1770" s="1"/>
  <c r="BE47"/>
  <c r="AH656" s="1"/>
  <c r="AI656" s="1"/>
  <c r="BE240"/>
  <c r="AH1455" s="1"/>
  <c r="AI1455" s="1"/>
  <c r="BE340"/>
  <c r="AH1858" s="1"/>
  <c r="AI1858" s="1"/>
  <c r="AX343"/>
  <c r="AH1760" s="1"/>
  <c r="AI1760" s="1"/>
  <c r="AX140"/>
  <c r="AH951" s="1"/>
  <c r="AI951" s="1"/>
  <c r="AX144"/>
  <c r="AH955" s="1"/>
  <c r="AI955" s="1"/>
  <c r="BE328"/>
  <c r="AH1846" s="1"/>
  <c r="AI1846" s="1"/>
  <c r="BE133"/>
  <c r="AH1045" s="1"/>
  <c r="AI1045" s="1"/>
  <c r="BE253"/>
  <c r="AH1468" s="1"/>
  <c r="AI1468" s="1"/>
  <c r="AQ144"/>
  <c r="AH854" s="1"/>
  <c r="AI854" s="1"/>
  <c r="BL40"/>
  <c r="AH750" s="1"/>
  <c r="AI750" s="1"/>
  <c r="AX226"/>
  <c r="AH1340" s="1"/>
  <c r="AI1340" s="1"/>
  <c r="AX246"/>
  <c r="AH1360" s="1"/>
  <c r="AI1360" s="1"/>
  <c r="BE230"/>
  <c r="AH1445" s="1"/>
  <c r="AI1445" s="1"/>
  <c r="BE50"/>
  <c r="AH659" s="1"/>
  <c r="AI659" s="1"/>
  <c r="BE228"/>
  <c r="AH1443" s="1"/>
  <c r="AI1443" s="1"/>
  <c r="AQ148"/>
  <c r="AH858" s="1"/>
  <c r="AI858" s="1"/>
  <c r="BL225"/>
  <c r="AH1541" s="1"/>
  <c r="AI1541" s="1"/>
  <c r="AQ149"/>
  <c r="AH859" s="1"/>
  <c r="AI859" s="1"/>
  <c r="AX131"/>
  <c r="AH942" s="1"/>
  <c r="AI942" s="1"/>
  <c r="BE225"/>
  <c r="AH1440" s="1"/>
  <c r="AI1440" s="1"/>
  <c r="BE151"/>
  <c r="AH1063" s="1"/>
  <c r="AI1063" s="1"/>
  <c r="BE248"/>
  <c r="AH1463" s="1"/>
  <c r="AI1463" s="1"/>
  <c r="AX340"/>
  <c r="AH1757" s="1"/>
  <c r="AI1757" s="1"/>
  <c r="AQ147"/>
  <c r="AH857" s="1"/>
  <c r="AI857" s="1"/>
  <c r="BL234"/>
  <c r="AH1550" s="1"/>
  <c r="AI1550" s="1"/>
  <c r="BE339"/>
  <c r="AH1857" s="1"/>
  <c r="AI1857" s="1"/>
  <c r="BE327"/>
  <c r="AH1845" s="1"/>
  <c r="AI1845" s="1"/>
  <c r="AX236"/>
  <c r="AH1350" s="1"/>
  <c r="AI1350" s="1"/>
  <c r="BL236"/>
  <c r="AH1552" s="1"/>
  <c r="AI1552" s="1"/>
  <c r="BL52"/>
  <c r="AH762" s="1"/>
  <c r="AI762" s="1"/>
  <c r="BE250"/>
  <c r="AH1465" s="1"/>
  <c r="AI1465" s="1"/>
  <c r="BL134"/>
  <c r="AH1147" s="1"/>
  <c r="AI1147" s="1"/>
  <c r="BE341"/>
  <c r="AH1859" s="1"/>
  <c r="AI1859" s="1"/>
  <c r="AX52"/>
  <c r="AH560" s="1"/>
  <c r="AI560" s="1"/>
  <c r="AX135"/>
  <c r="AH946" s="1"/>
  <c r="AI946" s="1"/>
  <c r="AX45"/>
  <c r="AH553" s="1"/>
  <c r="AI553" s="1"/>
  <c r="BL151"/>
  <c r="AH1164" s="1"/>
  <c r="AI1164" s="1"/>
  <c r="AQ240"/>
  <c r="AH1253" s="1"/>
  <c r="AI1253" s="1"/>
  <c r="BE231"/>
  <c r="AH1446" s="1"/>
  <c r="AI1446" s="1"/>
  <c r="BL46"/>
  <c r="AH756" s="1"/>
  <c r="AI756" s="1"/>
  <c r="BL28"/>
  <c r="AH738" s="1"/>
  <c r="AI738" s="1"/>
  <c r="AQ251"/>
  <c r="AH1264" s="1"/>
  <c r="AI1264" s="1"/>
  <c r="BL125"/>
  <c r="AH1138" s="1"/>
  <c r="AI1138" s="1"/>
  <c r="AX41"/>
  <c r="AH549" s="1"/>
  <c r="AI549" s="1"/>
  <c r="BL252"/>
  <c r="AH1568" s="1"/>
  <c r="AI1568" s="1"/>
  <c r="AX249"/>
  <c r="AH1363" s="1"/>
  <c r="AI1363" s="1"/>
  <c r="AX127"/>
  <c r="AH938" s="1"/>
  <c r="AI938" s="1"/>
  <c r="BL39"/>
  <c r="AH749" s="1"/>
  <c r="AI749" s="1"/>
  <c r="BE136"/>
  <c r="AH1048" s="1"/>
  <c r="AI1048" s="1"/>
  <c r="AX347"/>
  <c r="AH1764" s="1"/>
  <c r="AI1764" s="1"/>
  <c r="BL32"/>
  <c r="AH742" s="1"/>
  <c r="AI742" s="1"/>
  <c r="BL41"/>
  <c r="AH751" s="1"/>
  <c r="AI751" s="1"/>
  <c r="BE28"/>
  <c r="AH637" s="1"/>
  <c r="AI637" s="1"/>
  <c r="BE345"/>
  <c r="AH1863" s="1"/>
  <c r="AI1863" s="1"/>
  <c r="AX151"/>
  <c r="AH962" s="1"/>
  <c r="AI962" s="1"/>
  <c r="BE347"/>
  <c r="AH1865" s="1"/>
  <c r="AI1865" s="1"/>
  <c r="AQ250"/>
  <c r="AH1263" s="1"/>
  <c r="AI1263" s="1"/>
  <c r="BE242"/>
  <c r="AH1457" s="1"/>
  <c r="AI1457" s="1"/>
  <c r="BL47"/>
  <c r="AH757" s="1"/>
  <c r="AI757" s="1"/>
  <c r="BE336"/>
  <c r="AH1854" s="1"/>
  <c r="AI1854" s="1"/>
  <c r="BL43"/>
  <c r="AH753" s="1"/>
  <c r="AI753" s="1"/>
  <c r="BL251"/>
  <c r="AH1567" s="1"/>
  <c r="AI1567" s="1"/>
  <c r="BE134"/>
  <c r="AH1046" s="1"/>
  <c r="AI1046" s="1"/>
  <c r="AX333"/>
  <c r="AH1750" s="1"/>
  <c r="AI1750" s="1"/>
  <c r="BE353"/>
  <c r="AH1871" s="1"/>
  <c r="AI1871" s="1"/>
  <c r="BE135"/>
  <c r="AH1047" s="1"/>
  <c r="AI1047" s="1"/>
  <c r="AX251"/>
  <c r="AH1365" s="1"/>
  <c r="AI1365" s="1"/>
  <c r="BL232"/>
  <c r="AH1548" s="1"/>
  <c r="AI1548" s="1"/>
  <c r="AX146"/>
  <c r="AH957" s="1"/>
  <c r="AI957" s="1"/>
  <c r="AX238"/>
  <c r="AH1352" s="1"/>
  <c r="AI1352" s="1"/>
  <c r="AQ237"/>
  <c r="AH1250" s="1"/>
  <c r="AI1250" s="1"/>
  <c r="AQ245"/>
  <c r="AH1258" s="1"/>
  <c r="AI1258" s="1"/>
  <c r="BE227"/>
  <c r="AH1442" s="1"/>
  <c r="AI1442" s="1"/>
  <c r="AQ142"/>
  <c r="AH852" s="1"/>
  <c r="AI852" s="1"/>
  <c r="BE232"/>
  <c r="AH1447" s="1"/>
  <c r="AI1447" s="1"/>
  <c r="BL133"/>
  <c r="AH1146" s="1"/>
  <c r="AI1146" s="1"/>
  <c r="AQ235"/>
  <c r="AH1248" s="1"/>
  <c r="AI1248" s="1"/>
  <c r="BE344"/>
  <c r="AH1862" s="1"/>
  <c r="AI1862" s="1"/>
  <c r="BL229"/>
  <c r="AH1545" s="1"/>
  <c r="AI1545" s="1"/>
  <c r="AX243"/>
  <c r="AH1357" s="1"/>
  <c r="AI1357" s="1"/>
  <c r="AX239"/>
  <c r="AH1353" s="1"/>
  <c r="AI1353" s="1"/>
  <c r="AQ247"/>
  <c r="AH1260" s="1"/>
  <c r="AI1260" s="1"/>
  <c r="BL131"/>
  <c r="AH1144" s="1"/>
  <c r="AI1144" s="1"/>
  <c r="BL247"/>
  <c r="AH1563" s="1"/>
  <c r="AI1563" s="1"/>
  <c r="BE351"/>
  <c r="AH1869" s="1"/>
  <c r="AI1869" s="1"/>
  <c r="BL150"/>
  <c r="AH1163" s="1"/>
  <c r="AI1163" s="1"/>
  <c r="AX137"/>
  <c r="AH948" s="1"/>
  <c r="AI948" s="1"/>
  <c r="AX351"/>
  <c r="AH1768" s="1"/>
  <c r="AI1768" s="1"/>
  <c r="BL126"/>
  <c r="AH1139" s="1"/>
  <c r="AI1139" s="1"/>
  <c r="AQ231"/>
  <c r="AH1244" s="1"/>
  <c r="AI1244" s="1"/>
  <c r="AQ151"/>
  <c r="AH861" s="1"/>
  <c r="AI861" s="1"/>
  <c r="AX227"/>
  <c r="AH1341" s="1"/>
  <c r="AI1341" s="1"/>
  <c r="BE25"/>
  <c r="AH634" s="1"/>
  <c r="AI634" s="1"/>
  <c r="AX130"/>
  <c r="AH941" s="1"/>
  <c r="AI941" s="1"/>
  <c r="AQ227"/>
  <c r="AH1240" s="1"/>
  <c r="AI1240" s="1"/>
  <c r="BL226"/>
  <c r="AH1542" s="1"/>
  <c r="AI1542" s="1"/>
  <c r="BE46"/>
  <c r="AH655" s="1"/>
  <c r="AI655" s="1"/>
  <c r="BE33"/>
  <c r="AH642" s="1"/>
  <c r="AI642" s="1"/>
  <c r="AX136"/>
  <c r="AH947" s="1"/>
  <c r="AI947" s="1"/>
  <c r="BE241"/>
  <c r="AH1456" s="1"/>
  <c r="AI1456" s="1"/>
  <c r="BE41"/>
  <c r="AH650" s="1"/>
  <c r="AI650" s="1"/>
  <c r="AQ229"/>
  <c r="AH1242" s="1"/>
  <c r="AI1242" s="1"/>
  <c r="AQ239"/>
  <c r="AH1252" s="1"/>
  <c r="AI1252" s="1"/>
  <c r="BE349"/>
  <c r="AH1867" s="1"/>
  <c r="AI1867" s="1"/>
  <c r="BE130"/>
  <c r="AH1042" s="1"/>
  <c r="AI1042" s="1"/>
  <c r="AX247"/>
  <c r="AH1361" s="1"/>
  <c r="AI1361" s="1"/>
  <c r="BL246"/>
  <c r="AH1562" s="1"/>
  <c r="AI1562" s="1"/>
  <c r="BE247"/>
  <c r="AH1462" s="1"/>
  <c r="AI1462" s="1"/>
  <c r="AX329"/>
  <c r="AH1746" s="1"/>
  <c r="AI1746" s="1"/>
  <c r="AX147"/>
  <c r="AH958" s="1"/>
  <c r="AI958" s="1"/>
  <c r="BE332"/>
  <c r="AH1850" s="1"/>
  <c r="AI1850" s="1"/>
  <c r="BE24"/>
  <c r="AH633" s="1"/>
  <c r="AI633" s="1"/>
  <c r="BL137"/>
  <c r="AH1150" s="1"/>
  <c r="AI1150" s="1"/>
  <c r="AX126"/>
  <c r="AH937" s="1"/>
  <c r="AI937" s="1"/>
  <c r="AX46"/>
  <c r="AH554" s="1"/>
  <c r="AI554" s="1"/>
  <c r="AX142"/>
  <c r="AH953" s="1"/>
  <c r="AI953" s="1"/>
  <c r="BL153"/>
  <c r="AH1166" s="1"/>
  <c r="AI1166" s="1"/>
  <c r="AQ128"/>
  <c r="AH838" s="1"/>
  <c r="AI838" s="1"/>
  <c r="AX328"/>
  <c r="AH1745" s="1"/>
  <c r="AI1745" s="1"/>
  <c r="BL227"/>
  <c r="AH1543" s="1"/>
  <c r="AI1543" s="1"/>
  <c r="AQ249"/>
  <c r="AH1262" s="1"/>
  <c r="AI1262" s="1"/>
  <c r="AX40"/>
  <c r="AH548" s="1"/>
  <c r="AI548" s="1"/>
  <c r="BE234"/>
  <c r="AH1449" s="1"/>
  <c r="AI1449" s="1"/>
  <c r="AQ129"/>
  <c r="AH839" s="1"/>
  <c r="AI839" s="1"/>
  <c r="AQ130"/>
  <c r="AH840" s="1"/>
  <c r="AI840" s="1"/>
  <c r="BL35"/>
  <c r="AH745" s="1"/>
  <c r="AI745" s="1"/>
  <c r="AX143"/>
  <c r="AH954" s="1"/>
  <c r="AI954" s="1"/>
  <c r="AX149"/>
  <c r="AH960" s="1"/>
  <c r="AI960" s="1"/>
  <c r="BL27"/>
  <c r="AH737" s="1"/>
  <c r="AI737" s="1"/>
  <c r="BL235"/>
  <c r="AH1551" s="1"/>
  <c r="AI1551" s="1"/>
  <c r="BE124"/>
  <c r="AH1036" s="1"/>
  <c r="AI1036" s="1"/>
  <c r="BL127"/>
  <c r="AH1140" s="1"/>
  <c r="AI1140" s="1"/>
  <c r="AQ140"/>
  <c r="AH850" s="1"/>
  <c r="AI850" s="1"/>
  <c r="BE243"/>
  <c r="AH1458" s="1"/>
  <c r="AI1458" s="1"/>
  <c r="AX125"/>
  <c r="AH936" s="1"/>
  <c r="AI936" s="1"/>
  <c r="BE346"/>
  <c r="AH1864" s="1"/>
  <c r="AI1864" s="1"/>
  <c r="AX152"/>
  <c r="AH963" s="1"/>
  <c r="AI963" s="1"/>
  <c r="BL51"/>
  <c r="AH761" s="1"/>
  <c r="AI761" s="1"/>
  <c r="BE335"/>
  <c r="AH1853" s="1"/>
  <c r="AI1853" s="1"/>
  <c r="BE128"/>
  <c r="AH1040" s="1"/>
  <c r="AI1040" s="1"/>
  <c r="AQ136"/>
  <c r="AH846" s="1"/>
  <c r="AI846" s="1"/>
  <c r="BL38"/>
  <c r="AH748" s="1"/>
  <c r="AI748" s="1"/>
  <c r="BL245"/>
  <c r="AH1561" s="1"/>
  <c r="AI1561" s="1"/>
  <c r="AX248"/>
  <c r="AH1362" s="1"/>
  <c r="AI1362" s="1"/>
  <c r="BE31"/>
  <c r="AH640" s="1"/>
  <c r="AI640" s="1"/>
  <c r="BL37"/>
  <c r="AH747" s="1"/>
  <c r="AI747" s="1"/>
  <c r="AX350"/>
  <c r="AH1767" s="1"/>
  <c r="AI1767" s="1"/>
  <c r="AX47"/>
  <c r="AH555" s="1"/>
  <c r="AI555" s="1"/>
  <c r="BE229"/>
  <c r="AH1444" s="1"/>
  <c r="AI1444" s="1"/>
  <c r="AX128"/>
  <c r="AH939" s="1"/>
  <c r="AI939" s="1"/>
  <c r="BE148"/>
  <c r="AH1060" s="1"/>
  <c r="AI1060" s="1"/>
  <c r="AX240"/>
  <c r="AH1354" s="1"/>
  <c r="AI1354" s="1"/>
  <c r="BE146"/>
  <c r="AH1058" s="1"/>
  <c r="AI1058" s="1"/>
  <c r="BE254"/>
  <c r="AH1469" s="1"/>
  <c r="AI1469" s="1"/>
  <c r="BE350"/>
  <c r="AH1868" s="1"/>
  <c r="AI1868" s="1"/>
  <c r="AX132"/>
  <c r="AH943" s="1"/>
  <c r="AI943" s="1"/>
  <c r="AQ246"/>
  <c r="AH1259" s="1"/>
  <c r="AI1259" s="1"/>
  <c r="AX43"/>
  <c r="AH551" s="1"/>
  <c r="AI551" s="1"/>
  <c r="BE355"/>
  <c r="AH1873" s="1"/>
  <c r="AI1873" s="1"/>
  <c r="AX44"/>
  <c r="AH552" s="1"/>
  <c r="AI552" s="1"/>
  <c r="AQ127"/>
  <c r="AH837" s="1"/>
  <c r="AI837" s="1"/>
  <c r="AX39"/>
  <c r="AH547" s="1"/>
  <c r="AI547" s="1"/>
  <c r="AX153"/>
  <c r="AH964" s="1"/>
  <c r="AI964" s="1"/>
  <c r="AX31"/>
  <c r="AH539" s="1"/>
  <c r="AI539" s="1"/>
  <c r="AX30"/>
  <c r="AH538" s="1"/>
  <c r="AI538" s="1"/>
  <c r="AX36"/>
  <c r="AH544" s="1"/>
  <c r="AI544" s="1"/>
  <c r="BL141"/>
  <c r="AH1154" s="1"/>
  <c r="AI1154" s="1"/>
  <c r="AQ243"/>
  <c r="AH1256" s="1"/>
  <c r="AI1256" s="1"/>
  <c r="BE129"/>
  <c r="AH1041" s="1"/>
  <c r="AI1041" s="1"/>
  <c r="AX134"/>
  <c r="AH945" s="1"/>
  <c r="AI945" s="1"/>
  <c r="BL50"/>
  <c r="AH760" s="1"/>
  <c r="AI760" s="1"/>
  <c r="AX29"/>
  <c r="AH537" s="1"/>
  <c r="AI537" s="1"/>
  <c r="BE43"/>
  <c r="AH652" s="1"/>
  <c r="AI652" s="1"/>
  <c r="AQ133"/>
  <c r="AH843" s="1"/>
  <c r="AI843" s="1"/>
  <c r="AX50"/>
  <c r="AH558" s="1"/>
  <c r="AI558" s="1"/>
  <c r="BE244"/>
  <c r="AH1459" s="1"/>
  <c r="AI1459" s="1"/>
  <c r="BE52"/>
  <c r="AH661" s="1"/>
  <c r="AI661" s="1"/>
  <c r="AX337"/>
  <c r="AH1754" s="1"/>
  <c r="AI1754" s="1"/>
  <c r="BE9"/>
  <c r="AH618" s="1"/>
  <c r="AI618" s="1"/>
  <c r="AX116"/>
  <c r="AH927" s="1"/>
  <c r="AI927" s="1"/>
  <c r="AX224"/>
  <c r="AH1338" s="1"/>
  <c r="AI1338" s="1"/>
  <c r="BL121"/>
  <c r="AH1134" s="1"/>
  <c r="AI1134" s="1"/>
  <c r="BE219"/>
  <c r="AH1434" s="1"/>
  <c r="AI1434" s="1"/>
  <c r="AX306"/>
  <c r="AH1723" s="1"/>
  <c r="AI1723" s="1"/>
  <c r="AQ204"/>
  <c r="AH1217" s="1"/>
  <c r="AI1217" s="1"/>
  <c r="BE121"/>
  <c r="AH1033" s="1"/>
  <c r="AI1033" s="1"/>
  <c r="BL113"/>
  <c r="AH1126" s="1"/>
  <c r="AI1126" s="1"/>
  <c r="AX314"/>
  <c r="AH1731" s="1"/>
  <c r="AI1731" s="1"/>
  <c r="BL5"/>
  <c r="AH715" s="1"/>
  <c r="AI715" s="1"/>
  <c r="AX223"/>
  <c r="AH1337" s="1"/>
  <c r="AI1337" s="1"/>
  <c r="BL13"/>
  <c r="AH723" s="1"/>
  <c r="AI723" s="1"/>
  <c r="BL4"/>
  <c r="AH714" s="1"/>
  <c r="AI714" s="1"/>
  <c r="BE207"/>
  <c r="AH1422" s="1"/>
  <c r="AI1422" s="1"/>
  <c r="BL211"/>
  <c r="AH1527" s="1"/>
  <c r="AI1527" s="1"/>
  <c r="AX215"/>
  <c r="AH1329" s="1"/>
  <c r="AI1329" s="1"/>
  <c r="BE109"/>
  <c r="AH1021" s="1"/>
  <c r="AI1021" s="1"/>
  <c r="AX214"/>
  <c r="AH1328" s="1"/>
  <c r="AI1328" s="1"/>
  <c r="BL20"/>
  <c r="AH730" s="1"/>
  <c r="AI730" s="1"/>
  <c r="AX212"/>
  <c r="AH1326" s="1"/>
  <c r="AI1326" s="1"/>
  <c r="BE7"/>
  <c r="AH616" s="1"/>
  <c r="AI616" s="1"/>
  <c r="BE21"/>
  <c r="AH630" s="1"/>
  <c r="AI630" s="1"/>
  <c r="AQ111"/>
  <c r="AH821" s="1"/>
  <c r="AI821" s="1"/>
  <c r="BE310"/>
  <c r="AH1828" s="1"/>
  <c r="AI1828" s="1"/>
  <c r="BL120"/>
  <c r="AH1133" s="1"/>
  <c r="AI1133" s="1"/>
  <c r="BE205"/>
  <c r="AH1420" s="1"/>
  <c r="AI1420" s="1"/>
  <c r="AX18"/>
  <c r="AH526" s="1"/>
  <c r="AI526" s="1"/>
  <c r="AX217"/>
  <c r="AH1331" s="1"/>
  <c r="AI1331" s="1"/>
  <c r="BE319"/>
  <c r="AH1837" s="1"/>
  <c r="AI1837" s="1"/>
  <c r="AX9"/>
  <c r="AH517" s="1"/>
  <c r="AI517" s="1"/>
  <c r="AQ220"/>
  <c r="AH1233" s="1"/>
  <c r="AI1233" s="1"/>
  <c r="BE115"/>
  <c r="AH1027" s="1"/>
  <c r="AI1027" s="1"/>
  <c r="BL3"/>
  <c r="AH713" s="1"/>
  <c r="AI713" s="1"/>
  <c r="BE312"/>
  <c r="AH1830" s="1"/>
  <c r="AI1830" s="1"/>
  <c r="BL122"/>
  <c r="AH1135" s="1"/>
  <c r="AI1135" s="1"/>
  <c r="BE118"/>
  <c r="AH1030" s="1"/>
  <c r="AI1030" s="1"/>
  <c r="AX209"/>
  <c r="AH1323" s="1"/>
  <c r="AI1323" s="1"/>
  <c r="BL224"/>
  <c r="AH1540" s="1"/>
  <c r="AI1540" s="1"/>
  <c r="BE12"/>
  <c r="AH621" s="1"/>
  <c r="AI621" s="1"/>
  <c r="AX5"/>
  <c r="AH513" s="1"/>
  <c r="AI513" s="1"/>
  <c r="AQ117"/>
  <c r="AH827" s="1"/>
  <c r="AI827" s="1"/>
  <c r="AQ108"/>
  <c r="AH818" s="1"/>
  <c r="AI818" s="1"/>
  <c r="BL118"/>
  <c r="AH1131" s="1"/>
  <c r="AI1131" s="1"/>
  <c r="AQ207"/>
  <c r="AH1220" s="1"/>
  <c r="AI1220" s="1"/>
  <c r="BL104"/>
  <c r="AH1117" s="1"/>
  <c r="AI1117" s="1"/>
  <c r="AQ209"/>
  <c r="AH1222" s="1"/>
  <c r="AI1222" s="1"/>
  <c r="AX115"/>
  <c r="AH926" s="1"/>
  <c r="AI926" s="1"/>
  <c r="BL110"/>
  <c r="AH1123" s="1"/>
  <c r="AI1123" s="1"/>
  <c r="AQ213"/>
  <c r="AH1226" s="1"/>
  <c r="AI1226" s="1"/>
  <c r="BE106"/>
  <c r="AH1018" s="1"/>
  <c r="AI1018" s="1"/>
  <c r="BL217"/>
  <c r="AH1533" s="1"/>
  <c r="AI1533" s="1"/>
  <c r="AX317"/>
  <c r="AH1734" s="1"/>
  <c r="AI1734" s="1"/>
  <c r="AX323"/>
  <c r="AH1740" s="1"/>
  <c r="AI1740" s="1"/>
  <c r="AQ218"/>
  <c r="AH1231" s="1"/>
  <c r="AI1231" s="1"/>
  <c r="AX112"/>
  <c r="AH923" s="1"/>
  <c r="AI923" s="1"/>
  <c r="BE222"/>
  <c r="AH1437" s="1"/>
  <c r="AI1437" s="1"/>
  <c r="AQ208"/>
  <c r="AH1221" s="1"/>
  <c r="AI1221" s="1"/>
  <c r="BL117"/>
  <c r="AH1130" s="1"/>
  <c r="AI1130" s="1"/>
  <c r="BL8"/>
  <c r="AH718" s="1"/>
  <c r="AI718" s="1"/>
  <c r="AQ107"/>
  <c r="AH817" s="1"/>
  <c r="AI817" s="1"/>
  <c r="AX113"/>
  <c r="AH924" s="1"/>
  <c r="AI924" s="1"/>
  <c r="BL119"/>
  <c r="AH1132" s="1"/>
  <c r="AI1132" s="1"/>
  <c r="BL218"/>
  <c r="AH1534" s="1"/>
  <c r="AI1534" s="1"/>
  <c r="AQ221"/>
  <c r="AH1234" s="1"/>
  <c r="AI1234" s="1"/>
  <c r="AQ113"/>
  <c r="AH823" s="1"/>
  <c r="AI823" s="1"/>
  <c r="AQ211"/>
  <c r="AH1224" s="1"/>
  <c r="AI1224" s="1"/>
  <c r="BE119"/>
  <c r="AH1031" s="1"/>
  <c r="AI1031" s="1"/>
  <c r="AX4"/>
  <c r="AH512" s="1"/>
  <c r="AI512" s="1"/>
  <c r="AQ215"/>
  <c r="AH1228" s="1"/>
  <c r="AI1228" s="1"/>
  <c r="BL105"/>
  <c r="AH1118" s="1"/>
  <c r="AI1118" s="1"/>
  <c r="BE4"/>
  <c r="AH613" s="1"/>
  <c r="AI613" s="1"/>
  <c r="AX216"/>
  <c r="AH1330" s="1"/>
  <c r="AI1330" s="1"/>
  <c r="AX109"/>
  <c r="AH920" s="1"/>
  <c r="AI920" s="1"/>
  <c r="BE307"/>
  <c r="AH1825" s="1"/>
  <c r="AI1825" s="1"/>
  <c r="BE306"/>
  <c r="AH1824" s="1"/>
  <c r="AI1824" s="1"/>
  <c r="BE3"/>
  <c r="AH612" s="1"/>
  <c r="AI612" s="1"/>
  <c r="BE213"/>
  <c r="AH1428" s="1"/>
  <c r="AI1428" s="1"/>
  <c r="BL7"/>
  <c r="AH717" s="1"/>
  <c r="AI717" s="1"/>
  <c r="BE314"/>
  <c r="AH1832" s="1"/>
  <c r="AI1832" s="1"/>
  <c r="AX315"/>
  <c r="AH1732" s="1"/>
  <c r="AI1732" s="1"/>
  <c r="AX121"/>
  <c r="AH932" s="1"/>
  <c r="AI932" s="1"/>
  <c r="BE224"/>
  <c r="AH1439" s="1"/>
  <c r="AI1439" s="1"/>
  <c r="AX312"/>
  <c r="AH1729" s="1"/>
  <c r="AI1729" s="1"/>
  <c r="AX213"/>
  <c r="AH1327" s="1"/>
  <c r="AI1327" s="1"/>
  <c r="AQ223"/>
  <c r="AH1236" s="1"/>
  <c r="AI1236" s="1"/>
  <c r="BL19"/>
  <c r="AH729" s="1"/>
  <c r="AI729" s="1"/>
  <c r="BE8"/>
  <c r="AH617" s="1"/>
  <c r="AI617" s="1"/>
  <c r="AX324"/>
  <c r="AH1741" s="1"/>
  <c r="AI1741" s="1"/>
  <c r="BE206"/>
  <c r="AH1421" s="1"/>
  <c r="AI1421" s="1"/>
  <c r="BL205"/>
  <c r="AH1521" s="1"/>
  <c r="AI1521" s="1"/>
  <c r="BL10"/>
  <c r="AH720" s="1"/>
  <c r="AI720" s="1"/>
  <c r="AX221"/>
  <c r="AH1335" s="1"/>
  <c r="AI1335" s="1"/>
  <c r="AX17"/>
  <c r="AH525" s="1"/>
  <c r="AI525" s="1"/>
  <c r="BL112"/>
  <c r="AH1125" s="1"/>
  <c r="AI1125" s="1"/>
  <c r="BL207"/>
  <c r="AH1523" s="1"/>
  <c r="AI1523" s="1"/>
  <c r="AQ110"/>
  <c r="AH820" s="1"/>
  <c r="AI820" s="1"/>
  <c r="BL107"/>
  <c r="AH1120" s="1"/>
  <c r="AI1120" s="1"/>
  <c r="AX319"/>
  <c r="AH1736" s="1"/>
  <c r="AI1736" s="1"/>
  <c r="AX309"/>
  <c r="AH1726" s="1"/>
  <c r="AI1726" s="1"/>
  <c r="BL111"/>
  <c r="AH1124" s="1"/>
  <c r="AI1124" s="1"/>
  <c r="AQ224"/>
  <c r="AH1237" s="1"/>
  <c r="AI1237" s="1"/>
  <c r="BL11"/>
  <c r="AH721" s="1"/>
  <c r="AI721" s="1"/>
  <c r="AQ217"/>
  <c r="AH1230" s="1"/>
  <c r="AI1230" s="1"/>
  <c r="BL305"/>
  <c r="AH1924" s="1"/>
  <c r="AI1924" s="1"/>
  <c r="AX222"/>
  <c r="AH1336" s="1"/>
  <c r="AI1336" s="1"/>
  <c r="AX111"/>
  <c r="AH922" s="1"/>
  <c r="AI922" s="1"/>
  <c r="AQ122"/>
  <c r="AH832" s="1"/>
  <c r="AI832" s="1"/>
  <c r="AX218"/>
  <c r="AH1332" s="1"/>
  <c r="AI1332" s="1"/>
  <c r="AX321"/>
  <c r="AH1738" s="1"/>
  <c r="AI1738" s="1"/>
  <c r="AX210"/>
  <c r="AH1324" s="1"/>
  <c r="AI1324" s="1"/>
  <c r="BL106"/>
  <c r="AH1119" s="1"/>
  <c r="AI1119" s="1"/>
  <c r="AX2"/>
  <c r="AH510" s="1"/>
  <c r="AI510" s="1"/>
  <c r="BE214"/>
  <c r="AH1429" s="1"/>
  <c r="AI1429" s="1"/>
  <c r="BL208"/>
  <c r="AH1524" s="1"/>
  <c r="AI1524" s="1"/>
  <c r="AX119"/>
  <c r="AH930" s="1"/>
  <c r="AI930" s="1"/>
  <c r="AX8"/>
  <c r="AH516" s="1"/>
  <c r="AI516" s="1"/>
  <c r="BE110"/>
  <c r="AH1022" s="1"/>
  <c r="AI1022" s="1"/>
  <c r="BL210"/>
  <c r="AH1526" s="1"/>
  <c r="AI1526" s="1"/>
  <c r="BE315"/>
  <c r="AH1833" s="1"/>
  <c r="AI1833" s="1"/>
  <c r="BE212"/>
  <c r="AH1427" s="1"/>
  <c r="AI1427" s="1"/>
  <c r="BE209"/>
  <c r="AH1424" s="1"/>
  <c r="AI1424" s="1"/>
  <c r="AQ120"/>
  <c r="AH830" s="1"/>
  <c r="AI830" s="1"/>
  <c r="BE14"/>
  <c r="AH623" s="1"/>
  <c r="AI623" s="1"/>
  <c r="AQ109"/>
  <c r="AH819" s="1"/>
  <c r="AI819" s="1"/>
  <c r="AQ106"/>
  <c r="AH816" s="1"/>
  <c r="AI816" s="1"/>
  <c r="AX106"/>
  <c r="AH917" s="1"/>
  <c r="AI917" s="1"/>
  <c r="BE221"/>
  <c r="AH1436" s="1"/>
  <c r="AI1436" s="1"/>
  <c r="AQ112"/>
  <c r="AH822" s="1"/>
  <c r="AI822" s="1"/>
  <c r="AX114"/>
  <c r="AH925" s="1"/>
  <c r="AI925" s="1"/>
  <c r="AX107"/>
  <c r="AH918" s="1"/>
  <c r="AI918" s="1"/>
  <c r="BE208"/>
  <c r="AH1423" s="1"/>
  <c r="AI1423" s="1"/>
  <c r="BE324"/>
  <c r="AH1842" s="1"/>
  <c r="AI1842" s="1"/>
  <c r="AX123"/>
  <c r="AH934" s="1"/>
  <c r="AI934" s="1"/>
  <c r="AQ105"/>
  <c r="AH815" s="1"/>
  <c r="AI815" s="1"/>
  <c r="BE111"/>
  <c r="AH1023" s="1"/>
  <c r="AI1023" s="1"/>
  <c r="BL12"/>
  <c r="AH722" s="1"/>
  <c r="AI722" s="1"/>
  <c r="AQ115"/>
  <c r="AH825" s="1"/>
  <c r="AI825" s="1"/>
  <c r="AX3"/>
  <c r="AH511" s="1"/>
  <c r="AI511" s="1"/>
  <c r="AX12"/>
  <c r="AH520" s="1"/>
  <c r="AI520" s="1"/>
  <c r="AX19"/>
  <c r="AH527" s="1"/>
  <c r="AI527" s="1"/>
  <c r="BL114"/>
  <c r="AH1127" s="1"/>
  <c r="AI1127" s="1"/>
  <c r="AX104"/>
  <c r="AH915" s="1"/>
  <c r="AI915" s="1"/>
  <c r="BE19"/>
  <c r="AH628" s="1"/>
  <c r="AI628" s="1"/>
  <c r="BL221"/>
  <c r="AH1537" s="1"/>
  <c r="AI1537" s="1"/>
  <c r="AX206"/>
  <c r="AH1320" s="1"/>
  <c r="AI1320" s="1"/>
  <c r="BE316"/>
  <c r="AH1834" s="1"/>
  <c r="AI1834" s="1"/>
  <c r="BE105"/>
  <c r="AH1017" s="1"/>
  <c r="AI1017" s="1"/>
  <c r="BE323"/>
  <c r="AH1841" s="1"/>
  <c r="AI1841" s="1"/>
  <c r="AX307"/>
  <c r="AH1724" s="1"/>
  <c r="AI1724" s="1"/>
  <c r="BL16"/>
  <c r="AH726" s="1"/>
  <c r="AI726" s="1"/>
  <c r="AQ219"/>
  <c r="AH1232" s="1"/>
  <c r="AI1232" s="1"/>
  <c r="BE104"/>
  <c r="AH1016" s="1"/>
  <c r="AI1016" s="1"/>
  <c r="BE123"/>
  <c r="AH1035" s="1"/>
  <c r="AI1035" s="1"/>
  <c r="AX208"/>
  <c r="AH1322" s="1"/>
  <c r="AI1322" s="1"/>
  <c r="AX117"/>
  <c r="AH928" s="1"/>
  <c r="AI928" s="1"/>
  <c r="BE325"/>
  <c r="AH1843" s="1"/>
  <c r="AI1843" s="1"/>
  <c r="BE211"/>
  <c r="AH1426" s="1"/>
  <c r="AI1426" s="1"/>
  <c r="AX108"/>
  <c r="AH919" s="1"/>
  <c r="AI919" s="1"/>
  <c r="AX21"/>
  <c r="AH529" s="1"/>
  <c r="AI529" s="1"/>
  <c r="AX211"/>
  <c r="AH1325" s="1"/>
  <c r="AI1325" s="1"/>
  <c r="BL21"/>
  <c r="AH731" s="1"/>
  <c r="AI731" s="1"/>
  <c r="BE322"/>
  <c r="AH1840" s="1"/>
  <c r="AI1840" s="1"/>
  <c r="BE317"/>
  <c r="AH1835" s="1"/>
  <c r="AI1835" s="1"/>
  <c r="AX316"/>
  <c r="AH1733" s="1"/>
  <c r="AI1733" s="1"/>
  <c r="BL17"/>
  <c r="AH727" s="1"/>
  <c r="AI727" s="1"/>
  <c r="AX22"/>
  <c r="AH530" s="1"/>
  <c r="AI530" s="1"/>
  <c r="AX311"/>
  <c r="AH1728" s="1"/>
  <c r="AI1728" s="1"/>
  <c r="BE122"/>
  <c r="AH1034" s="1"/>
  <c r="AI1034" s="1"/>
  <c r="AX105"/>
  <c r="AH916" s="1"/>
  <c r="AI916" s="1"/>
  <c r="AQ206"/>
  <c r="AH1219" s="1"/>
  <c r="AI1219" s="1"/>
  <c r="BE16"/>
  <c r="AH625" s="1"/>
  <c r="AI625" s="1"/>
  <c r="BL222"/>
  <c r="AH1538" s="1"/>
  <c r="AI1538" s="1"/>
  <c r="AX308"/>
  <c r="AH1725" s="1"/>
  <c r="AI1725" s="1"/>
  <c r="BE321"/>
  <c r="AH1839" s="1"/>
  <c r="AI1839" s="1"/>
  <c r="BE309"/>
  <c r="AH1827" s="1"/>
  <c r="AI1827" s="1"/>
  <c r="BL18"/>
  <c r="AH728" s="1"/>
  <c r="AI728" s="1"/>
  <c r="AQ118"/>
  <c r="AH828" s="1"/>
  <c r="AI828" s="1"/>
  <c r="BE17"/>
  <c r="AH626" s="1"/>
  <c r="AI626" s="1"/>
  <c r="BE318"/>
  <c r="AH1836" s="1"/>
  <c r="AI1836" s="1"/>
  <c r="BE220"/>
  <c r="AH1435" s="1"/>
  <c r="AI1435" s="1"/>
  <c r="BE11"/>
  <c r="AH620" s="1"/>
  <c r="AI620" s="1"/>
  <c r="AQ205"/>
  <c r="AH1218" s="1"/>
  <c r="AI1218" s="1"/>
  <c r="AQ212"/>
  <c r="AH1225" s="1"/>
  <c r="AI1225" s="1"/>
  <c r="AX122"/>
  <c r="AH933" s="1"/>
  <c r="AI933" s="1"/>
  <c r="AX13"/>
  <c r="AH521" s="1"/>
  <c r="AI521" s="1"/>
  <c r="BE13"/>
  <c r="AH622" s="1"/>
  <c r="AI622" s="1"/>
  <c r="AX207"/>
  <c r="AH1321" s="1"/>
  <c r="AI1321" s="1"/>
  <c r="BL15"/>
  <c r="AH725" s="1"/>
  <c r="AI725" s="1"/>
  <c r="BL14"/>
  <c r="AH724" s="1"/>
  <c r="AI724" s="1"/>
  <c r="AX20"/>
  <c r="AH528" s="1"/>
  <c r="AI528" s="1"/>
  <c r="BE18"/>
  <c r="AH627" s="1"/>
  <c r="AI627" s="1"/>
  <c r="BL219"/>
  <c r="AH1535" s="1"/>
  <c r="AI1535" s="1"/>
  <c r="BE22"/>
  <c r="AH631" s="1"/>
  <c r="AI631" s="1"/>
  <c r="AQ210"/>
  <c r="AH1223" s="1"/>
  <c r="AI1223" s="1"/>
  <c r="BE218"/>
  <c r="AH1433" s="1"/>
  <c r="AI1433" s="1"/>
  <c r="BE112"/>
  <c r="AH1024" s="1"/>
  <c r="AI1024" s="1"/>
  <c r="AQ222"/>
  <c r="AH1235" s="1"/>
  <c r="AI1235" s="1"/>
  <c r="BL223"/>
  <c r="AH1539" s="1"/>
  <c r="AI1539" s="1"/>
  <c r="BL123"/>
  <c r="AH1136" s="1"/>
  <c r="AI1136" s="1"/>
  <c r="BE5"/>
  <c r="AH614" s="1"/>
  <c r="AI614" s="1"/>
  <c r="AX322"/>
  <c r="AH1739" s="1"/>
  <c r="AI1739" s="1"/>
  <c r="BE313"/>
  <c r="AH1831" s="1"/>
  <c r="AI1831" s="1"/>
  <c r="AX220"/>
  <c r="AH1334" s="1"/>
  <c r="AI1334" s="1"/>
  <c r="AX7"/>
  <c r="AH515" s="1"/>
  <c r="AI515" s="1"/>
  <c r="BE108"/>
  <c r="AH1020" s="1"/>
  <c r="AI1020" s="1"/>
  <c r="BE210"/>
  <c r="AH1425" s="1"/>
  <c r="AI1425" s="1"/>
  <c r="BE20"/>
  <c r="AH629" s="1"/>
  <c r="AI629" s="1"/>
  <c r="AX16"/>
  <c r="AH524" s="1"/>
  <c r="AI524" s="1"/>
  <c r="AX313"/>
  <c r="AH1730" s="1"/>
  <c r="AI1730" s="1"/>
  <c r="AX10"/>
  <c r="AH518" s="1"/>
  <c r="AI518" s="1"/>
  <c r="AX320"/>
  <c r="AH1737" s="1"/>
  <c r="AI1737" s="1"/>
  <c r="AQ216"/>
  <c r="AH1229" s="1"/>
  <c r="AI1229" s="1"/>
  <c r="BL206"/>
  <c r="AH1522" s="1"/>
  <c r="AI1522" s="1"/>
  <c r="BL209"/>
  <c r="AH1525" s="1"/>
  <c r="AI1525" s="1"/>
  <c r="BL212"/>
  <c r="AH1528" s="1"/>
  <c r="AI1528" s="1"/>
  <c r="BL6"/>
  <c r="AH716" s="1"/>
  <c r="AI716" s="1"/>
  <c r="BE120"/>
  <c r="AH1032" s="1"/>
  <c r="AI1032" s="1"/>
  <c r="AX120"/>
  <c r="AH931" s="1"/>
  <c r="AI931" s="1"/>
  <c r="BL116"/>
  <c r="AH1129" s="1"/>
  <c r="AI1129" s="1"/>
  <c r="AX6"/>
  <c r="AH514" s="1"/>
  <c r="AI514" s="1"/>
  <c r="BE6"/>
  <c r="AH615" s="1"/>
  <c r="AI615" s="1"/>
  <c r="BL115"/>
  <c r="AH1128" s="1"/>
  <c r="AI1128" s="1"/>
  <c r="AX110"/>
  <c r="AH921" s="1"/>
  <c r="AI921" s="1"/>
  <c r="BE308"/>
  <c r="AH1826" s="1"/>
  <c r="AI1826" s="1"/>
  <c r="BL215"/>
  <c r="AH1531" s="1"/>
  <c r="AI1531" s="1"/>
  <c r="BL109"/>
  <c r="AH1122" s="1"/>
  <c r="AI1122" s="1"/>
  <c r="AX15"/>
  <c r="AH523" s="1"/>
  <c r="AI523" s="1"/>
  <c r="BL9"/>
  <c r="AH719" s="1"/>
  <c r="AI719" s="1"/>
  <c r="BE10"/>
  <c r="AH619" s="1"/>
  <c r="AI619" s="1"/>
  <c r="AX318"/>
  <c r="AH1735" s="1"/>
  <c r="AI1735" s="1"/>
  <c r="AX219"/>
  <c r="AH1333" s="1"/>
  <c r="AI1333" s="1"/>
  <c r="BE320"/>
  <c r="AH1838" s="1"/>
  <c r="AI1838" s="1"/>
  <c r="AQ214"/>
  <c r="AH1227" s="1"/>
  <c r="AI1227" s="1"/>
  <c r="AQ123"/>
  <c r="AH833" s="1"/>
  <c r="AI833" s="1"/>
  <c r="AX205"/>
  <c r="AH1319" s="1"/>
  <c r="AI1319" s="1"/>
  <c r="BL220"/>
  <c r="AH1536" s="1"/>
  <c r="AI1536" s="1"/>
  <c r="BL108"/>
  <c r="AH1121" s="1"/>
  <c r="AI1121" s="1"/>
  <c r="BE107"/>
  <c r="AH1019" s="1"/>
  <c r="AI1019" s="1"/>
  <c r="BL213"/>
  <c r="AH1529" s="1"/>
  <c r="AI1529" s="1"/>
  <c r="BE15"/>
  <c r="AH624" s="1"/>
  <c r="AI624" s="1"/>
  <c r="BE217"/>
  <c r="AH1432" s="1"/>
  <c r="AI1432" s="1"/>
  <c r="BE223"/>
  <c r="AH1438" s="1"/>
  <c r="AI1438" s="1"/>
  <c r="BL22"/>
  <c r="AH732" s="1"/>
  <c r="AI732" s="1"/>
  <c r="BE116"/>
  <c r="AH1028" s="1"/>
  <c r="AI1028" s="1"/>
  <c r="AX325"/>
  <c r="AH1742" s="1"/>
  <c r="AI1742" s="1"/>
  <c r="AQ104"/>
  <c r="AH814" s="1"/>
  <c r="AI814" s="1"/>
  <c r="BE113"/>
  <c r="AH1025" s="1"/>
  <c r="AI1025" s="1"/>
  <c r="BE311"/>
  <c r="AH1829" s="1"/>
  <c r="AI1829" s="1"/>
  <c r="AQ119"/>
  <c r="AH829" s="1"/>
  <c r="AI829" s="1"/>
  <c r="BL216"/>
  <c r="AH1532" s="1"/>
  <c r="AI1532" s="1"/>
  <c r="BE114"/>
  <c r="AH1026" s="1"/>
  <c r="AI1026" s="1"/>
  <c r="BE117"/>
  <c r="AH1029" s="1"/>
  <c r="AI1029" s="1"/>
  <c r="AQ121"/>
  <c r="AH831" s="1"/>
  <c r="AI831" s="1"/>
  <c r="AX14"/>
  <c r="AH522" s="1"/>
  <c r="AI522" s="1"/>
  <c r="BE215"/>
  <c r="AH1430" s="1"/>
  <c r="AI1430" s="1"/>
  <c r="AX118"/>
  <c r="AH929" s="1"/>
  <c r="AI929" s="1"/>
  <c r="AQ116"/>
  <c r="AH826" s="1"/>
  <c r="AI826" s="1"/>
  <c r="AX310"/>
  <c r="AH1727" s="1"/>
  <c r="AI1727" s="1"/>
  <c r="BE216"/>
  <c r="AH1431" s="1"/>
  <c r="AI1431" s="1"/>
  <c r="BL214"/>
  <c r="AH1530" s="1"/>
  <c r="AI1530" s="1"/>
  <c r="AQ114"/>
  <c r="AH824" s="1"/>
  <c r="AI824" s="1"/>
  <c r="AX11"/>
  <c r="AH519" s="1"/>
  <c r="AI519" s="1"/>
  <c r="AH1116"/>
  <c r="AI1116" s="1"/>
  <c r="AH1520"/>
  <c r="AI1520" s="1"/>
  <c r="AH1015"/>
  <c r="AI1015" s="1"/>
  <c r="AH1419"/>
  <c r="AI1419" s="1"/>
  <c r="AH1823"/>
  <c r="AI1823" s="1"/>
  <c r="AH1722"/>
  <c r="AI1722" s="1"/>
  <c r="AH1318"/>
  <c r="AI1318" s="1"/>
  <c r="AH914"/>
  <c r="AI914" s="1"/>
  <c r="AI1708"/>
  <c r="AH2011"/>
  <c r="AI2011" s="1"/>
  <c r="AI1627"/>
  <c r="AH1930"/>
  <c r="AI1930" s="1"/>
  <c r="AI1695"/>
  <c r="AH1998"/>
  <c r="AI1998" s="1"/>
  <c r="AH1995"/>
  <c r="AI1995" s="1"/>
  <c r="AI1692"/>
  <c r="AI1665"/>
  <c r="AH1968"/>
  <c r="AI1968" s="1"/>
  <c r="AI1622"/>
  <c r="AH1925"/>
  <c r="AI1925" s="1"/>
  <c r="AI1642"/>
  <c r="AH1945"/>
  <c r="AI1945" s="1"/>
  <c r="AH1972"/>
  <c r="AI1972" s="1"/>
  <c r="AI1669"/>
  <c r="AI1683"/>
  <c r="AH1986"/>
  <c r="AI1986" s="1"/>
  <c r="AH1931"/>
  <c r="AI1931" s="1"/>
  <c r="AI1628"/>
  <c r="AI1689"/>
  <c r="AH1992"/>
  <c r="AI1992" s="1"/>
  <c r="AI1659"/>
  <c r="AH1962"/>
  <c r="AI1962" s="1"/>
  <c r="AH1973"/>
  <c r="AI1973" s="1"/>
  <c r="AI1670"/>
  <c r="AH1983"/>
  <c r="AI1983" s="1"/>
  <c r="AI1680"/>
  <c r="AI1649"/>
  <c r="AH1952"/>
  <c r="AI1952" s="1"/>
  <c r="AH1970"/>
  <c r="AI1970" s="1"/>
  <c r="AI1667"/>
  <c r="AI1687"/>
  <c r="AH1990"/>
  <c r="AI1990" s="1"/>
  <c r="AH1959"/>
  <c r="AI1959" s="1"/>
  <c r="AI1656"/>
  <c r="AI1718"/>
  <c r="AH2021"/>
  <c r="AI2021" s="1"/>
  <c r="AI1677"/>
  <c r="AH1980"/>
  <c r="AI1980" s="1"/>
  <c r="AI1691"/>
  <c r="AH1994"/>
  <c r="AI1994" s="1"/>
  <c r="AH1981"/>
  <c r="AI1981" s="1"/>
  <c r="AI1678"/>
  <c r="AH2013"/>
  <c r="AI2013" s="1"/>
  <c r="AI1710"/>
  <c r="AI1660"/>
  <c r="AH1963"/>
  <c r="AI1963" s="1"/>
  <c r="AH2006"/>
  <c r="AI2006" s="1"/>
  <c r="AI1703"/>
  <c r="AI1706"/>
  <c r="AH2009"/>
  <c r="AI2009" s="1"/>
  <c r="AH1991"/>
  <c r="AI1991" s="1"/>
  <c r="AI1688"/>
  <c r="AH1967"/>
  <c r="AI1967" s="1"/>
  <c r="AI1664"/>
  <c r="AI1651"/>
  <c r="AH1954"/>
  <c r="AI1954" s="1"/>
  <c r="AI1671"/>
  <c r="AH1974"/>
  <c r="AI1974" s="1"/>
  <c r="AH1999"/>
  <c r="AI1999" s="1"/>
  <c r="AI1696"/>
  <c r="AI1621"/>
  <c r="AI1623"/>
  <c r="AH1926"/>
  <c r="AI1926" s="1"/>
  <c r="AH1976"/>
  <c r="AI1976" s="1"/>
  <c r="AI1673"/>
  <c r="AH1936"/>
  <c r="AI1936" s="1"/>
  <c r="AI1633"/>
  <c r="AH1927"/>
  <c r="AI1927" s="1"/>
  <c r="AI1624"/>
  <c r="AI1694"/>
  <c r="AH1997"/>
  <c r="AI1997" s="1"/>
  <c r="AH2012"/>
  <c r="AI2012" s="1"/>
  <c r="AI1709"/>
  <c r="AI1643"/>
  <c r="AH1946"/>
  <c r="AI1946" s="1"/>
  <c r="AH1969"/>
  <c r="AI1969" s="1"/>
  <c r="AI1666"/>
  <c r="AH2018"/>
  <c r="AI2018" s="1"/>
  <c r="AI1715"/>
  <c r="AI1632"/>
  <c r="AH1935"/>
  <c r="AI1935" s="1"/>
  <c r="AH1957"/>
  <c r="AI1957" s="1"/>
  <c r="AI1654"/>
  <c r="AH1932"/>
  <c r="AI1932" s="1"/>
  <c r="AI1629"/>
  <c r="AI1698"/>
  <c r="AH2001"/>
  <c r="AI2001" s="1"/>
  <c r="AH2010"/>
  <c r="AI2010" s="1"/>
  <c r="AI1707"/>
  <c r="AH1956"/>
  <c r="AI1956" s="1"/>
  <c r="AI1653"/>
  <c r="AI1635"/>
  <c r="AH1938"/>
  <c r="AI1938" s="1"/>
  <c r="AI1679"/>
  <c r="AH1982"/>
  <c r="AI1982" s="1"/>
  <c r="AH2022"/>
  <c r="AI2022" s="1"/>
  <c r="AI1719"/>
  <c r="AI1655"/>
  <c r="AH1958"/>
  <c r="AI1958" s="1"/>
  <c r="AH1977"/>
  <c r="AI1977" s="1"/>
  <c r="AI1674"/>
  <c r="AI1699"/>
  <c r="AH2002"/>
  <c r="AI2002" s="1"/>
  <c r="AI1644"/>
  <c r="AH1947"/>
  <c r="AI1947" s="1"/>
  <c r="AH1966"/>
  <c r="AI1966" s="1"/>
  <c r="AI1663"/>
  <c r="AI1702"/>
  <c r="AH2005"/>
  <c r="AI2005" s="1"/>
  <c r="AI1636"/>
  <c r="AH1939"/>
  <c r="AI1939" s="1"/>
  <c r="AI1625"/>
  <c r="AH1928"/>
  <c r="AI1928" s="1"/>
  <c r="AH2004"/>
  <c r="AI2004" s="1"/>
  <c r="AI1701"/>
  <c r="AI1685"/>
  <c r="AH1988"/>
  <c r="AI1988" s="1"/>
  <c r="AH1951"/>
  <c r="AI1951" s="1"/>
  <c r="AI1648"/>
  <c r="AI1646"/>
  <c r="AH1949"/>
  <c r="AI1949" s="1"/>
  <c r="AH1943"/>
  <c r="AI1943" s="1"/>
  <c r="AI1640"/>
  <c r="AI1686"/>
  <c r="AH1989"/>
  <c r="AI1989" s="1"/>
  <c r="AH1985"/>
  <c r="AI1985" s="1"/>
  <c r="AI1682"/>
  <c r="AI1647"/>
  <c r="AH1950"/>
  <c r="AI1950" s="1"/>
  <c r="AI1634"/>
  <c r="AH1937"/>
  <c r="AI1937" s="1"/>
  <c r="AI1652"/>
  <c r="AH1955"/>
  <c r="AI1955" s="1"/>
  <c r="AI1631"/>
  <c r="AH1934"/>
  <c r="AI1934" s="1"/>
  <c r="AH1941"/>
  <c r="AI1941" s="1"/>
  <c r="AI1638"/>
  <c r="AI1626"/>
  <c r="AH1929"/>
  <c r="AI1929" s="1"/>
  <c r="AH1978"/>
  <c r="AI1978" s="1"/>
  <c r="AI1675"/>
  <c r="AH1940"/>
  <c r="AI1940" s="1"/>
  <c r="AI1637"/>
  <c r="AI1721"/>
  <c r="AH2024"/>
  <c r="AI2024" s="1"/>
  <c r="AH1987"/>
  <c r="AI1987" s="1"/>
  <c r="AI1684"/>
  <c r="AI1672"/>
  <c r="AH1975"/>
  <c r="AI1975" s="1"/>
  <c r="AH2000"/>
  <c r="AI2000" s="1"/>
  <c r="AI1697"/>
  <c r="AI1704"/>
  <c r="AH2007"/>
  <c r="AI2007" s="1"/>
  <c r="AI1713"/>
  <c r="AH2016"/>
  <c r="AI2016" s="1"/>
  <c r="AI1716"/>
  <c r="AH2019"/>
  <c r="AI2019" s="1"/>
  <c r="AH1933"/>
  <c r="AI1933" s="1"/>
  <c r="AI1630"/>
  <c r="AH1948"/>
  <c r="AI1948" s="1"/>
  <c r="AI1645"/>
  <c r="AI1668"/>
  <c r="AH1971"/>
  <c r="AI1971" s="1"/>
  <c r="AH1942"/>
  <c r="AI1942" s="1"/>
  <c r="AI1639"/>
  <c r="AI1676"/>
  <c r="AH1979"/>
  <c r="AI1979" s="1"/>
  <c r="AI1714"/>
  <c r="AH2017"/>
  <c r="AI2017" s="1"/>
  <c r="AH2003"/>
  <c r="AI2003" s="1"/>
  <c r="AI1700"/>
  <c r="AI1681"/>
  <c r="AH1984"/>
  <c r="AI1984" s="1"/>
  <c r="AI1662"/>
  <c r="AH1965"/>
  <c r="AI1965" s="1"/>
  <c r="AH1944"/>
  <c r="AI1944" s="1"/>
  <c r="AI1641"/>
  <c r="AI1690"/>
  <c r="AH1993"/>
  <c r="AI1993" s="1"/>
  <c r="AH2015"/>
  <c r="AI2015" s="1"/>
  <c r="AI1712"/>
  <c r="AH1996"/>
  <c r="AI1996" s="1"/>
  <c r="AI1693"/>
  <c r="AI1658"/>
  <c r="AH1961"/>
  <c r="AI1961" s="1"/>
  <c r="AI1661"/>
  <c r="AH1964"/>
  <c r="AI1964" s="1"/>
  <c r="AI1657"/>
  <c r="AH1960"/>
  <c r="AI1960" s="1"/>
  <c r="AI1720"/>
  <c r="AH2023"/>
  <c r="AI2023" s="1"/>
  <c r="AH2014"/>
  <c r="AI2014" s="1"/>
  <c r="AI1711"/>
  <c r="AH2020"/>
  <c r="AI2020" s="1"/>
  <c r="AI1717"/>
  <c r="AI1650"/>
  <c r="AH1953"/>
  <c r="AI1953" s="1"/>
  <c r="AI1705"/>
  <c r="AH2008"/>
  <c r="AI2008" s="1"/>
  <c r="AR411" l="1" a="1"/>
  <c r="AR411" s="1"/>
  <c r="AY411" s="1"/>
  <c r="E85" s="1"/>
  <c r="O84" s="1"/>
  <c r="AR410" a="1"/>
  <c r="AR410" s="1"/>
  <c r="AY410" s="1"/>
  <c r="E82" s="1"/>
  <c r="O76" s="1"/>
  <c r="AR412" a="1"/>
  <c r="AR412" s="1"/>
  <c r="O77" l="1"/>
  <c r="R63"/>
  <c r="R62"/>
  <c r="AX411"/>
  <c r="BE411" s="1"/>
  <c r="AX410"/>
  <c r="BE410" s="1"/>
  <c r="O85"/>
  <c r="AY412"/>
  <c r="AX412"/>
  <c r="F88" s="1"/>
  <c r="E88" l="1"/>
  <c r="O92" s="1"/>
  <c r="F85"/>
  <c r="J83" s="1"/>
  <c r="J63" s="1"/>
  <c r="L63" s="1"/>
  <c r="F82"/>
  <c r="J75" s="1"/>
  <c r="F99" i="10" s="1"/>
  <c r="O80" i="18"/>
  <c r="O88"/>
  <c r="BE412"/>
  <c r="J91"/>
  <c r="R64" l="1"/>
  <c r="O93"/>
  <c r="O96" s="1"/>
  <c r="I94" i="10"/>
  <c r="J94"/>
  <c r="H94"/>
  <c r="K94"/>
  <c r="L94"/>
  <c r="J62" i="18"/>
  <c r="L62" s="1"/>
  <c r="B99" i="10"/>
  <c r="D99"/>
  <c r="C99"/>
  <c r="E99"/>
  <c r="L99"/>
  <c r="H99"/>
  <c r="I99"/>
  <c r="J99"/>
  <c r="J64" i="18"/>
  <c r="L64" s="1"/>
  <c r="K99" i="10"/>
  <c r="K95" l="1"/>
  <c r="M85" i="18" s="1"/>
  <c r="M86" s="1"/>
  <c r="L95" i="10"/>
  <c r="N85" i="18" s="1"/>
  <c r="H95" i="10"/>
  <c r="J85" i="18" s="1"/>
  <c r="J95" i="10"/>
  <c r="L85" i="18" s="1"/>
  <c r="L86" s="1"/>
  <c r="I95" i="10"/>
  <c r="K85" i="18" s="1"/>
  <c r="K86" s="1"/>
  <c r="C100" i="10"/>
  <c r="K77" i="18" s="1"/>
  <c r="B100" i="10"/>
  <c r="J77" i="18" s="1"/>
  <c r="F100" i="10"/>
  <c r="N77" i="18" s="1"/>
  <c r="N78" s="1"/>
  <c r="D100" i="10"/>
  <c r="L77" i="18" s="1"/>
  <c r="K108" s="1"/>
  <c r="L79" s="1"/>
  <c r="E100" i="10"/>
  <c r="M77" i="18" s="1"/>
  <c r="M78" s="1"/>
  <c r="L100" i="10"/>
  <c r="N93" i="18" s="1"/>
  <c r="J100" i="10"/>
  <c r="L93" i="18" s="1"/>
  <c r="H100" i="10"/>
  <c r="J93" i="18" s="1"/>
  <c r="K100" i="10"/>
  <c r="M93" i="18" s="1"/>
  <c r="I100" i="10"/>
  <c r="K93" i="18" s="1"/>
  <c r="I109" l="1"/>
  <c r="J87" s="1"/>
  <c r="J109"/>
  <c r="K87" s="1"/>
  <c r="L108"/>
  <c r="M79" s="1"/>
  <c r="K109"/>
  <c r="L87" s="1"/>
  <c r="L109"/>
  <c r="M87" s="1"/>
  <c r="P85"/>
  <c r="R85" s="1"/>
  <c r="M88"/>
  <c r="J88"/>
  <c r="R86" s="1"/>
  <c r="K88"/>
  <c r="N86"/>
  <c r="J86"/>
  <c r="Q85" s="1"/>
  <c r="Q87" s="1"/>
  <c r="M109"/>
  <c r="N87" s="1"/>
  <c r="L88"/>
  <c r="N88"/>
  <c r="I108"/>
  <c r="J79" s="1"/>
  <c r="J78"/>
  <c r="Q77" s="1"/>
  <c r="Q79" s="1"/>
  <c r="J108"/>
  <c r="K79" s="1"/>
  <c r="K78"/>
  <c r="M108"/>
  <c r="N79" s="1"/>
  <c r="N80"/>
  <c r="K80"/>
  <c r="P77"/>
  <c r="R77" s="1"/>
  <c r="J80"/>
  <c r="R78" s="1"/>
  <c r="M80"/>
  <c r="L78"/>
  <c r="L80"/>
  <c r="L110"/>
  <c r="M95" s="1"/>
  <c r="M94"/>
  <c r="M96"/>
  <c r="K110"/>
  <c r="L95" s="1"/>
  <c r="L94"/>
  <c r="L96"/>
  <c r="J110"/>
  <c r="K95" s="1"/>
  <c r="K94"/>
  <c r="K96"/>
  <c r="P93"/>
  <c r="I110"/>
  <c r="J95" s="1"/>
  <c r="J94"/>
  <c r="J96"/>
  <c r="R94" s="1"/>
  <c r="M110"/>
  <c r="N95" s="1"/>
  <c r="N94"/>
  <c r="N96"/>
  <c r="O87" l="1"/>
  <c r="N83" s="1"/>
  <c r="Q93"/>
  <c r="Q95" s="1"/>
  <c r="R87"/>
  <c r="O79"/>
  <c r="N75" s="1"/>
  <c r="P86"/>
  <c r="Q89" s="1"/>
  <c r="T213" i="26" s="1"/>
  <c r="P78" i="18"/>
  <c r="P79" s="1"/>
  <c r="S74" s="1"/>
  <c r="S75" s="1"/>
  <c r="R79"/>
  <c r="O95"/>
  <c r="R93"/>
  <c r="R95" s="1"/>
  <c r="K63" l="1"/>
  <c r="K64"/>
  <c r="N91"/>
  <c r="K62"/>
  <c r="P94"/>
  <c r="P95" s="1"/>
  <c r="S90" s="1"/>
  <c r="P87"/>
  <c r="S82" s="1"/>
  <c r="T82" s="1"/>
  <c r="T74"/>
  <c r="Q81"/>
  <c r="P213" i="26" s="1"/>
  <c r="R88" i="18"/>
  <c r="S76"/>
  <c r="T75"/>
  <c r="S83" l="1"/>
  <c r="S84" s="1"/>
  <c r="Q97"/>
  <c r="R96" s="1"/>
  <c r="P96" s="1"/>
  <c r="P88"/>
  <c r="R80"/>
  <c r="P80" s="1"/>
  <c r="S91"/>
  <c r="T90"/>
  <c r="S77"/>
  <c r="T76"/>
  <c r="T83" l="1"/>
  <c r="V97"/>
  <c r="S78"/>
  <c r="T77"/>
  <c r="T91"/>
  <c r="S92"/>
  <c r="S85"/>
  <c r="T84"/>
  <c r="S93" l="1"/>
  <c r="T92"/>
  <c r="S86"/>
  <c r="T85"/>
  <c r="S79"/>
  <c r="T78"/>
  <c r="S80" l="1"/>
  <c r="T79"/>
  <c r="S87"/>
  <c r="T86"/>
  <c r="T93"/>
  <c r="S94"/>
  <c r="S95" l="1"/>
  <c r="T94"/>
  <c r="S88"/>
  <c r="T87"/>
  <c r="S81"/>
  <c r="T81" s="1"/>
  <c r="T80"/>
  <c r="P76" l="1"/>
  <c r="T62" s="1"/>
  <c r="S89"/>
  <c r="T89" s="1"/>
  <c r="T88"/>
  <c r="S96"/>
  <c r="T95"/>
  <c r="P84" l="1"/>
  <c r="T63" s="1"/>
  <c r="T96"/>
  <c r="S97"/>
  <c r="T97" s="1"/>
  <c r="P92" l="1"/>
  <c r="T64" s="1"/>
  <c r="AR409" l="1" a="1"/>
  <c r="AR409" s="1"/>
  <c r="AY409" l="1"/>
  <c r="AX409" a="1"/>
  <c r="AX409" s="1"/>
  <c r="E79" l="1"/>
  <c r="O68" s="1"/>
  <c r="F79"/>
  <c r="J67" s="1"/>
  <c r="BE409"/>
  <c r="O69" l="1"/>
  <c r="O72" s="1"/>
  <c r="R61"/>
  <c r="C94" i="10"/>
  <c r="J61" i="18"/>
  <c r="L61" s="1"/>
  <c r="B94" i="10"/>
  <c r="D94"/>
  <c r="F94"/>
  <c r="E94"/>
  <c r="C95" l="1"/>
  <c r="K69" i="18" s="1"/>
  <c r="D95" i="10"/>
  <c r="L69" i="18" s="1"/>
  <c r="B95" i="10"/>
  <c r="J69" i="18" s="1"/>
  <c r="F95" i="10"/>
  <c r="N69" i="18" s="1"/>
  <c r="E95" i="10"/>
  <c r="M69" i="18" s="1"/>
  <c r="M107" l="1"/>
  <c r="N71" s="1"/>
  <c r="N70"/>
  <c r="N72"/>
  <c r="K107"/>
  <c r="L71" s="1"/>
  <c r="L70"/>
  <c r="L72"/>
  <c r="M70"/>
  <c r="L107"/>
  <c r="M71" s="1"/>
  <c r="M72"/>
  <c r="P69"/>
  <c r="I107"/>
  <c r="J71" s="1"/>
  <c r="J70"/>
  <c r="J72"/>
  <c r="R70" s="1"/>
  <c r="K70"/>
  <c r="J107"/>
  <c r="K71" s="1"/>
  <c r="K72"/>
  <c r="O71" l="1"/>
  <c r="N67" s="1"/>
  <c r="Q69"/>
  <c r="Q71" s="1"/>
  <c r="R69"/>
  <c r="R71" s="1"/>
  <c r="P70" l="1"/>
  <c r="P71" s="1"/>
  <c r="S66" s="1"/>
  <c r="K61"/>
  <c r="Q73" l="1"/>
  <c r="L213" i="26" s="1"/>
  <c r="S67" i="18"/>
  <c r="T66"/>
  <c r="R72" l="1"/>
  <c r="P72" s="1"/>
  <c r="T67"/>
  <c r="S68"/>
  <c r="T68" l="1"/>
  <c r="S69"/>
  <c r="T69" l="1"/>
  <c r="S70"/>
  <c r="S71" l="1"/>
  <c r="T70"/>
  <c r="T71" l="1"/>
  <c r="S72"/>
  <c r="T72" l="1"/>
  <c r="S73"/>
  <c r="T73" s="1"/>
  <c r="P68" l="1"/>
  <c r="T61" s="1"/>
  <c r="I98" l="1"/>
  <c r="M61" l="1"/>
  <c r="P61" s="1"/>
  <c r="S61" s="1"/>
  <c r="U61" s="1"/>
  <c r="L54" s="1"/>
  <c r="M64"/>
  <c r="P64" s="1"/>
  <c r="S64" s="1"/>
  <c r="U64" s="1"/>
  <c r="L57" s="1"/>
  <c r="M63"/>
  <c r="P63" s="1"/>
  <c r="S63" s="1"/>
  <c r="U63" s="1"/>
  <c r="L56" s="1"/>
  <c r="M62"/>
  <c r="P62" s="1"/>
  <c r="S62" s="1"/>
  <c r="U62" s="1"/>
  <c r="L55" s="1"/>
</calcChain>
</file>

<file path=xl/comments1.xml><?xml version="1.0" encoding="utf-8"?>
<comments xmlns="http://schemas.openxmlformats.org/spreadsheetml/2006/main">
  <authors>
    <author>Jean-Luc Astié</author>
  </authors>
  <commentList>
    <comment ref="A65" authorId="0">
      <text>
        <r>
          <rPr>
            <b/>
            <sz val="9"/>
            <color indexed="81"/>
            <rFont val="Tahoma"/>
            <family val="2"/>
          </rPr>
          <t>Prière de ne pas modifier !!!
Cette ligne contient les N° de colonne nécessaires à certaines formules.</t>
        </r>
      </text>
    </comment>
  </commentList>
</comments>
</file>

<file path=xl/comments2.xml><?xml version="1.0" encoding="utf-8"?>
<comments xmlns="http://schemas.openxmlformats.org/spreadsheetml/2006/main">
  <authors>
    <author>Jean-Luc Astié</author>
  </authors>
  <commentList>
    <comment ref="S9" authorId="0">
      <text>
        <r>
          <rPr>
            <sz val="9"/>
            <color indexed="81"/>
            <rFont val="Tahoma"/>
            <family val="2"/>
          </rPr>
          <t>Valeur calculée sur les données enregistrées soit:
Nb Tours * Coeff usure pneu</t>
        </r>
      </text>
    </comment>
    <comment ref="S25" authorId="0">
      <text>
        <r>
          <rPr>
            <sz val="9"/>
            <color indexed="81"/>
            <rFont val="Tahoma"/>
            <family val="2"/>
          </rPr>
          <t>Ancienne valeur à vérifier a l'usage</t>
        </r>
      </text>
    </comment>
  </commentList>
</comments>
</file>

<file path=xl/comments3.xml><?xml version="1.0" encoding="utf-8"?>
<comments xmlns="http://schemas.openxmlformats.org/spreadsheetml/2006/main">
  <authors>
    <author>Jean-Luc Astié</author>
  </authors>
  <commentList>
    <comment ref="N14" authorId="0">
      <text>
        <r>
          <rPr>
            <sz val="9"/>
            <color indexed="81"/>
            <rFont val="Tahoma"/>
            <family val="2"/>
          </rPr>
          <t xml:space="preserve">Notez vos meilleurs tours des essais libres, du plus lent au plus rapide.
Sous le format stipulé au-dessus soit:
</t>
        </r>
        <r>
          <rPr>
            <b/>
            <sz val="9"/>
            <color indexed="81"/>
            <rFont val="Tahoma"/>
            <family val="2"/>
          </rPr>
          <t>92,356 pour un temps de 1:32.356</t>
        </r>
        <r>
          <rPr>
            <sz val="9"/>
            <color indexed="81"/>
            <rFont val="Tahoma"/>
            <family val="2"/>
          </rPr>
          <t xml:space="preserve">
</t>
        </r>
        <r>
          <rPr>
            <b/>
            <sz val="9"/>
            <color indexed="81"/>
            <rFont val="Tahoma"/>
            <family val="2"/>
          </rPr>
          <t>Attention</t>
        </r>
        <r>
          <rPr>
            <sz val="9"/>
            <color indexed="81"/>
            <rFont val="Tahoma"/>
            <family val="2"/>
          </rPr>
          <t xml:space="preserve"> : ne mentionnez pas vos 3 tours avec une incidence neutre, car cela génèrera une division par zéro.</t>
        </r>
      </text>
    </comment>
    <comment ref="G53" authorId="0">
      <text>
        <r>
          <rPr>
            <b/>
            <sz val="9"/>
            <color indexed="81"/>
            <rFont val="Tahoma"/>
            <family val="2"/>
          </rPr>
          <t>Quantité totale pour la course, à diviser par le nombre de relais</t>
        </r>
      </text>
    </comment>
    <comment ref="G63" authorId="0">
      <text>
        <r>
          <rPr>
            <b/>
            <sz val="9"/>
            <color indexed="81"/>
            <rFont val="Tahoma"/>
            <family val="2"/>
          </rPr>
          <t>Quantité totale pour la course, à diviser par le nombre de relais</t>
        </r>
      </text>
    </comment>
  </commentList>
</comments>
</file>

<file path=xl/comments4.xml><?xml version="1.0" encoding="utf-8"?>
<comments xmlns="http://schemas.openxmlformats.org/spreadsheetml/2006/main">
  <authors>
    <author>Jean-Luc Astié</author>
  </authors>
  <commentList>
    <comment ref="S9" authorId="0">
      <text>
        <r>
          <rPr>
            <sz val="9"/>
            <color indexed="81"/>
            <rFont val="Tahoma"/>
            <family val="2"/>
          </rPr>
          <t>Valeur calculée sur les données enregistrées soit:
Nb Tours * Coeff usure pneu</t>
        </r>
      </text>
    </comment>
    <comment ref="S25" authorId="0">
      <text>
        <r>
          <rPr>
            <sz val="9"/>
            <color indexed="81"/>
            <rFont val="Tahoma"/>
            <family val="2"/>
          </rPr>
          <t>Ancienne valeur à vérifier a l'usage</t>
        </r>
      </text>
    </comment>
  </commentList>
</comments>
</file>

<file path=xl/comments5.xml><?xml version="1.0" encoding="utf-8"?>
<comments xmlns="http://schemas.openxmlformats.org/spreadsheetml/2006/main">
  <authors>
    <author>Jean-Luc Astié</author>
  </authors>
  <commentList>
    <comment ref="B14" authorId="0">
      <text>
        <r>
          <rPr>
            <b/>
            <sz val="9"/>
            <color indexed="81"/>
            <rFont val="Tahoma"/>
            <family val="2"/>
          </rPr>
          <t>Retour à l'interface</t>
        </r>
      </text>
    </comment>
  </commentList>
</comments>
</file>

<file path=xl/comments6.xml><?xml version="1.0" encoding="utf-8"?>
<comments xmlns="http://schemas.openxmlformats.org/spreadsheetml/2006/main">
  <authors>
    <author>Jean-Luc Astié</author>
  </authors>
  <commentList>
    <comment ref="G5" authorId="0">
      <text>
        <r>
          <rPr>
            <b/>
            <sz val="9"/>
            <color indexed="81"/>
            <rFont val="Tahoma"/>
            <family val="2"/>
          </rPr>
          <t>Colonne à
renseigner</t>
        </r>
      </text>
    </comment>
  </commentList>
</comments>
</file>

<file path=xl/connections.xml><?xml version="1.0" encoding="utf-8"?>
<connections xmlns="http://schemas.openxmlformats.org/spreadsheetml/2006/main">
  <connection id="1" name="import_DATA_GPRO" type="6" refreshedVersion="3" background="1" saveData="1">
    <textPr codePage="850" sourceFile="C:\Users\Jean-Luc\Desktop\VENTURI\HELP\import_DATA_GPRO.txt" decimal="," thousands=" ">
      <textFields count="11">
        <textField/>
        <textField/>
        <textField/>
        <textField/>
        <textField/>
        <textField/>
        <textField/>
        <textField/>
        <textField/>
        <textField/>
        <textField/>
      </textFields>
    </textPr>
  </connection>
  <connection id="2" name="Pripojenie" type="4" refreshedVersion="3" background="1" saveData="1">
    <webPr sourceData="1" parsePre="1" consecutive="1" xl2000="1" url="http://www.gpro.net/sk/StaffAndFacilities.asp"/>
  </connection>
</connections>
</file>

<file path=xl/sharedStrings.xml><?xml version="1.0" encoding="utf-8"?>
<sst xmlns="http://schemas.openxmlformats.org/spreadsheetml/2006/main" count="2151" uniqueCount="520">
  <si>
    <t>Marge pneus</t>
  </si>
  <si>
    <t>Carburant</t>
  </si>
  <si>
    <t>Usure finale</t>
  </si>
  <si>
    <t>Total</t>
  </si>
  <si>
    <t>arret 4</t>
  </si>
  <si>
    <t>arret 3</t>
  </si>
  <si>
    <t>arret 2</t>
  </si>
  <si>
    <t>arret 1</t>
  </si>
  <si>
    <t>Depart</t>
  </si>
  <si>
    <t xml:space="preserve"> Strategie libre</t>
  </si>
  <si>
    <t>Suspension</t>
  </si>
  <si>
    <t>Boite</t>
  </si>
  <si>
    <t>Extra tendre</t>
  </si>
  <si>
    <t>Tour</t>
  </si>
  <si>
    <t>Freins</t>
  </si>
  <si>
    <t>Moteur</t>
  </si>
  <si>
    <t>Risque</t>
  </si>
  <si>
    <t>Nbr d'arret</t>
  </si>
  <si>
    <t>Aile AR</t>
  </si>
  <si>
    <t xml:space="preserve"> Strategie Classique</t>
  </si>
  <si>
    <t>Ailerons</t>
  </si>
  <si>
    <t>Aile AV</t>
  </si>
  <si>
    <t>Conversions pour info</t>
  </si>
  <si>
    <t>Réglage</t>
  </si>
  <si>
    <t>Pieces</t>
  </si>
  <si>
    <t>Course</t>
  </si>
  <si>
    <t>Electronique</t>
  </si>
  <si>
    <t>Boite de Vitesse</t>
  </si>
  <si>
    <t>Refroidissement</t>
  </si>
  <si>
    <t>Pontons Lateraux</t>
  </si>
  <si>
    <t>Fond Plat</t>
  </si>
  <si>
    <t>Aileron Ar</t>
  </si>
  <si>
    <t>Q2</t>
  </si>
  <si>
    <t>Aileron Av</t>
  </si>
  <si>
    <t>Chassis</t>
  </si>
  <si>
    <t>Meilleure valeur trouvée</t>
  </si>
  <si>
    <t>%</t>
  </si>
  <si>
    <t>Fumettes</t>
  </si>
  <si>
    <t>Estimation</t>
  </si>
  <si>
    <t>usure</t>
  </si>
  <si>
    <t>Level</t>
  </si>
  <si>
    <t>Pièce</t>
  </si>
  <si>
    <t>Frein</t>
  </si>
  <si>
    <t>E s t i m a t i o n   USURES PIECES</t>
  </si>
  <si>
    <t>Q1</t>
  </si>
  <si>
    <t>Sans TD</t>
  </si>
  <si>
    <t>HR</t>
  </si>
  <si>
    <t>temps (s)</t>
  </si>
  <si>
    <t>Balance</t>
  </si>
  <si>
    <t>Poids</t>
  </si>
  <si>
    <t>Motivation</t>
  </si>
  <si>
    <t>meteo</t>
  </si>
  <si>
    <t>Température</t>
  </si>
  <si>
    <t>Charisme</t>
  </si>
  <si>
    <t>Endurance</t>
  </si>
  <si>
    <t>Km/tour</t>
  </si>
  <si>
    <t>Technique</t>
  </si>
  <si>
    <t>Temps/arret</t>
  </si>
  <si>
    <t>Experience</t>
  </si>
  <si>
    <t>Tours</t>
  </si>
  <si>
    <t>Agressivité</t>
  </si>
  <si>
    <t>Depassement</t>
  </si>
  <si>
    <t>Talent</t>
  </si>
  <si>
    <t>Ailes neutre</t>
  </si>
  <si>
    <t>Concentration</t>
  </si>
  <si>
    <t>1/2 HR</t>
  </si>
  <si>
    <t>Balance manuelle</t>
  </si>
  <si>
    <t>Mugello</t>
  </si>
  <si>
    <t>Circuit</t>
  </si>
  <si>
    <t>OA</t>
  </si>
  <si>
    <t>Details course</t>
  </si>
  <si>
    <t>Pilote</t>
  </si>
  <si>
    <t>Zolder</t>
  </si>
  <si>
    <t>Zandvoort</t>
  </si>
  <si>
    <t>Yeongam</t>
  </si>
  <si>
    <t>Yas Marina</t>
  </si>
  <si>
    <t>Valencia</t>
  </si>
  <si>
    <t>Suzuka</t>
  </si>
  <si>
    <t>Spa</t>
  </si>
  <si>
    <t>Slovakiaring</t>
  </si>
  <si>
    <t>Singapore</t>
  </si>
  <si>
    <t>Silverstone</t>
  </si>
  <si>
    <t>Shanghai</t>
  </si>
  <si>
    <t>Serres</t>
  </si>
  <si>
    <t>Sepang</t>
  </si>
  <si>
    <t>Sakhir</t>
  </si>
  <si>
    <t>Rafaela Oval</t>
  </si>
  <si>
    <t>Poznan</t>
  </si>
  <si>
    <t>Portimao</t>
  </si>
  <si>
    <t>Paul Ricard</t>
  </si>
  <si>
    <t>Oesterreichring</t>
  </si>
  <si>
    <t>Nurburgring</t>
  </si>
  <si>
    <t>New Delhi</t>
  </si>
  <si>
    <t>Monza</t>
  </si>
  <si>
    <t>Montreal</t>
  </si>
  <si>
    <t>Monte Carlo</t>
  </si>
  <si>
    <t>Mexico City</t>
  </si>
  <si>
    <t>Melbourne</t>
  </si>
  <si>
    <t>Magny Cours</t>
  </si>
  <si>
    <t>Laguna Seca</t>
  </si>
  <si>
    <t>Kyalami</t>
  </si>
  <si>
    <t>Kaunas</t>
  </si>
  <si>
    <t>Jerez</t>
  </si>
  <si>
    <t>Istanbul</t>
  </si>
  <si>
    <t>Irungattukottai</t>
  </si>
  <si>
    <t>Interlagos</t>
  </si>
  <si>
    <t>Indianapolis Oval</t>
  </si>
  <si>
    <t>Indianapolis</t>
  </si>
  <si>
    <t>Imola</t>
  </si>
  <si>
    <t>Hungaroring</t>
  </si>
  <si>
    <t>Hockenheim</t>
  </si>
  <si>
    <t>Fuji</t>
  </si>
  <si>
    <t>Fiorano</t>
  </si>
  <si>
    <t>Estoril</t>
  </si>
  <si>
    <t>Buenos Aires</t>
  </si>
  <si>
    <t>Bucharest Ring</t>
  </si>
  <si>
    <t>Brno</t>
  </si>
  <si>
    <t>Bremgarten</t>
  </si>
  <si>
    <t>Brasilia</t>
  </si>
  <si>
    <t>Brands Hatch</t>
  </si>
  <si>
    <t>Barcelona</t>
  </si>
  <si>
    <t>Avus</t>
  </si>
  <si>
    <t>Anderstorp</t>
  </si>
  <si>
    <t>Ahvenisto</t>
  </si>
  <si>
    <t>Adelaide</t>
  </si>
  <si>
    <t>A1-Ring</t>
  </si>
  <si>
    <t>Sochi</t>
  </si>
  <si>
    <t>Austin</t>
  </si>
  <si>
    <t>circuit</t>
  </si>
  <si>
    <t>Moyenne</t>
  </si>
  <si>
    <t>CT</t>
  </si>
  <si>
    <t>Exp</t>
  </si>
  <si>
    <t>Conc</t>
  </si>
  <si>
    <t>Tres haute</t>
  </si>
  <si>
    <t>Basse</t>
  </si>
  <si>
    <t>Medium</t>
  </si>
  <si>
    <t>L/km (Pluie)</t>
  </si>
  <si>
    <t>L/km (sec)</t>
  </si>
  <si>
    <t>carburant</t>
  </si>
  <si>
    <t>coef</t>
  </si>
  <si>
    <t>Lev elec</t>
  </si>
  <si>
    <t>Lev Mot</t>
  </si>
  <si>
    <t>Techn</t>
  </si>
  <si>
    <t>Ag</t>
  </si>
  <si>
    <t>Chrono en secondes</t>
  </si>
  <si>
    <t>Equilibre</t>
  </si>
  <si>
    <t>ÿ</t>
  </si>
  <si>
    <t>t</t>
  </si>
  <si>
    <t>y</t>
  </si>
  <si>
    <t>x</t>
  </si>
  <si>
    <t>Tres basse</t>
  </si>
  <si>
    <t>Haute</t>
  </si>
  <si>
    <t>Hard</t>
  </si>
  <si>
    <t>calcul carburant course</t>
  </si>
  <si>
    <t>calc</t>
  </si>
  <si>
    <t>Calcul OA  pilote</t>
  </si>
  <si>
    <t>Detail circuit</t>
  </si>
  <si>
    <t>Appuis</t>
  </si>
  <si>
    <t>Conso</t>
  </si>
  <si>
    <t>Usure pneu</t>
  </si>
  <si>
    <t>Distance</t>
  </si>
  <si>
    <t xml:space="preserve">P </t>
  </si>
  <si>
    <t>M</t>
  </si>
  <si>
    <t>A</t>
  </si>
  <si>
    <t>Virages</t>
  </si>
  <si>
    <t>Grip</t>
  </si>
  <si>
    <t>Bas</t>
  </si>
  <si>
    <t>Facile</t>
  </si>
  <si>
    <t>Moyen</t>
  </si>
  <si>
    <t>Difficile</t>
  </si>
  <si>
    <t>Haut</t>
  </si>
  <si>
    <t>Normal</t>
  </si>
  <si>
    <t>Souple</t>
  </si>
  <si>
    <t>Tres difficile</t>
  </si>
  <si>
    <t>Dur</t>
  </si>
  <si>
    <t>Elevé</t>
  </si>
  <si>
    <t>Trés elevé</t>
  </si>
  <si>
    <t>Tres facile</t>
  </si>
  <si>
    <t>Très bas</t>
  </si>
  <si>
    <t>AGR</t>
  </si>
  <si>
    <t>EXP</t>
  </si>
  <si>
    <t>SUS</t>
  </si>
  <si>
    <t>Pneu</t>
  </si>
  <si>
    <t>pneu</t>
  </si>
  <si>
    <t>T°C</t>
  </si>
  <si>
    <t>KM</t>
  </si>
  <si>
    <t>tendre</t>
  </si>
  <si>
    <t>Calcul ws</t>
  </si>
  <si>
    <t>Gommes</t>
  </si>
  <si>
    <t>Metéo</t>
  </si>
  <si>
    <t>Renseignez les reglages de votre Q1</t>
  </si>
  <si>
    <t>Contrôle</t>
  </si>
  <si>
    <t>a</t>
  </si>
  <si>
    <t>b</t>
  </si>
  <si>
    <t>c</t>
  </si>
  <si>
    <t>WS</t>
  </si>
  <si>
    <t>Marge securité carburant</t>
  </si>
  <si>
    <t>Ele</t>
  </si>
  <si>
    <t>Sus</t>
  </si>
  <si>
    <t>Refroi</t>
  </si>
  <si>
    <t>Pontons</t>
  </si>
  <si>
    <t>Fond plat</t>
  </si>
  <si>
    <t>course N°</t>
  </si>
  <si>
    <t>Entrainement</t>
  </si>
  <si>
    <t>Yoga</t>
  </si>
  <si>
    <t>Fitness</t>
  </si>
  <si>
    <t>NON</t>
  </si>
  <si>
    <t xml:space="preserve">Fin de saison </t>
  </si>
  <si>
    <t>Testing</t>
  </si>
  <si>
    <t>Qualif 1</t>
  </si>
  <si>
    <t>Réglages Rapides</t>
  </si>
  <si>
    <t>Réglages  neutre</t>
  </si>
  <si>
    <t>Tendre</t>
  </si>
  <si>
    <t>Boost</t>
  </si>
  <si>
    <t>tour</t>
  </si>
  <si>
    <t>Avec boost</t>
  </si>
  <si>
    <t>Fin</t>
  </si>
  <si>
    <t xml:space="preserve">estimation </t>
  </si>
  <si>
    <t>Départ</t>
  </si>
  <si>
    <t>Tours boost</t>
  </si>
  <si>
    <t>Estimation usures pieces</t>
  </si>
  <si>
    <t>Coef</t>
  </si>
  <si>
    <t>Lvl</t>
  </si>
  <si>
    <t>Variable</t>
  </si>
  <si>
    <t>Usures</t>
  </si>
  <si>
    <t>Extra Tendre</t>
  </si>
  <si>
    <t>Total perte</t>
  </si>
  <si>
    <t>Diff gomme</t>
  </si>
  <si>
    <t>total arrets</t>
  </si>
  <si>
    <t>Nbr arret</t>
  </si>
  <si>
    <t>(à quelle usure les pneus doivent être remplacés)</t>
  </si>
  <si>
    <t>USURE PNEU</t>
  </si>
  <si>
    <t>RISQUE</t>
  </si>
  <si>
    <t>CALCUL PERTE DE TEMPS EN FONCTION DES STRATEGIES</t>
  </si>
  <si>
    <t xml:space="preserve"> carburant(s)</t>
  </si>
  <si>
    <t>Dépassement Coef</t>
  </si>
  <si>
    <t>Total perte avec coef (experimental)</t>
  </si>
  <si>
    <t>Balance Auto</t>
  </si>
  <si>
    <t>Calcul pneu course</t>
  </si>
  <si>
    <t>Base</t>
  </si>
  <si>
    <t>datas</t>
  </si>
  <si>
    <t>t°+CT</t>
  </si>
  <si>
    <t>Calc1</t>
  </si>
  <si>
    <t>Pluie</t>
  </si>
  <si>
    <t>BASE</t>
  </si>
  <si>
    <t>Calcul base pneu (recherche manuelle en changeant la base ou automatique avec le solveur)</t>
  </si>
  <si>
    <t xml:space="preserve">Balance </t>
  </si>
  <si>
    <t>CR</t>
  </si>
  <si>
    <t>CIRCUIT</t>
  </si>
  <si>
    <t>EXTRA-TENDRE</t>
  </si>
  <si>
    <t>TEMP ARRET</t>
  </si>
  <si>
    <t>NBR TOURS</t>
  </si>
  <si>
    <t>KM/TOUR</t>
  </si>
  <si>
    <t>TENDRE</t>
  </si>
  <si>
    <t>MEDIUM</t>
  </si>
  <si>
    <t>HARD</t>
  </si>
  <si>
    <t>PLUIE</t>
  </si>
  <si>
    <t>GP + MARGE</t>
  </si>
  <si>
    <t>ARRET</t>
  </si>
  <si>
    <t>EX-TENDRE</t>
  </si>
  <si>
    <t>Sec/CT</t>
  </si>
  <si>
    <t>dur</t>
  </si>
  <si>
    <t>medium</t>
  </si>
  <si>
    <t>Meilleure strategie en MEDIUM</t>
  </si>
  <si>
    <t>Meilleure strategie en HARD</t>
  </si>
  <si>
    <t>MARGE</t>
  </si>
  <si>
    <t>XS</t>
  </si>
  <si>
    <t>S</t>
  </si>
  <si>
    <t>H</t>
  </si>
  <si>
    <t>P</t>
  </si>
  <si>
    <t>Meilleure strategie en TENDRE</t>
  </si>
  <si>
    <t>Ecart (s/Tour)</t>
  </si>
  <si>
    <t>Meilleure strategie en EX-TENDRE</t>
  </si>
  <si>
    <t>(Ne renseignez qu'un seul chrono !!!!!)</t>
  </si>
  <si>
    <t>chrono</t>
  </si>
  <si>
    <t>EXTRA-TENDRE 1 arret</t>
  </si>
  <si>
    <t>EXTRA-TENDRE 2 arret</t>
  </si>
  <si>
    <t>EXTRA-TENDRE 3 arret</t>
  </si>
  <si>
    <t>EXTRA-TENDRE 4 arret</t>
  </si>
  <si>
    <t>Extratendre</t>
  </si>
  <si>
    <t>tendre 1 arret</t>
  </si>
  <si>
    <t>tendre 2 arret</t>
  </si>
  <si>
    <t>tendre 3 arret</t>
  </si>
  <si>
    <t>tendre 4 arret</t>
  </si>
  <si>
    <t>MEDIUM 1 arret</t>
  </si>
  <si>
    <t>MEDIUM 2 arret</t>
  </si>
  <si>
    <t>MEDIUM 3 arret</t>
  </si>
  <si>
    <t>MEDIUM 4 arret</t>
  </si>
  <si>
    <t>HARD 4 arret</t>
  </si>
  <si>
    <t>HARD 1 arret</t>
  </si>
  <si>
    <t>HARD 2 arret</t>
  </si>
  <si>
    <t>HARD 3 arret</t>
  </si>
  <si>
    <t>CT MAX</t>
  </si>
  <si>
    <t xml:space="preserve">JE CHERCHE POUR TOI </t>
  </si>
  <si>
    <t>race laps</t>
  </si>
  <si>
    <t>Litres</t>
  </si>
  <si>
    <t>Track</t>
  </si>
  <si>
    <t>ktrack</t>
  </si>
  <si>
    <t>Poznań</t>
  </si>
  <si>
    <t>Passage au stand</t>
  </si>
  <si>
    <t>L/tour</t>
  </si>
  <si>
    <t>Chrono1</t>
  </si>
  <si>
    <t>chrono2</t>
  </si>
  <si>
    <t>stand</t>
  </si>
  <si>
    <t>cumul chrono</t>
  </si>
  <si>
    <t>Coef essence</t>
  </si>
  <si>
    <t>Best lap essais</t>
  </si>
  <si>
    <t>Meilleur tour essai ou estimation</t>
  </si>
  <si>
    <t>Fit/Kg</t>
  </si>
  <si>
    <t>Baku City</t>
  </si>
  <si>
    <t>Grobnik</t>
  </si>
  <si>
    <t>Jyllands-Ringen</t>
  </si>
  <si>
    <t>Adelaïde</t>
  </si>
  <si>
    <t>AdelaÏde</t>
  </si>
  <si>
    <t>Consommation</t>
  </si>
  <si>
    <t>Taux de conversion d'usure des pièces</t>
  </si>
  <si>
    <t>Aileron Avant</t>
  </si>
  <si>
    <t>Aileron Arrière</t>
  </si>
  <si>
    <t>Boite de vitesse</t>
  </si>
  <si>
    <t>Aileron Neutre</t>
  </si>
  <si>
    <t>Temps</t>
  </si>
  <si>
    <t>Condition</t>
  </si>
  <si>
    <t>Arrêt</t>
  </si>
  <si>
    <t>Taux usure des pièces</t>
  </si>
  <si>
    <t>Vit. Moy.</t>
  </si>
  <si>
    <t>Réglages des séances Q1, Q2 et Course</t>
  </si>
  <si>
    <t>Niveau</t>
  </si>
  <si>
    <t>Conversion</t>
  </si>
  <si>
    <t>Stratégie arrêts classiques</t>
  </si>
  <si>
    <t>Stratégie arrêts libres</t>
  </si>
  <si>
    <t>Calcul arrêts classiques pneu extra-tendre</t>
  </si>
  <si>
    <t>Calcul arrêts classiques pneu tendre</t>
  </si>
  <si>
    <t>Calcul arrêts classiques pneu médium</t>
  </si>
  <si>
    <t>Calcul arrêts classiques pneu dur</t>
  </si>
  <si>
    <t>Usures en fonction des niveaux</t>
  </si>
  <si>
    <t>Stratégie
Classique</t>
  </si>
  <si>
    <t>Stratégie
Libre</t>
  </si>
  <si>
    <t>Session</t>
  </si>
  <si>
    <t>kTrack</t>
  </si>
  <si>
    <t>Aileron Av.</t>
  </si>
  <si>
    <t>Aileron Ar.</t>
  </si>
  <si>
    <t>Dépassement</t>
  </si>
  <si>
    <t>Coeff.</t>
  </si>
  <si>
    <t>Réglage automatique des valeurs optimales du SETUP (Séance essais libres)</t>
  </si>
  <si>
    <t>Essais</t>
  </si>
  <si>
    <t>Commentaires
Pilote</t>
  </si>
  <si>
    <t>B. V.</t>
  </si>
  <si>
    <t>Tour 1</t>
  </si>
  <si>
    <t>.</t>
  </si>
  <si>
    <t>Tour 2</t>
  </si>
  <si>
    <t>Techniques</t>
  </si>
  <si>
    <t>Tour 3</t>
  </si>
  <si>
    <t>Tour 4</t>
  </si>
  <si>
    <t>Tour 5</t>
  </si>
  <si>
    <t>Tour 6</t>
  </si>
  <si>
    <t>Tour 7</t>
  </si>
  <si>
    <t>Tour 8</t>
  </si>
  <si>
    <t>Veuillez remplir les cellules de couleur blanche uniquement. Renseignez celles-ci avec les valeurs de votre premier tour d'essai libre.</t>
  </si>
  <si>
    <t>Renseignez la colonne "Commentaires pilote" à l'aide de la liste de choix. Les données valables pour le tour suivant sont calculées automatiquement.</t>
  </si>
  <si>
    <t>Comment</t>
  </si>
  <si>
    <t>WINGS</t>
  </si>
  <si>
    <t>(+3) I am really missing a lot of speed in the straights</t>
  </si>
  <si>
    <t>AILERONS</t>
  </si>
  <si>
    <t>(+3) Je manque vraiment de beaucoup de vitesse dans les lignes droites</t>
  </si>
  <si>
    <t>Calc T1</t>
  </si>
  <si>
    <t>(+2) The car is lacking some speed in the straights</t>
  </si>
  <si>
    <t>(+2) La voiture manque un peu de vitesse dans les lignes droites</t>
  </si>
  <si>
    <t>Calc T2</t>
  </si>
  <si>
    <t>(+1) The car could have a bit more speed on the straights</t>
  </si>
  <si>
    <t>(+1) La voiture pourrait avoir un peu plus de vitesse dans les lignes droites</t>
  </si>
  <si>
    <t>Calc T3</t>
  </si>
  <si>
    <t>( 0) Satisfied</t>
  </si>
  <si>
    <t>(0) Satisfait</t>
  </si>
  <si>
    <t>Calc T4</t>
  </si>
  <si>
    <t>(-1) I am missing a bit of grip in the curves</t>
  </si>
  <si>
    <t>(-1) Il me manque un peu de grip dans les courbes</t>
  </si>
  <si>
    <t>Calc T5</t>
  </si>
  <si>
    <t>(-2) The car is very unstable in many corners</t>
  </si>
  <si>
    <t>(-2) La voiture est très instable dans de nombreux virages</t>
  </si>
  <si>
    <t>Calc T6</t>
  </si>
  <si>
    <t>(-3) I can not drive the car, there's no grip on it</t>
  </si>
  <si>
    <t>(-3) Je ne peux pas conduire la voiture, elle n'a pas d'adhérence</t>
  </si>
  <si>
    <t>Calc T7</t>
  </si>
  <si>
    <t>Calc T8</t>
  </si>
  <si>
    <t>ENGINE</t>
  </si>
  <si>
    <t>(+3) No, no, no!!! Favor a lot more low revs!</t>
  </si>
  <si>
    <t>MOTEUR</t>
  </si>
  <si>
    <t>(+3) Non, non, non !!! Favoriser beaucoup les bas régimes</t>
  </si>
  <si>
    <t>(+2) The engine revs are to high</t>
  </si>
  <si>
    <t>(+2) Le régime moteur est trop élevé</t>
  </si>
  <si>
    <t>(+1) Try to favour a bit more low revs</t>
  </si>
  <si>
    <t>(+1) Essayez de favoriser un peu plus les bas régimes</t>
  </si>
  <si>
    <t>(-1) I feel that do not have enough engine power in the straights</t>
  </si>
  <si>
    <t>(-1) Je sens que je n'ai pas assez de puissance dans les lignes droites</t>
  </si>
  <si>
    <t>(-2) The engime power on the straights is not sufficient</t>
  </si>
  <si>
    <t>(-2) La puissance du moteur dans les lignes droites n'est pas suffisante</t>
  </si>
  <si>
    <t>(-3) You should try to favour a lot more high revs</t>
  </si>
  <si>
    <t>(-3) Vous devriez essayer de favoriser beaucoup plus les hauts régimes</t>
  </si>
  <si>
    <t>BRAKES</t>
  </si>
  <si>
    <t>(+3) Please, move the balance a lot more to the back</t>
  </si>
  <si>
    <t>FREINS</t>
  </si>
  <si>
    <t>(+3) S'il vous plait déplacer l'équilibre beaucoup plus à l'arrière</t>
  </si>
  <si>
    <t>(+2) I think … to the back</t>
  </si>
  <si>
    <t>(+2) Je pense que … à l'arrière</t>
  </si>
  <si>
    <t>(+1) Put the balance a bit more to the back</t>
  </si>
  <si>
    <t>(+1) Mettez la balance un peu plus sur l'arrière</t>
  </si>
  <si>
    <t>(-1) I would like to have the balance a bit more to the front</t>
  </si>
  <si>
    <t>(-1) Je voudrait avoir l'équilibre un peu plus sur l'avant</t>
  </si>
  <si>
    <t>(-2) I think … to the front</t>
  </si>
  <si>
    <t>(-2) Je pense que … à l'avant</t>
  </si>
  <si>
    <t>(-3) I would feel a lot more confortable to move the balance to the front</t>
  </si>
  <si>
    <t>(-3) Je me setirai un peu plus  confortable de se déplacer vers l'avant</t>
  </si>
  <si>
    <t>(+3) Please, put a lot lower ratio between gears</t>
  </si>
  <si>
    <t>(+3) S'il vous plait, mettez un taux beaucoup plus faible entre les rapports</t>
  </si>
  <si>
    <t>(+2) The gear ratio is to high</t>
  </si>
  <si>
    <t>(+2) Le rapport de transmission est trop élevé</t>
  </si>
  <si>
    <t>GEAR</t>
  </si>
  <si>
    <t>(+1) I cannot take the advantage of the power of the engine. Put the gear ration a bit lower</t>
  </si>
  <si>
    <t>(+1) Je ne peux pas profiter de la puissance du moteur, mettre rapport plus bas</t>
  </si>
  <si>
    <t>(-1) I am very often in the red. Put the gear ratio a bit higher</t>
  </si>
  <si>
    <t>(-1) Je suis très souvent dans le rouge, mettre rapport plus haut</t>
  </si>
  <si>
    <t>(-2) The gear ratio is to low</t>
  </si>
  <si>
    <t>(-2) Le rapport de transmission est trop faible</t>
  </si>
  <si>
    <t>(-3) It feels like the engine is going to explode. Put a lot higher ratio between gears</t>
  </si>
  <si>
    <t>(-3) C'est comme si le moteur veut exploser, mettre rapport beaucoup plus élevé</t>
  </si>
  <si>
    <t>SUSPENSION</t>
  </si>
  <si>
    <t>(+3) The is far to rigid. Lower a lot the rigidity</t>
  </si>
  <si>
    <t>(+3) La voiture est beaucoup trop rigide, abaissez beaucoup la rigidité</t>
  </si>
  <si>
    <t>(+2) The suspension rigidity is to high</t>
  </si>
  <si>
    <t>(+2) La rigidité de la suspension est trop élevée</t>
  </si>
  <si>
    <t>(+1) The is to rigid. Lower a bit the rigidity</t>
  </si>
  <si>
    <t>(+1) La voiture est trop rigide, baissez un peu la rigidité</t>
  </si>
  <si>
    <t>(-1) I think with a bit more rigid suspension. I will be able to go faster</t>
  </si>
  <si>
    <t>(-1) Je pense qu'avec une suspension plus rigide, je vais être en mesure d'aller plus vite</t>
  </si>
  <si>
    <t>(-2) The suspension rigidity is to low</t>
  </si>
  <si>
    <t>(-2) La rigidité de la suspension est trop faible</t>
  </si>
  <si>
    <t>(-3) The suspension rigidity should be a lot higher</t>
  </si>
  <si>
    <t>(-3) La rigidité de la suspension devrait être beaucoup plus élevée</t>
  </si>
  <si>
    <t>Satisfait</t>
  </si>
  <si>
    <t>Données Python</t>
  </si>
  <si>
    <t>Expérience</t>
  </si>
  <si>
    <t>Aileron AV.</t>
  </si>
  <si>
    <t>Aileron AR.</t>
  </si>
  <si>
    <t>Concent.</t>
  </si>
  <si>
    <t>CIRCUITS</t>
  </si>
  <si>
    <t>DONNEES EXCEL</t>
  </si>
  <si>
    <t>DONNEES PYTHON</t>
  </si>
  <si>
    <t>DIFFERENCE EXCEL VS PTHON</t>
  </si>
  <si>
    <t>Choisir…</t>
  </si>
  <si>
    <t>Indiana. Oval</t>
  </si>
  <si>
    <t>Nb. Tours</t>
  </si>
  <si>
    <t>Tours Boost</t>
  </si>
  <si>
    <t>% Boost</t>
  </si>
  <si>
    <t>Données 
inférieures à
une marge de 1%</t>
  </si>
  <si>
    <t>Données 
inférieures à
une marge de 3%</t>
  </si>
  <si>
    <t>Données 
supérieure à
une marge de 3%</t>
  </si>
  <si>
    <t>Différence
EXCEL/PYTHON
pour ajustement</t>
  </si>
  <si>
    <t>Nom
Pièces</t>
  </si>
  <si>
    <t>Niveau
Pièces</t>
  </si>
  <si>
    <t>% Avant
Course</t>
  </si>
  <si>
    <t>% Après
Course</t>
  </si>
  <si>
    <t>% Marge
Basse</t>
  </si>
  <si>
    <t>% Usure
GPRO</t>
  </si>
  <si>
    <t>% Usure
Excel</t>
  </si>
  <si>
    <t>Diff. +
Excel</t>
  </si>
  <si>
    <t>Diff. -
Excel</t>
  </si>
  <si>
    <t>% Usure
Python</t>
  </si>
  <si>
    <t>Diff. +
Python</t>
  </si>
  <si>
    <t>Diff. -
Python</t>
  </si>
  <si>
    <t>Diff.
XL - Py</t>
  </si>
  <si>
    <t>Diff. De
base</t>
  </si>
  <si>
    <t>COEFFICIENTS &amp; CONVERSIONS D'USURES</t>
  </si>
  <si>
    <t>Coéfficient</t>
  </si>
  <si>
    <t>Usures en fonctions
du niveau des pièces</t>
  </si>
  <si>
    <t>EXCEL - Estimation usures pieces</t>
  </si>
  <si>
    <t>PYTHON - Estimation usures pieces</t>
  </si>
  <si>
    <t>Pièces</t>
  </si>
  <si>
    <t>DB Data</t>
  </si>
  <si>
    <t>Final</t>
  </si>
  <si>
    <t>Sans boost</t>
  </si>
  <si>
    <t xml:space="preserve">En cliquant sur le dessin d'engrenage vous retournerez à l'interface </t>
  </si>
  <si>
    <t>(mm+s) + millièmes</t>
  </si>
  <si>
    <t>OUI</t>
  </si>
  <si>
    <t>Lt/Km</t>
  </si>
  <si>
    <t>Total Lts</t>
  </si>
  <si>
    <t>Km/Max</t>
  </si>
  <si>
    <t>Nb. tours</t>
  </si>
  <si>
    <t>Nb. d'arret</t>
  </si>
  <si>
    <t>Météo</t>
  </si>
  <si>
    <t xml:space="preserve">Talent : </t>
  </si>
  <si>
    <t xml:space="preserve">Incidence : </t>
  </si>
  <si>
    <t xml:space="preserve">Température : </t>
  </si>
  <si>
    <t>Météo :</t>
  </si>
  <si>
    <t xml:space="preserve">Ailerons : </t>
  </si>
  <si>
    <t>%/Tours</t>
  </si>
  <si>
    <t>Lts/Tour</t>
  </si>
  <si>
    <t>Informations pneumatiques et carburant</t>
  </si>
  <si>
    <t>STRATEGIE  DE RAVITAILLEMENT PERSONNALISEE</t>
  </si>
  <si>
    <t>Pneumatiques</t>
  </si>
  <si>
    <t>Marges</t>
  </si>
  <si>
    <t>Lts/Relais</t>
  </si>
  <si>
    <t>Lts/Suppl.</t>
  </si>
  <si>
    <t>Type/Météo</t>
  </si>
  <si>
    <t>Strat+Marge</t>
  </si>
  <si>
    <t>Marge carbu.</t>
  </si>
  <si>
    <t>Nb/Trs/Relais</t>
  </si>
  <si>
    <t>Carb/Sécu</t>
  </si>
  <si>
    <t>Lts/Trs/Sécu</t>
  </si>
  <si>
    <t>Nb/Trs/Sécu</t>
  </si>
  <si>
    <t>Balance automatique des ailerons</t>
  </si>
  <si>
    <t>Calcul pneu pour calculateur &amp; Ingénierie pneu</t>
  </si>
  <si>
    <t>Jeddah</t>
  </si>
  <si>
    <t>Miami</t>
  </si>
  <si>
    <t>Sec</t>
  </si>
  <si>
    <t>Les colonnes vertes contiennent les listes de choix des commentaires pilote. (Attention: Si le pilote est satisfait il faut le renseigner comme tel.)</t>
  </si>
  <si>
    <t>Fichier sous licence Creative Commons CC by NC-SA 4.0 DEED</t>
  </si>
  <si>
    <t>http://creativecommons.org/licenses/by-nc-sa/4.0/</t>
  </si>
  <si>
    <t>Version 2 Révision 1u 
© 2021 by Unknown &amp; Jean-Luc Astié 
is licensed under CC BY-NC-SA 4.0. 
To view a copy of this license, visit :</t>
  </si>
  <si>
    <t>The other contributors are Patrice Cotty for the text box 
at the end of the "Module" sheet and the definition of 
colors in the same sheet, as well as an unknown author 
for the basic version of the Excel file.</t>
  </si>
  <si>
    <t>Version modèle des fichiers Excel de calculation pour Grand Prix Racing Onine de l'écurie Venturi Larousse et Venturi Académie</t>
  </si>
</sst>
</file>

<file path=xl/styles.xml><?xml version="1.0" encoding="utf-8"?>
<styleSheet xmlns="http://schemas.openxmlformats.org/spreadsheetml/2006/main">
  <numFmts count="39">
    <numFmt numFmtId="164" formatCode="_-* #,##0.00\ _€_-;\-* #,##0.00\ _€_-;_-* &quot;-&quot;??\ _€_-;_-@_-"/>
    <numFmt numFmtId="165" formatCode="0&quot; Tours&quot;"/>
    <numFmt numFmtId="166" formatCode="0&quot; L&quot;"/>
    <numFmt numFmtId="167" formatCode="0.0&quot; %&quot;"/>
    <numFmt numFmtId="168" formatCode="0.000"/>
    <numFmt numFmtId="169" formatCode="0.000&quot; s&quot;"/>
    <numFmt numFmtId="170" formatCode="0.0000"/>
    <numFmt numFmtId="171" formatCode="0.00000"/>
    <numFmt numFmtId="172" formatCode="0.000&quot; km&quot;"/>
    <numFmt numFmtId="173" formatCode="#,##0.000"/>
    <numFmt numFmtId="174" formatCode="#,##0\ &quot;ºC&quot;"/>
    <numFmt numFmtId="175" formatCode="0.0000000"/>
    <numFmt numFmtId="176" formatCode="&quot;g = &quot;General"/>
    <numFmt numFmtId="177" formatCode="&quot;b = &quot;General"/>
    <numFmt numFmtId="178" formatCode="&quot;a = &quot;General"/>
    <numFmt numFmtId="179" formatCode="&quot;w = &quot;General"/>
    <numFmt numFmtId="180" formatCode="&quot;v = &quot;General"/>
    <numFmt numFmtId="181" formatCode="&quot;u = &quot;General"/>
    <numFmt numFmtId="182" formatCode="&quot;mx = &quot;General"/>
    <numFmt numFmtId="183" formatCode="&quot;my = &quot;General"/>
    <numFmt numFmtId="184" formatCode="0.0"/>
    <numFmt numFmtId="185" formatCode="0&quot; %&quot;"/>
    <numFmt numFmtId="186" formatCode="#,##0.0000"/>
    <numFmt numFmtId="187" formatCode="0.000000"/>
    <numFmt numFmtId="188" formatCode="0&quot; litres&quot;"/>
    <numFmt numFmtId="189" formatCode="_(* #,##0.00_);_(* \(#,##0.00\);_(* &quot;-&quot;??_);_(@_)"/>
    <numFmt numFmtId="190" formatCode="0.000&quot; %&quot;"/>
    <numFmt numFmtId="191" formatCode="0.0%"/>
    <numFmt numFmtId="192" formatCode="0.00000000"/>
    <numFmt numFmtId="193" formatCode="0.0000_ ;[Red]\-0.0000\ "/>
    <numFmt numFmtId="194" formatCode="0.00000_ ;[Red]\-0.00000\ "/>
    <numFmt numFmtId="195" formatCode="0.000&quot; Lts&quot;"/>
    <numFmt numFmtId="196" formatCode="0.0000000000"/>
    <numFmt numFmtId="197" formatCode="0&quot; Lts&quot;"/>
    <numFmt numFmtId="198" formatCode="0.000&quot; L&quot;"/>
    <numFmt numFmtId="199" formatCode="0.0&quot; trs&quot;"/>
    <numFmt numFmtId="200" formatCode="0&quot; Trs&quot;"/>
    <numFmt numFmtId="201" formatCode="0.000000000000000"/>
    <numFmt numFmtId="202" formatCode="0.0000000000000000"/>
  </numFmts>
  <fonts count="121">
    <font>
      <sz val="11"/>
      <color theme="1"/>
      <name val="Calibri"/>
      <family val="2"/>
      <scheme val="minor"/>
    </font>
    <font>
      <sz val="11"/>
      <color theme="1"/>
      <name val="Calibri"/>
      <family val="2"/>
      <scheme val="minor"/>
    </font>
    <font>
      <b/>
      <sz val="10"/>
      <color theme="1"/>
      <name val="Arial"/>
      <family val="2"/>
    </font>
    <font>
      <sz val="8"/>
      <name val="Tahoma"/>
      <family val="2"/>
      <charset val="238"/>
    </font>
    <font>
      <sz val="8"/>
      <color theme="0"/>
      <name val="Tahoma"/>
      <family val="2"/>
      <charset val="238"/>
    </font>
    <font>
      <sz val="8"/>
      <name val="Arial"/>
      <family val="2"/>
      <charset val="1"/>
    </font>
    <font>
      <b/>
      <sz val="8"/>
      <color theme="0"/>
      <name val="Tahoma"/>
      <family val="2"/>
      <charset val="238"/>
    </font>
    <font>
      <b/>
      <sz val="8"/>
      <name val="Tahoma"/>
      <family val="2"/>
    </font>
    <font>
      <b/>
      <i/>
      <sz val="8"/>
      <color theme="0"/>
      <name val="Tahoma"/>
      <family val="2"/>
    </font>
    <font>
      <sz val="10"/>
      <color theme="0"/>
      <name val="Arial"/>
      <family val="2"/>
      <charset val="1"/>
    </font>
    <font>
      <sz val="8"/>
      <color theme="0"/>
      <name val="Tahoma"/>
      <family val="2"/>
    </font>
    <font>
      <sz val="11"/>
      <color theme="0"/>
      <name val="Arial"/>
      <family val="2"/>
    </font>
    <font>
      <sz val="22"/>
      <name val="Tahoma"/>
      <family val="2"/>
      <charset val="238"/>
    </font>
    <font>
      <sz val="8"/>
      <name val="Courier New"/>
      <family val="3"/>
    </font>
    <font>
      <b/>
      <sz val="10"/>
      <color theme="1"/>
      <name val="Calibri"/>
      <family val="2"/>
    </font>
    <font>
      <b/>
      <sz val="10"/>
      <color theme="0"/>
      <name val="Calibri"/>
      <family val="2"/>
    </font>
    <font>
      <sz val="8"/>
      <color theme="0"/>
      <name val="Calibri"/>
      <family val="2"/>
    </font>
    <font>
      <b/>
      <sz val="8"/>
      <color theme="0"/>
      <name val="Tahoma"/>
      <family val="2"/>
    </font>
    <font>
      <sz val="11"/>
      <color theme="0"/>
      <name val="Algerian"/>
      <family val="5"/>
    </font>
    <font>
      <sz val="18"/>
      <color theme="0"/>
      <name val="Arial"/>
      <family val="2"/>
      <charset val="1"/>
    </font>
    <font>
      <b/>
      <sz val="10"/>
      <name val="Tahoma"/>
      <family val="2"/>
    </font>
    <font>
      <sz val="12"/>
      <color theme="0"/>
      <name val="Arial"/>
      <family val="2"/>
      <charset val="1"/>
    </font>
    <font>
      <sz val="14"/>
      <color theme="0"/>
      <name val="Tahoma"/>
      <family val="2"/>
      <charset val="238"/>
    </font>
    <font>
      <sz val="10"/>
      <name val="Arial"/>
      <family val="2"/>
    </font>
    <font>
      <b/>
      <sz val="8"/>
      <name val="Arial"/>
      <family val="2"/>
      <charset val="1"/>
    </font>
    <font>
      <b/>
      <sz val="10"/>
      <name val="Arial"/>
      <family val="2"/>
      <charset val="1"/>
    </font>
    <font>
      <sz val="8"/>
      <color theme="1"/>
      <name val="Calibri"/>
      <family val="2"/>
    </font>
    <font>
      <b/>
      <sz val="8"/>
      <color theme="1"/>
      <name val="Calibri"/>
      <family val="2"/>
    </font>
    <font>
      <b/>
      <sz val="20"/>
      <color theme="1"/>
      <name val="Calibri"/>
      <family val="2"/>
    </font>
    <font>
      <sz val="11"/>
      <name val="Calibri"/>
      <family val="2"/>
      <scheme val="minor"/>
    </font>
    <font>
      <b/>
      <sz val="11"/>
      <color indexed="55"/>
      <name val="Calibri"/>
      <family val="2"/>
    </font>
    <font>
      <u/>
      <sz val="10"/>
      <color indexed="12"/>
      <name val="Arial"/>
      <family val="2"/>
    </font>
    <font>
      <b/>
      <sz val="10"/>
      <color indexed="9"/>
      <name val="Calibri"/>
      <family val="2"/>
    </font>
    <font>
      <b/>
      <sz val="8"/>
      <color indexed="9"/>
      <name val="Calibri"/>
      <family val="2"/>
    </font>
    <font>
      <sz val="10"/>
      <name val="Calibri"/>
      <family val="2"/>
      <scheme val="minor"/>
    </font>
    <font>
      <sz val="16"/>
      <name val="Courier New"/>
      <family val="3"/>
    </font>
    <font>
      <b/>
      <sz val="12"/>
      <name val="Courier New"/>
      <family val="3"/>
    </font>
    <font>
      <b/>
      <sz val="11"/>
      <name val="Tahoma"/>
      <family val="2"/>
      <charset val="238"/>
    </font>
    <font>
      <b/>
      <sz val="12"/>
      <color theme="0"/>
      <name val="Tahoma"/>
      <family val="2"/>
      <charset val="238"/>
    </font>
    <font>
      <sz val="10"/>
      <name val="Arial"/>
      <family val="2"/>
      <charset val="1"/>
    </font>
    <font>
      <sz val="11"/>
      <color theme="1"/>
      <name val="Calibri"/>
      <family val="2"/>
      <charset val="238"/>
      <scheme val="minor"/>
    </font>
    <font>
      <b/>
      <sz val="11"/>
      <color theme="0"/>
      <name val="Calibri"/>
      <family val="2"/>
      <scheme val="minor"/>
    </font>
    <font>
      <b/>
      <sz val="14"/>
      <name val="Arial"/>
      <family val="2"/>
    </font>
    <font>
      <sz val="8"/>
      <color theme="0" tint="-0.34998626667073579"/>
      <name val="Garamond"/>
      <family val="1"/>
    </font>
    <font>
      <sz val="10"/>
      <color theme="0"/>
      <name val="Tahoma"/>
      <family val="2"/>
      <charset val="238"/>
    </font>
    <font>
      <b/>
      <sz val="10"/>
      <color theme="0"/>
      <name val="Arial"/>
      <family val="2"/>
    </font>
    <font>
      <b/>
      <sz val="10"/>
      <color theme="0"/>
      <name val="Tahoma"/>
      <family val="2"/>
      <charset val="238"/>
    </font>
    <font>
      <sz val="8"/>
      <color rgb="FFFF0000"/>
      <name val="Tahoma"/>
      <family val="2"/>
    </font>
    <font>
      <b/>
      <sz val="8"/>
      <color rgb="FFFF0000"/>
      <name val="Tahoma"/>
      <family val="2"/>
    </font>
    <font>
      <sz val="22"/>
      <name val="Arial"/>
      <family val="2"/>
      <charset val="1"/>
    </font>
    <font>
      <sz val="11"/>
      <color theme="0"/>
      <name val="Calibri"/>
      <family val="2"/>
      <scheme val="minor"/>
    </font>
    <font>
      <sz val="20"/>
      <name val="Arial"/>
      <family val="2"/>
      <charset val="1"/>
    </font>
    <font>
      <b/>
      <sz val="10"/>
      <name val="Arial"/>
      <family val="2"/>
      <charset val="238"/>
    </font>
    <font>
      <b/>
      <sz val="36"/>
      <color theme="1"/>
      <name val="Calibri"/>
      <family val="2"/>
      <scheme val="minor"/>
    </font>
    <font>
      <b/>
      <sz val="48"/>
      <color theme="1"/>
      <name val="Calibri"/>
      <family val="2"/>
      <scheme val="minor"/>
    </font>
    <font>
      <sz val="26"/>
      <color theme="1"/>
      <name val="Calibri"/>
      <family val="2"/>
      <scheme val="minor"/>
    </font>
    <font>
      <sz val="16"/>
      <color theme="0"/>
      <name val="Calibri"/>
      <family val="2"/>
      <scheme val="minor"/>
    </font>
    <font>
      <sz val="18"/>
      <color theme="0"/>
      <name val="Calibri"/>
      <family val="2"/>
      <scheme val="minor"/>
    </font>
    <font>
      <sz val="16"/>
      <color theme="1"/>
      <name val="Calibri"/>
      <family val="2"/>
      <scheme val="minor"/>
    </font>
    <font>
      <sz val="16"/>
      <name val="Calibri"/>
      <family val="2"/>
      <scheme val="minor"/>
    </font>
    <font>
      <b/>
      <i/>
      <sz val="11"/>
      <color rgb="FFFF0000"/>
      <name val="Calibri"/>
      <family val="2"/>
      <scheme val="minor"/>
    </font>
    <font>
      <sz val="28"/>
      <color theme="0"/>
      <name val="Algerian"/>
      <family val="5"/>
    </font>
    <font>
      <sz val="18"/>
      <color theme="0"/>
      <name val="Algerian"/>
      <family val="5"/>
    </font>
    <font>
      <sz val="10"/>
      <color rgb="FF333333"/>
      <name val="Verdana"/>
      <family val="2"/>
    </font>
    <font>
      <sz val="16"/>
      <name val="Tahoma"/>
      <family val="2"/>
      <charset val="238"/>
    </font>
    <font>
      <sz val="14"/>
      <name val="Arial"/>
      <family val="2"/>
      <charset val="1"/>
    </font>
    <font>
      <sz val="18"/>
      <name val="Arial"/>
      <family val="2"/>
      <charset val="1"/>
    </font>
    <font>
      <sz val="18"/>
      <name val="Algerian"/>
      <family val="5"/>
    </font>
    <font>
      <sz val="9"/>
      <name val="Courier New"/>
      <family val="3"/>
    </font>
    <font>
      <sz val="16"/>
      <color theme="0"/>
      <name val="Tahoma"/>
      <family val="2"/>
      <charset val="238"/>
    </font>
    <font>
      <sz val="10"/>
      <color theme="1"/>
      <name val="Algerian"/>
      <family val="5"/>
    </font>
    <font>
      <b/>
      <sz val="9"/>
      <color theme="1"/>
      <name val="Calibri"/>
      <family val="2"/>
      <scheme val="minor"/>
    </font>
    <font>
      <sz val="22"/>
      <color theme="0"/>
      <name val="Algerian"/>
      <family val="5"/>
    </font>
    <font>
      <sz val="20"/>
      <color theme="0"/>
      <name val="Algerian"/>
      <family val="5"/>
    </font>
    <font>
      <sz val="36"/>
      <name val="Algerian"/>
      <family val="5"/>
    </font>
    <font>
      <sz val="10"/>
      <color theme="0"/>
      <name val="Algerian"/>
      <family val="5"/>
    </font>
    <font>
      <sz val="36"/>
      <color theme="0"/>
      <name val="Algerian"/>
      <family val="5"/>
    </font>
    <font>
      <sz val="26"/>
      <color theme="0"/>
      <name val="Calibri"/>
      <family val="2"/>
      <scheme val="minor"/>
    </font>
    <font>
      <sz val="9"/>
      <color indexed="81"/>
      <name val="Tahoma"/>
      <family val="2"/>
    </font>
    <font>
      <b/>
      <sz val="36"/>
      <name val="Tahoma"/>
      <family val="2"/>
    </font>
    <font>
      <b/>
      <sz val="28"/>
      <name val="Tahoma"/>
      <family val="2"/>
    </font>
    <font>
      <b/>
      <sz val="8"/>
      <name val="Arial"/>
      <family val="2"/>
    </font>
    <font>
      <b/>
      <sz val="11"/>
      <color rgb="FFFF0000"/>
      <name val="Calibri"/>
      <family val="2"/>
      <scheme val="minor"/>
    </font>
    <font>
      <b/>
      <sz val="9"/>
      <color indexed="81"/>
      <name val="Tahoma"/>
      <family val="2"/>
    </font>
    <font>
      <sz val="11"/>
      <color theme="0" tint="-0.34998626667073579"/>
      <name val="Calibri"/>
      <family val="2"/>
      <scheme val="minor"/>
    </font>
    <font>
      <b/>
      <sz val="10"/>
      <name val="Arial"/>
      <family val="2"/>
    </font>
    <font>
      <sz val="8"/>
      <name val="Arial"/>
      <family val="2"/>
    </font>
    <font>
      <sz val="8"/>
      <color theme="1"/>
      <name val="Arial"/>
      <family val="2"/>
    </font>
    <font>
      <sz val="8"/>
      <color theme="0" tint="-0.34998626667073579"/>
      <name val="Arial"/>
      <family val="2"/>
    </font>
    <font>
      <sz val="8"/>
      <name val="Calibri"/>
      <family val="2"/>
      <scheme val="minor"/>
    </font>
    <font>
      <b/>
      <sz val="12"/>
      <color theme="1"/>
      <name val="Calibri"/>
      <family val="2"/>
      <scheme val="minor"/>
    </font>
    <font>
      <sz val="8"/>
      <color theme="4" tint="-0.249977111117893"/>
      <name val="Tahoma"/>
      <family val="2"/>
    </font>
    <font>
      <b/>
      <sz val="11"/>
      <color theme="1"/>
      <name val="Calibri"/>
      <family val="2"/>
      <scheme val="minor"/>
    </font>
    <font>
      <b/>
      <sz val="8"/>
      <name val="Tahoma"/>
      <family val="2"/>
      <charset val="238"/>
    </font>
    <font>
      <sz val="11"/>
      <color rgb="FFFF0000"/>
      <name val="Calibri"/>
      <family val="2"/>
      <scheme val="minor"/>
    </font>
    <font>
      <b/>
      <sz val="24"/>
      <color theme="1"/>
      <name val="Calibri"/>
      <family val="2"/>
      <scheme val="minor"/>
    </font>
    <font>
      <b/>
      <i/>
      <sz val="8"/>
      <color theme="1"/>
      <name val="Calibri"/>
      <family val="2"/>
      <scheme val="minor"/>
    </font>
    <font>
      <b/>
      <sz val="8"/>
      <color rgb="FFFF0000"/>
      <name val="Calibri"/>
      <family val="2"/>
      <scheme val="minor"/>
    </font>
    <font>
      <sz val="8"/>
      <color rgb="FFFF0000"/>
      <name val="Calibri"/>
      <family val="2"/>
      <scheme val="minor"/>
    </font>
    <font>
      <sz val="11"/>
      <color rgb="FF002060"/>
      <name val="Calibri"/>
      <family val="2"/>
      <scheme val="minor"/>
    </font>
    <font>
      <b/>
      <sz val="8"/>
      <color theme="1"/>
      <name val="Calibri"/>
      <family val="2"/>
      <scheme val="minor"/>
    </font>
    <font>
      <sz val="8"/>
      <color theme="1"/>
      <name val="Calibri"/>
      <family val="2"/>
      <scheme val="minor"/>
    </font>
    <font>
      <sz val="11"/>
      <name val="Calibri"/>
      <family val="2"/>
    </font>
    <font>
      <b/>
      <sz val="11"/>
      <name val="Calibri"/>
      <family val="2"/>
    </font>
    <font>
      <sz val="8"/>
      <color theme="0"/>
      <name val="Arial"/>
      <family val="2"/>
    </font>
    <font>
      <b/>
      <i/>
      <sz val="8"/>
      <color theme="0"/>
      <name val="Arial"/>
      <family val="2"/>
    </font>
    <font>
      <sz val="11"/>
      <color theme="1"/>
      <name val="Arial"/>
      <family val="2"/>
    </font>
    <font>
      <b/>
      <sz val="10"/>
      <color rgb="FF002060"/>
      <name val="Arial"/>
      <family val="2"/>
    </font>
    <font>
      <sz val="8"/>
      <name val="Tahoma"/>
      <family val="2"/>
    </font>
    <font>
      <sz val="14"/>
      <name val="Tahoma"/>
      <family val="2"/>
      <charset val="238"/>
    </font>
    <font>
      <sz val="10"/>
      <color theme="0"/>
      <name val="Arial"/>
      <family val="2"/>
    </font>
    <font>
      <b/>
      <sz val="12"/>
      <name val="Tahoma"/>
      <family val="2"/>
      <charset val="238"/>
    </font>
    <font>
      <b/>
      <sz val="11"/>
      <name val="Calibri"/>
      <family val="2"/>
      <scheme val="minor"/>
    </font>
    <font>
      <u/>
      <sz val="6"/>
      <color theme="0" tint="-0.14999847407452621"/>
      <name val="Calibri"/>
      <family val="2"/>
      <scheme val="minor"/>
    </font>
    <font>
      <b/>
      <sz val="12"/>
      <color rgb="FF000000"/>
      <name val="Calibri"/>
      <family val="2"/>
      <scheme val="minor"/>
    </font>
    <font>
      <b/>
      <sz val="14"/>
      <color rgb="FF000000"/>
      <name val="Calibri"/>
      <family val="2"/>
      <scheme val="minor"/>
    </font>
    <font>
      <sz val="14"/>
      <color theme="1"/>
      <name val="Calibri"/>
      <family val="2"/>
      <scheme val="minor"/>
    </font>
    <font>
      <i/>
      <sz val="14"/>
      <color theme="1"/>
      <name val="Calibri"/>
      <family val="2"/>
      <scheme val="minor"/>
    </font>
    <font>
      <b/>
      <sz val="18"/>
      <color rgb="FF333333"/>
      <name val="Arial"/>
      <family val="2"/>
    </font>
    <font>
      <b/>
      <sz val="12"/>
      <color theme="1"/>
      <name val="Arial"/>
      <family val="2"/>
    </font>
    <font>
      <u/>
      <sz val="14"/>
      <color indexed="12"/>
      <name val="Arial"/>
      <family val="2"/>
    </font>
  </fonts>
  <fills count="72">
    <fill>
      <patternFill patternType="none"/>
    </fill>
    <fill>
      <patternFill patternType="gray125"/>
    </fill>
    <fill>
      <patternFill patternType="solid">
        <fgColor theme="5" tint="0.59996337778862885"/>
        <bgColor theme="5" tint="0.59996337778862885"/>
      </patternFill>
    </fill>
    <fill>
      <patternFill patternType="solid">
        <fgColor rgb="FF91050F"/>
        <bgColor theme="5" tint="0.59996337778862885"/>
      </patternFill>
    </fill>
    <fill>
      <patternFill patternType="solid">
        <fgColor rgb="FF92D050"/>
        <bgColor indexed="64"/>
      </patternFill>
    </fill>
    <fill>
      <patternFill patternType="solid">
        <fgColor rgb="FFFFFF66"/>
        <bgColor rgb="FFFFFFCC"/>
      </patternFill>
    </fill>
    <fill>
      <patternFill patternType="solid">
        <fgColor rgb="FFC00000"/>
        <bgColor rgb="FF83CAFF"/>
      </patternFill>
    </fill>
    <fill>
      <patternFill patternType="solid">
        <fgColor theme="1"/>
        <bgColor theme="5" tint="0.59996337778862885"/>
      </patternFill>
    </fill>
    <fill>
      <patternFill patternType="solid">
        <fgColor theme="1"/>
        <bgColor indexed="64"/>
      </patternFill>
    </fill>
    <fill>
      <patternFill patternType="solid">
        <fgColor theme="0"/>
        <bgColor theme="0"/>
      </patternFill>
    </fill>
    <fill>
      <patternFill patternType="solid">
        <fgColor rgb="FF91050F"/>
        <bgColor indexed="64"/>
      </patternFill>
    </fill>
    <fill>
      <patternFill patternType="solid">
        <fgColor rgb="FFC00000"/>
        <bgColor indexed="64"/>
      </patternFill>
    </fill>
    <fill>
      <patternFill patternType="solid">
        <fgColor theme="1" tint="4.9989318521683403E-2"/>
        <bgColor rgb="FFFFFFCC"/>
      </patternFill>
    </fill>
    <fill>
      <patternFill patternType="solid">
        <fgColor theme="0"/>
        <bgColor indexed="64"/>
      </patternFill>
    </fill>
    <fill>
      <patternFill patternType="solid">
        <fgColor rgb="FFFFFF00"/>
        <bgColor indexed="64"/>
      </patternFill>
    </fill>
    <fill>
      <patternFill patternType="solid">
        <fgColor indexed="8"/>
        <bgColor indexed="64"/>
      </patternFill>
    </fill>
    <fill>
      <patternFill patternType="solid">
        <fgColor indexed="63"/>
        <bgColor indexed="64"/>
      </patternFill>
    </fill>
    <fill>
      <patternFill patternType="solid">
        <fgColor theme="2" tint="-0.89999084444715716"/>
        <bgColor indexed="64"/>
      </patternFill>
    </fill>
    <fill>
      <patternFill patternType="solid">
        <fgColor rgb="FF92D050"/>
        <bgColor rgb="FFFFFFCC"/>
      </patternFill>
    </fill>
    <fill>
      <patternFill patternType="solid">
        <fgColor theme="1"/>
        <bgColor rgb="FFFFFFCC"/>
      </patternFill>
    </fill>
    <fill>
      <patternFill patternType="solid">
        <fgColor rgb="FFC00000"/>
        <bgColor theme="5" tint="0.59996337778862885"/>
      </patternFill>
    </fill>
    <fill>
      <patternFill patternType="solid">
        <fgColor theme="2" tint="-0.749992370372631"/>
        <bgColor theme="5" tint="0.59996337778862885"/>
      </patternFill>
    </fill>
    <fill>
      <patternFill patternType="solid">
        <fgColor rgb="FF00B0F0"/>
        <bgColor indexed="64"/>
      </patternFill>
    </fill>
    <fill>
      <patternFill patternType="solid">
        <fgColor theme="4" tint="-0.499984740745262"/>
        <bgColor indexed="64"/>
      </patternFill>
    </fill>
    <fill>
      <patternFill patternType="solid">
        <fgColor rgb="FF00B0F0"/>
        <bgColor rgb="FF83CAFF"/>
      </patternFill>
    </fill>
    <fill>
      <patternFill patternType="solid">
        <fgColor indexed="47"/>
        <bgColor indexed="64"/>
      </patternFill>
    </fill>
    <fill>
      <patternFill patternType="solid">
        <fgColor indexed="13"/>
        <bgColor indexed="64"/>
      </patternFill>
    </fill>
    <fill>
      <patternFill patternType="solid">
        <fgColor indexed="42"/>
        <bgColor indexed="64"/>
      </patternFill>
    </fill>
    <fill>
      <patternFill patternType="solid">
        <fgColor indexed="41"/>
        <bgColor indexed="64"/>
      </patternFill>
    </fill>
    <fill>
      <patternFill patternType="solid">
        <fgColor theme="5" tint="0.39997558519241921"/>
        <bgColor indexed="64"/>
      </patternFill>
    </fill>
    <fill>
      <patternFill patternType="solid">
        <fgColor theme="2" tint="-0.499984740745262"/>
        <bgColor indexed="64"/>
      </patternFill>
    </fill>
    <fill>
      <patternFill patternType="solid">
        <fgColor theme="1" tint="4.9989318521683403E-2"/>
        <bgColor theme="5" tint="0.59996337778862885"/>
      </patternFill>
    </fill>
    <fill>
      <patternFill patternType="solid">
        <fgColor rgb="FFFFC000"/>
        <bgColor indexed="64"/>
      </patternFill>
    </fill>
    <fill>
      <patternFill patternType="solid">
        <fgColor rgb="FF00B050"/>
        <bgColor indexed="64"/>
      </patternFill>
    </fill>
    <fill>
      <patternFill patternType="solid">
        <fgColor theme="9" tint="-0.249977111117893"/>
        <bgColor indexed="64"/>
      </patternFill>
    </fill>
    <fill>
      <patternFill patternType="solid">
        <fgColor theme="1" tint="0.499984740745262"/>
        <bgColor indexed="64"/>
      </patternFill>
    </fill>
    <fill>
      <patternFill patternType="solid">
        <fgColor theme="1" tint="4.9989318521683403E-2"/>
        <bgColor indexed="64"/>
      </patternFill>
    </fill>
    <fill>
      <patternFill patternType="solid">
        <fgColor theme="1" tint="4.9989318521683403E-2"/>
        <bgColor rgb="FF83CAFF"/>
      </patternFill>
    </fill>
    <fill>
      <patternFill patternType="solid">
        <fgColor theme="1" tint="4.9989318521683403E-2"/>
        <bgColor rgb="FFCCCCCC"/>
      </patternFill>
    </fill>
    <fill>
      <patternFill patternType="solid">
        <fgColor rgb="FFFFC000"/>
        <bgColor theme="5" tint="0.59996337778862885"/>
      </patternFill>
    </fill>
    <fill>
      <patternFill patternType="solid">
        <fgColor theme="6" tint="0.39997558519241921"/>
        <bgColor indexed="64"/>
      </patternFill>
    </fill>
    <fill>
      <patternFill patternType="solid">
        <fgColor theme="0" tint="-0.249977111117893"/>
        <bgColor indexed="64"/>
      </patternFill>
    </fill>
    <fill>
      <patternFill patternType="solid">
        <fgColor rgb="FF0070C0"/>
        <bgColor theme="5" tint="0.59996337778862885"/>
      </patternFill>
    </fill>
    <fill>
      <patternFill patternType="solid">
        <fgColor rgb="FF0070C0"/>
        <bgColor indexed="64"/>
      </patternFill>
    </fill>
    <fill>
      <patternFill patternType="solid">
        <fgColor rgb="FFFFC000"/>
        <bgColor rgb="FFFFFFCC"/>
      </patternFill>
    </fill>
    <fill>
      <patternFill patternType="solid">
        <fgColor theme="7"/>
        <bgColor theme="5" tint="0.59996337778862885"/>
      </patternFill>
    </fill>
    <fill>
      <patternFill patternType="solid">
        <fgColor theme="7"/>
        <bgColor indexed="64"/>
      </patternFill>
    </fill>
    <fill>
      <patternFill patternType="solid">
        <fgColor theme="7" tint="0.39997558519241921"/>
        <bgColor theme="5" tint="0.59996337778862885"/>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9"/>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8" tint="-0.49998474074526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rgb="FFFF0000"/>
        <bgColor indexed="64"/>
      </patternFill>
    </fill>
    <fill>
      <patternFill patternType="solid">
        <fgColor theme="7" tint="0.79998168889431442"/>
        <bgColor indexed="64"/>
      </patternFill>
    </fill>
    <fill>
      <patternFill patternType="solid">
        <fgColor rgb="FF00B050"/>
        <bgColor theme="5" tint="0.59996337778862885"/>
      </patternFill>
    </fill>
    <fill>
      <patternFill patternType="solid">
        <fgColor rgb="FF00B050"/>
        <bgColor rgb="FFFFFFCC"/>
      </patternFill>
    </fill>
    <fill>
      <patternFill patternType="solid">
        <fgColor theme="7" tint="0.59999389629810485"/>
        <bgColor indexed="64"/>
      </patternFill>
    </fill>
    <fill>
      <patternFill patternType="solid">
        <fgColor theme="2" tint="-0.249977111117893"/>
        <bgColor indexed="64"/>
      </patternFill>
    </fill>
  </fills>
  <borders count="146">
    <border>
      <left/>
      <right/>
      <top/>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right style="hair">
        <color indexed="64"/>
      </right>
      <top/>
      <bottom/>
      <diagonal/>
    </border>
    <border>
      <left style="hair">
        <color indexed="64"/>
      </left>
      <right style="hair">
        <color indexed="64"/>
      </right>
      <top/>
      <bottom style="hair">
        <color indexed="64"/>
      </bottom>
      <diagonal/>
    </border>
    <border>
      <left style="hair">
        <color auto="1"/>
      </left>
      <right/>
      <top/>
      <bottom/>
      <diagonal/>
    </border>
    <border>
      <left/>
      <right/>
      <top/>
      <bottom style="hair">
        <color indexed="64"/>
      </bottom>
      <diagonal/>
    </border>
    <border>
      <left style="hair">
        <color auto="1"/>
      </left>
      <right/>
      <top/>
      <bottom style="hair">
        <color auto="1"/>
      </bottom>
      <diagonal/>
    </border>
    <border>
      <left style="dotted">
        <color indexed="64"/>
      </left>
      <right style="hair">
        <color indexed="64"/>
      </right>
      <top style="hair">
        <color indexed="64"/>
      </top>
      <bottom style="hair">
        <color indexed="64"/>
      </bottom>
      <diagonal/>
    </border>
    <border>
      <left style="dotted">
        <color indexed="64"/>
      </left>
      <right style="hair">
        <color indexed="64"/>
      </right>
      <top/>
      <bottom style="hair">
        <color indexed="64"/>
      </bottom>
      <diagonal/>
    </border>
    <border>
      <left style="hair">
        <color indexed="64"/>
      </left>
      <right style="hair">
        <color indexed="64"/>
      </right>
      <top style="dotted">
        <color indexed="64"/>
      </top>
      <bottom/>
      <diagonal/>
    </border>
    <border>
      <left style="dotted">
        <color indexed="64"/>
      </left>
      <right style="hair">
        <color indexed="64"/>
      </right>
      <top style="dotted">
        <color indexed="64"/>
      </top>
      <bottom/>
      <diagonal/>
    </border>
    <border>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hair">
        <color indexed="64"/>
      </left>
      <right style="hair">
        <color indexed="64"/>
      </right>
      <top style="hair">
        <color indexed="64"/>
      </top>
      <bottom/>
      <diagonal/>
    </border>
    <border>
      <left/>
      <right/>
      <top style="hair">
        <color indexed="64"/>
      </top>
      <bottom style="hair">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55"/>
      </left>
      <right style="thin">
        <color indexed="64"/>
      </right>
      <top style="thin">
        <color indexed="8"/>
      </top>
      <bottom style="thin">
        <color indexed="8"/>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hair">
        <color theme="0" tint="-0.499984740745262"/>
      </left>
      <right style="hair">
        <color theme="0" tint="-0.499984740745262"/>
      </right>
      <top style="medium">
        <color theme="0" tint="-0.499984740745262"/>
      </top>
      <bottom style="hair">
        <color theme="0" tint="-0.499984740745262"/>
      </bottom>
      <diagonal/>
    </border>
    <border>
      <left style="hair">
        <color theme="0" tint="-0.499984740745262"/>
      </left>
      <right style="thin">
        <color theme="0" tint="-0.499984740745262"/>
      </right>
      <top style="medium">
        <color theme="0" tint="-0.499984740745262"/>
      </top>
      <bottom style="hair">
        <color theme="0" tint="-0.499984740745262"/>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thin">
        <color theme="0" tint="-0.499984740745262"/>
      </right>
      <top style="hair">
        <color theme="0" tint="-0.499984740745262"/>
      </top>
      <bottom style="hair">
        <color theme="0" tint="-0.499984740745262"/>
      </bottom>
      <diagonal/>
    </border>
    <border>
      <left style="thin">
        <color theme="0" tint="-0.499984740745262"/>
      </left>
      <right style="hair">
        <color theme="0" tint="-0.499984740745262"/>
      </right>
      <top style="hair">
        <color theme="0" tint="-0.499984740745262"/>
      </top>
      <bottom style="thin">
        <color theme="0" tint="-0.499984740745262"/>
      </bottom>
      <diagonal/>
    </border>
    <border>
      <left style="hair">
        <color theme="0" tint="-0.499984740745262"/>
      </left>
      <right style="hair">
        <color theme="0" tint="-0.499984740745262"/>
      </right>
      <top style="hair">
        <color theme="0" tint="-0.499984740745262"/>
      </top>
      <bottom style="thin">
        <color theme="0" tint="-0.499984740745262"/>
      </bottom>
      <diagonal/>
    </border>
    <border>
      <left style="hair">
        <color theme="0" tint="-0.499984740745262"/>
      </left>
      <right style="thin">
        <color theme="0" tint="-0.499984740745262"/>
      </right>
      <top style="hair">
        <color theme="0" tint="-0.499984740745262"/>
      </top>
      <bottom style="thin">
        <color theme="0" tint="-0.499984740745262"/>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dotted">
        <color indexed="64"/>
      </left>
      <right/>
      <top style="dotted">
        <color indexed="64"/>
      </top>
      <bottom style="dotted">
        <color indexed="64"/>
      </bottom>
      <diagonal/>
    </border>
    <border>
      <left style="hair">
        <color indexed="64"/>
      </left>
      <right style="dotted">
        <color indexed="64"/>
      </right>
      <top/>
      <bottom/>
      <diagonal/>
    </border>
    <border>
      <left style="hair">
        <color indexed="64"/>
      </left>
      <right style="dotted">
        <color indexed="64"/>
      </right>
      <top/>
      <bottom style="hair">
        <color indexed="64"/>
      </bottom>
      <diagonal/>
    </border>
    <border>
      <left/>
      <right style="hair">
        <color theme="0" tint="-0.499984740745262"/>
      </right>
      <top style="medium">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hair">
        <color indexed="64"/>
      </left>
      <right/>
      <top style="hair">
        <color indexed="64"/>
      </top>
      <bottom style="dotted">
        <color indexed="64"/>
      </bottom>
      <diagonal/>
    </border>
    <border>
      <left/>
      <right style="hair">
        <color indexed="64"/>
      </right>
      <top style="hair">
        <color indexed="64"/>
      </top>
      <bottom style="dotted">
        <color indexed="64"/>
      </bottom>
      <diagonal/>
    </border>
    <border>
      <left/>
      <right style="hair">
        <color auto="1"/>
      </right>
      <top style="dotted">
        <color indexed="64"/>
      </top>
      <bottom style="dotted">
        <color indexed="64"/>
      </bottom>
      <diagonal/>
    </border>
    <border>
      <left style="medium">
        <color indexed="64"/>
      </left>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diagonal/>
    </border>
    <border>
      <left style="medium">
        <color rgb="FF000000"/>
      </left>
      <right style="medium">
        <color rgb="FF000000"/>
      </right>
      <top style="medium">
        <color rgb="FF000000"/>
      </top>
      <bottom style="medium">
        <color rgb="FF000000"/>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right style="thick">
        <color indexed="8"/>
      </right>
      <top/>
      <bottom/>
      <diagonal/>
    </border>
    <border>
      <left style="hair">
        <color indexed="8"/>
      </left>
      <right/>
      <top style="hair">
        <color indexed="8"/>
      </top>
      <bottom/>
      <diagonal/>
    </border>
    <border>
      <left/>
      <right/>
      <top style="hair">
        <color indexed="8"/>
      </top>
      <bottom/>
      <diagonal/>
    </border>
    <border>
      <left/>
      <right style="hair">
        <color indexed="8"/>
      </right>
      <top style="hair">
        <color indexed="8"/>
      </top>
      <bottom/>
      <diagonal/>
    </border>
    <border>
      <left style="hair">
        <color indexed="8"/>
      </left>
      <right/>
      <top/>
      <bottom/>
      <diagonal/>
    </border>
    <border>
      <left/>
      <right style="hair">
        <color indexed="8"/>
      </right>
      <top/>
      <bottom/>
      <diagonal/>
    </border>
    <border>
      <left/>
      <right/>
      <top style="thin">
        <color indexed="64"/>
      </top>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right style="hair">
        <color auto="1"/>
      </right>
      <top style="hair">
        <color auto="1"/>
      </top>
      <bottom style="hair">
        <color auto="1"/>
      </bottom>
      <diagonal/>
    </border>
    <border>
      <left style="hair">
        <color indexed="64"/>
      </left>
      <right/>
      <top/>
      <bottom/>
      <diagonal/>
    </border>
    <border>
      <left style="hair">
        <color indexed="64"/>
      </left>
      <right/>
      <top/>
      <bottom style="hair">
        <color auto="1"/>
      </bottom>
      <diagonal/>
    </border>
    <border>
      <left/>
      <right style="hair">
        <color auto="1"/>
      </right>
      <top/>
      <bottom style="hair">
        <color auto="1"/>
      </bottom>
      <diagonal/>
    </border>
    <border>
      <left/>
      <right style="hair">
        <color auto="1"/>
      </right>
      <top/>
      <bottom/>
      <diagonal/>
    </border>
    <border>
      <left style="hair">
        <color auto="1"/>
      </left>
      <right style="hair">
        <color auto="1"/>
      </right>
      <top style="hair">
        <color auto="1"/>
      </top>
      <bottom style="hair">
        <color auto="1"/>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style="medium">
        <color indexed="64"/>
      </bottom>
      <diagonal/>
    </border>
    <border>
      <left/>
      <right/>
      <top/>
      <bottom style="hair">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medium">
        <color indexed="64"/>
      </right>
      <top style="medium">
        <color indexed="64"/>
      </top>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top/>
      <bottom style="medium">
        <color indexed="64"/>
      </bottom>
      <diagonal/>
    </border>
    <border>
      <left style="hair">
        <color indexed="64"/>
      </left>
      <right style="medium">
        <color indexed="64"/>
      </right>
      <top/>
      <bottom style="medium">
        <color indexed="64"/>
      </bottom>
      <diagonal/>
    </border>
    <border>
      <left style="hair">
        <color indexed="64"/>
      </left>
      <right/>
      <top style="medium">
        <color indexed="64"/>
      </top>
      <bottom style="medium">
        <color indexed="64"/>
      </bottom>
      <diagonal/>
    </border>
    <border>
      <left style="medium">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auto="1"/>
      </left>
      <right style="hair">
        <color auto="1"/>
      </right>
      <top style="hair">
        <color auto="1"/>
      </top>
      <bottom style="hair">
        <color auto="1"/>
      </bottom>
      <diagonal/>
    </border>
    <border>
      <left style="hair">
        <color indexed="8"/>
      </left>
      <right/>
      <top/>
      <bottom style="hair">
        <color indexed="8"/>
      </bottom>
      <diagonal/>
    </border>
    <border>
      <left/>
      <right/>
      <top/>
      <bottom style="hair">
        <color indexed="8"/>
      </bottom>
      <diagonal/>
    </border>
    <border>
      <left/>
      <right style="hair">
        <color indexed="8"/>
      </right>
      <top/>
      <bottom style="hair">
        <color indexed="8"/>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style="hair">
        <color auto="1"/>
      </top>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right style="thin">
        <color indexed="64"/>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right style="thin">
        <color indexed="64"/>
      </right>
      <top style="thin">
        <color indexed="64"/>
      </top>
      <bottom style="thin">
        <color indexed="64"/>
      </bottom>
      <diagonal/>
    </border>
  </borders>
  <cellStyleXfs count="23">
    <xf numFmtId="0" fontId="0" fillId="0" borderId="0"/>
    <xf numFmtId="164" fontId="1" fillId="0" borderId="0" applyFont="0" applyFill="0" applyBorder="0" applyAlignment="0" applyProtection="0"/>
    <xf numFmtId="0" fontId="3" fillId="2" borderId="2" applyNumberFormat="0">
      <alignment horizontal="center" vertical="center"/>
    </xf>
    <xf numFmtId="0" fontId="5" fillId="4" borderId="2" applyNumberFormat="0">
      <alignment horizontal="center"/>
    </xf>
    <xf numFmtId="0" fontId="3" fillId="5" borderId="2" applyNumberFormat="0">
      <alignment horizontal="center"/>
    </xf>
    <xf numFmtId="0" fontId="6" fillId="6" borderId="2" applyNumberFormat="0">
      <alignment horizontal="center"/>
    </xf>
    <xf numFmtId="2" fontId="5" fillId="9" borderId="2">
      <alignment horizontal="center"/>
    </xf>
    <xf numFmtId="0" fontId="13" fillId="0" borderId="0"/>
    <xf numFmtId="0" fontId="13" fillId="0" borderId="0"/>
    <xf numFmtId="0" fontId="13" fillId="0" borderId="0"/>
    <xf numFmtId="0" fontId="1" fillId="0" borderId="0"/>
    <xf numFmtId="0" fontId="23" fillId="0" borderId="0"/>
    <xf numFmtId="0" fontId="23" fillId="0" borderId="0"/>
    <xf numFmtId="0" fontId="31" fillId="0" borderId="0" applyNumberFormat="0" applyFill="0" applyBorder="0" applyAlignment="0" applyProtection="0">
      <alignment vertical="top"/>
      <protection locked="0"/>
    </xf>
    <xf numFmtId="0" fontId="23" fillId="0" borderId="0"/>
    <xf numFmtId="189" fontId="1" fillId="0" borderId="0" applyFont="0" applyFill="0" applyBorder="0" applyAlignment="0" applyProtection="0"/>
    <xf numFmtId="0" fontId="1" fillId="0" borderId="0"/>
    <xf numFmtId="0" fontId="6" fillId="6" borderId="82" applyNumberFormat="0">
      <alignment horizontal="center"/>
    </xf>
    <xf numFmtId="0" fontId="3" fillId="2" borderId="82" applyNumberFormat="0">
      <alignment horizontal="center" vertical="center"/>
    </xf>
    <xf numFmtId="2" fontId="5" fillId="9" borderId="82">
      <alignment horizontal="center"/>
    </xf>
    <xf numFmtId="9" fontId="1" fillId="0" borderId="0" applyFont="0" applyFill="0" applyBorder="0" applyAlignment="0" applyProtection="0"/>
    <xf numFmtId="0" fontId="3" fillId="2" borderId="127" applyNumberFormat="0">
      <alignment horizontal="center" vertical="center"/>
    </xf>
    <xf numFmtId="0" fontId="5" fillId="4" borderId="127" applyNumberFormat="0">
      <alignment horizontal="center"/>
    </xf>
  </cellStyleXfs>
  <cellXfs count="885">
    <xf numFmtId="0" fontId="0" fillId="0" borderId="0" xfId="0"/>
    <xf numFmtId="0" fontId="0" fillId="0" borderId="0" xfId="0" applyProtection="1">
      <protection hidden="1"/>
    </xf>
    <xf numFmtId="165" fontId="2" fillId="0" borderId="2" xfId="0" applyNumberFormat="1" applyFont="1" applyBorder="1" applyAlignment="1" applyProtection="1">
      <alignment horizontal="center" vertical="center"/>
      <protection hidden="1"/>
    </xf>
    <xf numFmtId="0" fontId="0" fillId="0" borderId="0" xfId="0" applyAlignment="1" applyProtection="1">
      <alignment horizontal="center"/>
      <protection hidden="1"/>
    </xf>
    <xf numFmtId="2" fontId="5" fillId="4" borderId="2" xfId="3" applyNumberFormat="1" applyProtection="1">
      <alignment horizontal="center"/>
      <protection hidden="1"/>
    </xf>
    <xf numFmtId="1" fontId="5" fillId="4" borderId="2" xfId="3" applyNumberFormat="1" applyProtection="1">
      <alignment horizontal="center"/>
      <protection hidden="1"/>
    </xf>
    <xf numFmtId="168" fontId="0" fillId="0" borderId="0" xfId="0" applyNumberFormat="1" applyProtection="1">
      <protection hidden="1"/>
    </xf>
    <xf numFmtId="0" fontId="5" fillId="4" borderId="2" xfId="3" applyAlignment="1" applyProtection="1">
      <alignment horizontal="center" vertical="center"/>
      <protection hidden="1"/>
    </xf>
    <xf numFmtId="2" fontId="5" fillId="9" borderId="2" xfId="6" applyProtection="1">
      <alignment horizontal="center"/>
      <protection hidden="1"/>
    </xf>
    <xf numFmtId="1" fontId="5" fillId="4" borderId="12" xfId="3" applyNumberFormat="1" applyBorder="1" applyProtection="1">
      <alignment horizontal="center"/>
      <protection hidden="1"/>
    </xf>
    <xf numFmtId="0" fontId="0" fillId="0" borderId="0" xfId="0" applyAlignment="1" applyProtection="1">
      <alignment vertical="center"/>
      <protection hidden="1"/>
    </xf>
    <xf numFmtId="0" fontId="4" fillId="3" borderId="2" xfId="2" applyFont="1" applyFill="1" applyProtection="1">
      <alignment horizontal="center" vertical="center"/>
      <protection hidden="1"/>
    </xf>
    <xf numFmtId="0" fontId="6" fillId="6" borderId="18" xfId="5" applyBorder="1" applyAlignment="1" applyProtection="1">
      <alignment horizontal="center" vertical="center"/>
      <protection hidden="1"/>
    </xf>
    <xf numFmtId="0" fontId="4" fillId="3" borderId="16" xfId="2" applyFont="1" applyFill="1" applyBorder="1" applyProtection="1">
      <alignment horizontal="center" vertical="center"/>
      <protection hidden="1"/>
    </xf>
    <xf numFmtId="0" fontId="6" fillId="6" borderId="2" xfId="5" applyProtection="1">
      <alignment horizontal="center"/>
      <protection hidden="1"/>
    </xf>
    <xf numFmtId="0" fontId="26" fillId="0" borderId="0" xfId="7" applyFont="1" applyProtection="1">
      <protection hidden="1"/>
    </xf>
    <xf numFmtId="168" fontId="26" fillId="0" borderId="0" xfId="7" applyNumberFormat="1" applyFont="1" applyProtection="1">
      <protection hidden="1"/>
    </xf>
    <xf numFmtId="0" fontId="27" fillId="0" borderId="0" xfId="7" applyFont="1" applyAlignment="1" applyProtection="1">
      <alignment vertical="center"/>
      <protection hidden="1"/>
    </xf>
    <xf numFmtId="0" fontId="28" fillId="0" borderId="0" xfId="7" applyFont="1" applyAlignment="1" applyProtection="1">
      <alignment horizontal="center"/>
      <protection hidden="1"/>
    </xf>
    <xf numFmtId="1" fontId="14" fillId="0" borderId="16" xfId="7" applyNumberFormat="1" applyFont="1" applyBorder="1" applyAlignment="1" applyProtection="1">
      <alignment horizontal="center" vertical="center"/>
      <protection hidden="1"/>
    </xf>
    <xf numFmtId="1" fontId="14" fillId="0" borderId="0" xfId="7" applyNumberFormat="1" applyFont="1" applyAlignment="1" applyProtection="1">
      <alignment horizontal="center" vertical="center"/>
      <protection hidden="1"/>
    </xf>
    <xf numFmtId="0" fontId="27" fillId="0" borderId="0" xfId="7" applyFont="1" applyAlignment="1" applyProtection="1">
      <alignment horizontal="center" vertical="center"/>
      <protection hidden="1"/>
    </xf>
    <xf numFmtId="176" fontId="27" fillId="0" borderId="0" xfId="7" applyNumberFormat="1" applyFont="1" applyProtection="1">
      <protection hidden="1"/>
    </xf>
    <xf numFmtId="0" fontId="16" fillId="10" borderId="16" xfId="7" applyFont="1" applyFill="1" applyBorder="1" applyAlignment="1" applyProtection="1">
      <alignment horizontal="center" vertical="center"/>
      <protection hidden="1"/>
    </xf>
    <xf numFmtId="177" fontId="27" fillId="0" borderId="0" xfId="7" applyNumberFormat="1" applyFont="1" applyProtection="1">
      <protection hidden="1"/>
    </xf>
    <xf numFmtId="178" fontId="27" fillId="0" borderId="0" xfId="7" applyNumberFormat="1" applyFont="1" applyProtection="1">
      <protection hidden="1"/>
    </xf>
    <xf numFmtId="1" fontId="27" fillId="0" borderId="0" xfId="7" applyNumberFormat="1" applyFont="1" applyAlignment="1" applyProtection="1">
      <alignment horizontal="center" vertical="center"/>
      <protection hidden="1"/>
    </xf>
    <xf numFmtId="179" fontId="27" fillId="0" borderId="0" xfId="7" applyNumberFormat="1" applyFont="1" applyProtection="1">
      <protection hidden="1"/>
    </xf>
    <xf numFmtId="180" fontId="27" fillId="0" borderId="0" xfId="7" applyNumberFormat="1" applyFont="1" applyProtection="1">
      <protection hidden="1"/>
    </xf>
    <xf numFmtId="181" fontId="27" fillId="0" borderId="0" xfId="7" applyNumberFormat="1" applyFont="1" applyProtection="1">
      <protection hidden="1"/>
    </xf>
    <xf numFmtId="1" fontId="26" fillId="0" borderId="0" xfId="7" applyNumberFormat="1" applyFont="1" applyProtection="1">
      <protection hidden="1"/>
    </xf>
    <xf numFmtId="182" fontId="27" fillId="0" borderId="0" xfId="7" applyNumberFormat="1" applyFont="1" applyProtection="1">
      <protection hidden="1"/>
    </xf>
    <xf numFmtId="183" fontId="27" fillId="0" borderId="0" xfId="7" applyNumberFormat="1" applyFont="1" applyProtection="1">
      <protection hidden="1"/>
    </xf>
    <xf numFmtId="0" fontId="26" fillId="0" borderId="0" xfId="7" applyFont="1" applyAlignment="1" applyProtection="1">
      <alignment horizontal="center"/>
      <protection hidden="1"/>
    </xf>
    <xf numFmtId="168" fontId="27" fillId="0" borderId="0" xfId="7" applyNumberFormat="1" applyFont="1" applyAlignment="1" applyProtection="1">
      <alignment horizontal="center"/>
      <protection hidden="1"/>
    </xf>
    <xf numFmtId="0" fontId="27" fillId="0" borderId="0" xfId="7" applyFont="1" applyAlignment="1" applyProtection="1">
      <alignment horizontal="center"/>
      <protection hidden="1"/>
    </xf>
    <xf numFmtId="0" fontId="17" fillId="3" borderId="2" xfId="2" applyFont="1" applyFill="1" applyProtection="1">
      <alignment horizontal="center" vertical="center"/>
      <protection hidden="1"/>
    </xf>
    <xf numFmtId="0" fontId="24" fillId="0" borderId="0" xfId="0" applyFont="1" applyProtection="1">
      <protection hidden="1"/>
    </xf>
    <xf numFmtId="0" fontId="25" fillId="0" borderId="0" xfId="0" applyFont="1" applyProtection="1">
      <protection hidden="1"/>
    </xf>
    <xf numFmtId="0" fontId="29" fillId="0" borderId="0" xfId="0" applyFont="1" applyProtection="1">
      <protection hidden="1"/>
    </xf>
    <xf numFmtId="0" fontId="29" fillId="0" borderId="0" xfId="0" applyFont="1" applyAlignment="1" applyProtection="1">
      <alignment horizontal="center"/>
      <protection hidden="1"/>
    </xf>
    <xf numFmtId="170" fontId="5" fillId="0" borderId="2" xfId="6" applyNumberFormat="1" applyFill="1" applyProtection="1">
      <alignment horizontal="center"/>
      <protection hidden="1"/>
    </xf>
    <xf numFmtId="2" fontId="5" fillId="0" borderId="2" xfId="6" applyFill="1" applyProtection="1">
      <alignment horizontal="center"/>
      <protection hidden="1"/>
    </xf>
    <xf numFmtId="2" fontId="5" fillId="0" borderId="2" xfId="3" applyNumberFormat="1" applyFill="1" applyProtection="1">
      <alignment horizontal="center"/>
      <protection hidden="1"/>
    </xf>
    <xf numFmtId="0" fontId="38" fillId="17" borderId="14" xfId="5" applyFont="1" applyFill="1" applyBorder="1" applyAlignment="1" applyProtection="1">
      <alignment horizontal="center" vertical="center"/>
      <protection hidden="1"/>
    </xf>
    <xf numFmtId="1" fontId="39" fillId="4" borderId="2" xfId="3" applyNumberFormat="1" applyFont="1" applyProtection="1">
      <alignment horizontal="center"/>
      <protection hidden="1"/>
    </xf>
    <xf numFmtId="0" fontId="3" fillId="0" borderId="2" xfId="2" applyFill="1" applyProtection="1">
      <alignment horizontal="center" vertical="center"/>
      <protection hidden="1"/>
    </xf>
    <xf numFmtId="0" fontId="29" fillId="0" borderId="0" xfId="0" applyFont="1" applyAlignment="1" applyProtection="1">
      <alignment horizontal="center" vertical="center"/>
      <protection hidden="1"/>
    </xf>
    <xf numFmtId="0" fontId="34" fillId="0" borderId="0" xfId="0" applyFont="1" applyAlignment="1" applyProtection="1">
      <alignment horizontal="center" vertical="center"/>
      <protection hidden="1"/>
    </xf>
    <xf numFmtId="0" fontId="29" fillId="0" borderId="16" xfId="0" applyFont="1" applyBorder="1" applyAlignment="1" applyProtection="1">
      <alignment horizontal="center" vertical="center"/>
      <protection hidden="1"/>
    </xf>
    <xf numFmtId="0" fontId="13" fillId="0" borderId="0" xfId="8" applyProtection="1">
      <protection hidden="1"/>
    </xf>
    <xf numFmtId="1" fontId="36" fillId="0" borderId="0" xfId="8" applyNumberFormat="1" applyFont="1" applyAlignment="1" applyProtection="1">
      <alignment vertical="center" wrapText="1"/>
      <protection hidden="1"/>
    </xf>
    <xf numFmtId="0" fontId="29" fillId="0" borderId="0" xfId="10" applyFont="1" applyAlignment="1" applyProtection="1">
      <alignment horizontal="center" vertical="center"/>
      <protection hidden="1"/>
    </xf>
    <xf numFmtId="0" fontId="29" fillId="0" borderId="27" xfId="0" applyFont="1" applyBorder="1" applyAlignment="1" applyProtection="1">
      <alignment horizontal="center"/>
      <protection hidden="1"/>
    </xf>
    <xf numFmtId="186" fontId="43" fillId="0" borderId="31" xfId="0" applyNumberFormat="1" applyFont="1" applyBorder="1" applyProtection="1">
      <protection hidden="1"/>
    </xf>
    <xf numFmtId="3" fontId="43" fillId="0" borderId="32" xfId="0" applyNumberFormat="1" applyFont="1" applyBorder="1" applyProtection="1">
      <protection hidden="1"/>
    </xf>
    <xf numFmtId="186" fontId="43" fillId="0" borderId="33" xfId="0" applyNumberFormat="1" applyFont="1" applyBorder="1" applyProtection="1">
      <protection hidden="1"/>
    </xf>
    <xf numFmtId="186" fontId="43" fillId="0" borderId="34" xfId="0" applyNumberFormat="1" applyFont="1" applyBorder="1" applyProtection="1">
      <protection hidden="1"/>
    </xf>
    <xf numFmtId="3" fontId="43" fillId="0" borderId="35" xfId="0" applyNumberFormat="1" applyFont="1" applyBorder="1" applyProtection="1">
      <protection hidden="1"/>
    </xf>
    <xf numFmtId="0" fontId="0" fillId="0" borderId="5" xfId="0" applyBorder="1" applyAlignment="1" applyProtection="1">
      <alignment vertical="center"/>
      <protection hidden="1"/>
    </xf>
    <xf numFmtId="0" fontId="18" fillId="8" borderId="6" xfId="0" applyFont="1" applyFill="1" applyBorder="1" applyAlignment="1" applyProtection="1">
      <alignment horizontal="center" vertical="center"/>
      <protection locked="0" hidden="1"/>
    </xf>
    <xf numFmtId="1" fontId="3" fillId="5" borderId="2" xfId="4" applyNumberFormat="1" applyProtection="1">
      <alignment horizontal="center"/>
      <protection locked="0" hidden="1"/>
    </xf>
    <xf numFmtId="0" fontId="3" fillId="5" borderId="2" xfId="4" applyProtection="1">
      <alignment horizontal="center"/>
      <protection locked="0" hidden="1"/>
    </xf>
    <xf numFmtId="0" fontId="4" fillId="0" borderId="0" xfId="2" applyFont="1" applyFill="1" applyBorder="1" applyProtection="1">
      <alignment horizontal="center" vertical="center"/>
      <protection hidden="1"/>
    </xf>
    <xf numFmtId="1" fontId="15" fillId="8" borderId="12" xfId="7" applyNumberFormat="1" applyFont="1" applyFill="1" applyBorder="1" applyAlignment="1" applyProtection="1">
      <alignment horizontal="center" vertical="center"/>
      <protection hidden="1"/>
    </xf>
    <xf numFmtId="1" fontId="15" fillId="8" borderId="38" xfId="7" applyNumberFormat="1" applyFont="1" applyFill="1" applyBorder="1" applyAlignment="1" applyProtection="1">
      <alignment horizontal="center" vertical="center"/>
      <protection hidden="1"/>
    </xf>
    <xf numFmtId="1" fontId="5" fillId="4" borderId="2" xfId="3" applyNumberFormat="1" applyAlignment="1" applyProtection="1">
      <alignment horizontal="center" vertical="center"/>
      <protection hidden="1"/>
    </xf>
    <xf numFmtId="0" fontId="5" fillId="4" borderId="16" xfId="3" applyBorder="1" applyProtection="1">
      <alignment horizontal="center"/>
      <protection hidden="1"/>
    </xf>
    <xf numFmtId="1" fontId="5" fillId="4" borderId="16" xfId="3" applyNumberFormat="1" applyBorder="1" applyProtection="1">
      <alignment horizontal="center"/>
      <protection hidden="1"/>
    </xf>
    <xf numFmtId="2" fontId="5" fillId="4" borderId="16" xfId="3" applyNumberFormat="1" applyBorder="1" applyProtection="1">
      <alignment horizontal="center"/>
      <protection hidden="1"/>
    </xf>
    <xf numFmtId="186" fontId="43" fillId="0" borderId="43" xfId="0" applyNumberFormat="1" applyFont="1" applyBorder="1" applyProtection="1">
      <protection hidden="1"/>
    </xf>
    <xf numFmtId="1" fontId="39" fillId="4" borderId="18" xfId="3" applyNumberFormat="1" applyFont="1" applyBorder="1" applyProtection="1">
      <alignment horizontal="center"/>
      <protection hidden="1"/>
    </xf>
    <xf numFmtId="0" fontId="8" fillId="7" borderId="37" xfId="2" applyFont="1" applyFill="1" applyBorder="1" applyProtection="1">
      <alignment horizontal="center" vertical="center"/>
      <protection hidden="1"/>
    </xf>
    <xf numFmtId="0" fontId="41" fillId="8" borderId="37" xfId="0" applyFont="1" applyFill="1" applyBorder="1" applyProtection="1">
      <protection hidden="1"/>
    </xf>
    <xf numFmtId="0" fontId="43" fillId="0" borderId="42" xfId="0" applyFont="1" applyBorder="1" applyAlignment="1" applyProtection="1">
      <alignment horizontal="center"/>
      <protection hidden="1"/>
    </xf>
    <xf numFmtId="0" fontId="43" fillId="0" borderId="29" xfId="0" applyFont="1" applyBorder="1" applyAlignment="1" applyProtection="1">
      <alignment horizontal="center"/>
      <protection hidden="1"/>
    </xf>
    <xf numFmtId="173" fontId="43" fillId="0" borderId="30" xfId="0" applyNumberFormat="1" applyFont="1" applyBorder="1" applyAlignment="1" applyProtection="1">
      <alignment horizontal="center"/>
      <protection hidden="1"/>
    </xf>
    <xf numFmtId="1" fontId="3" fillId="5" borderId="13" xfId="4" applyNumberFormat="1" applyBorder="1" applyAlignment="1" applyProtection="1">
      <alignment horizontal="center" vertical="center"/>
      <protection hidden="1"/>
    </xf>
    <xf numFmtId="0" fontId="20" fillId="5" borderId="2" xfId="4" applyFont="1" applyProtection="1">
      <alignment horizontal="center"/>
      <protection locked="0" hidden="1"/>
    </xf>
    <xf numFmtId="1" fontId="3" fillId="5" borderId="13" xfId="4" applyNumberFormat="1" applyBorder="1" applyProtection="1">
      <alignment horizontal="center"/>
      <protection locked="0" hidden="1"/>
    </xf>
    <xf numFmtId="0" fontId="3" fillId="5" borderId="4" xfId="4" applyBorder="1" applyAlignment="1" applyProtection="1">
      <alignment horizontal="center" vertical="center"/>
      <protection locked="0" hidden="1"/>
    </xf>
    <xf numFmtId="0" fontId="3" fillId="5" borderId="18" xfId="4" applyBorder="1" applyProtection="1">
      <alignment horizontal="center"/>
      <protection locked="0" hidden="1"/>
    </xf>
    <xf numFmtId="0" fontId="3" fillId="5" borderId="2" xfId="4" applyAlignment="1" applyProtection="1">
      <alignment horizontal="center" vertical="center"/>
      <protection locked="0" hidden="1"/>
    </xf>
    <xf numFmtId="0" fontId="3" fillId="18" borderId="2" xfId="4" applyFill="1" applyAlignment="1" applyProtection="1">
      <alignment horizontal="center" vertical="center"/>
      <protection locked="0" hidden="1"/>
    </xf>
    <xf numFmtId="170" fontId="6" fillId="24" borderId="2" xfId="5" applyNumberFormat="1" applyFill="1" applyProtection="1">
      <alignment horizontal="center"/>
      <protection hidden="1"/>
    </xf>
    <xf numFmtId="0" fontId="30" fillId="15" borderId="0" xfId="12" applyFont="1" applyFill="1" applyAlignment="1" applyProtection="1">
      <alignment horizontal="center" vertical="center"/>
      <protection hidden="1"/>
    </xf>
    <xf numFmtId="0" fontId="30" fillId="15" borderId="23" xfId="12" applyFont="1" applyFill="1" applyBorder="1" applyAlignment="1" applyProtection="1">
      <alignment horizontal="center" vertical="center"/>
      <protection hidden="1"/>
    </xf>
    <xf numFmtId="0" fontId="0" fillId="11" borderId="0" xfId="0" applyFill="1" applyAlignment="1" applyProtection="1">
      <alignment horizontal="center"/>
      <protection hidden="1"/>
    </xf>
    <xf numFmtId="2" fontId="32" fillId="16" borderId="20" xfId="13" applyNumberFormat="1" applyFont="1" applyFill="1" applyBorder="1" applyAlignment="1" applyProtection="1">
      <alignment horizontal="center" vertical="center"/>
      <protection hidden="1"/>
    </xf>
    <xf numFmtId="0" fontId="32" fillId="16" borderId="0" xfId="13" applyFont="1" applyFill="1" applyBorder="1" applyAlignment="1" applyProtection="1">
      <alignment horizontal="center" vertical="center"/>
      <protection hidden="1"/>
    </xf>
    <xf numFmtId="1" fontId="33" fillId="16" borderId="24" xfId="12" applyNumberFormat="1" applyFont="1" applyFill="1" applyBorder="1" applyAlignment="1" applyProtection="1">
      <alignment horizontal="center" vertical="center"/>
      <protection hidden="1"/>
    </xf>
    <xf numFmtId="1" fontId="33" fillId="16" borderId="16" xfId="12" applyNumberFormat="1" applyFont="1" applyFill="1" applyBorder="1" applyAlignment="1" applyProtection="1">
      <alignment horizontal="center" vertical="center"/>
      <protection hidden="1"/>
    </xf>
    <xf numFmtId="1" fontId="33" fillId="16" borderId="16" xfId="11" applyNumberFormat="1" applyFont="1" applyFill="1" applyBorder="1" applyAlignment="1" applyProtection="1">
      <alignment horizontal="center" vertical="center"/>
      <protection hidden="1"/>
    </xf>
    <xf numFmtId="184" fontId="33" fillId="16" borderId="16" xfId="12" applyNumberFormat="1" applyFont="1" applyFill="1" applyBorder="1" applyAlignment="1" applyProtection="1">
      <alignment horizontal="center" vertical="center"/>
      <protection hidden="1"/>
    </xf>
    <xf numFmtId="184" fontId="33" fillId="16" borderId="16" xfId="14" applyNumberFormat="1" applyFont="1" applyFill="1" applyBorder="1" applyAlignment="1" applyProtection="1">
      <alignment horizontal="center" vertical="center"/>
      <protection hidden="1"/>
    </xf>
    <xf numFmtId="0" fontId="0" fillId="4" borderId="0" xfId="0" applyFill="1" applyAlignment="1" applyProtection="1">
      <alignment horizontal="center"/>
      <protection hidden="1"/>
    </xf>
    <xf numFmtId="0" fontId="50" fillId="8" borderId="0" xfId="0" applyFont="1" applyFill="1" applyAlignment="1" applyProtection="1">
      <alignment horizontal="center"/>
      <protection hidden="1"/>
    </xf>
    <xf numFmtId="0" fontId="0" fillId="23" borderId="0" xfId="0" applyFill="1" applyAlignment="1" applyProtection="1">
      <alignment horizontal="center"/>
      <protection hidden="1"/>
    </xf>
    <xf numFmtId="0" fontId="0" fillId="22" borderId="16" xfId="0" applyFill="1" applyBorder="1" applyAlignment="1" applyProtection="1">
      <alignment horizontal="center"/>
      <protection hidden="1"/>
    </xf>
    <xf numFmtId="0" fontId="0" fillId="11" borderId="16" xfId="0" applyFill="1" applyBorder="1" applyAlignment="1" applyProtection="1">
      <alignment horizontal="center"/>
      <protection hidden="1"/>
    </xf>
    <xf numFmtId="0" fontId="0" fillId="16" borderId="0" xfId="0" applyFill="1" applyAlignment="1" applyProtection="1">
      <alignment horizontal="center" vertical="center"/>
      <protection hidden="1"/>
    </xf>
    <xf numFmtId="0" fontId="0" fillId="0" borderId="0" xfId="0" applyAlignment="1" applyProtection="1">
      <alignment horizontal="center" vertical="center"/>
      <protection hidden="1"/>
    </xf>
    <xf numFmtId="0" fontId="52" fillId="25" borderId="55" xfId="0" applyFont="1" applyFill="1" applyBorder="1" applyAlignment="1" applyProtection="1">
      <alignment horizontal="center" vertical="center"/>
      <protection hidden="1"/>
    </xf>
    <xf numFmtId="0" fontId="52" fillId="25" borderId="16" xfId="0" applyFont="1" applyFill="1" applyBorder="1" applyAlignment="1" applyProtection="1">
      <alignment horizontal="center" vertical="center"/>
      <protection hidden="1"/>
    </xf>
    <xf numFmtId="0" fontId="0" fillId="27" borderId="16" xfId="0" applyFill="1" applyBorder="1" applyAlignment="1" applyProtection="1">
      <alignment horizontal="center" vertical="center"/>
      <protection hidden="1"/>
    </xf>
    <xf numFmtId="0" fontId="52" fillId="28" borderId="59" xfId="0" applyFont="1" applyFill="1" applyBorder="1" applyAlignment="1" applyProtection="1">
      <alignment horizontal="center" vertical="center"/>
      <protection hidden="1"/>
    </xf>
    <xf numFmtId="0" fontId="0" fillId="27" borderId="21" xfId="0" applyFill="1" applyBorder="1" applyAlignment="1" applyProtection="1">
      <alignment horizontal="center" vertical="center"/>
      <protection hidden="1"/>
    </xf>
    <xf numFmtId="0" fontId="52" fillId="28" borderId="55" xfId="0" applyFont="1" applyFill="1" applyBorder="1" applyAlignment="1" applyProtection="1">
      <alignment horizontal="center" vertical="center"/>
      <protection hidden="1"/>
    </xf>
    <xf numFmtId="170" fontId="0" fillId="27" borderId="16" xfId="0" applyNumberFormat="1" applyFill="1" applyBorder="1" applyAlignment="1" applyProtection="1">
      <alignment horizontal="center" vertical="center"/>
      <protection hidden="1"/>
    </xf>
    <xf numFmtId="1" fontId="5" fillId="4" borderId="4" xfId="3" applyNumberFormat="1" applyBorder="1" applyAlignment="1" applyProtection="1">
      <alignment horizontal="center" vertical="center"/>
      <protection hidden="1"/>
    </xf>
    <xf numFmtId="0" fontId="50" fillId="8" borderId="0" xfId="0" applyFont="1" applyFill="1" applyAlignment="1" applyProtection="1">
      <alignment horizontal="center" vertical="center"/>
      <protection hidden="1"/>
    </xf>
    <xf numFmtId="166" fontId="51" fillId="4" borderId="2" xfId="3" applyNumberFormat="1" applyFont="1" applyAlignment="1" applyProtection="1">
      <alignment horizontal="center" vertical="center"/>
      <protection hidden="1"/>
    </xf>
    <xf numFmtId="0" fontId="65" fillId="4" borderId="2" xfId="3" applyFont="1" applyAlignment="1" applyProtection="1">
      <alignment horizontal="center" vertical="center"/>
      <protection hidden="1"/>
    </xf>
    <xf numFmtId="167" fontId="65" fillId="4" borderId="2" xfId="3" applyNumberFormat="1" applyFont="1" applyAlignment="1" applyProtection="1">
      <alignment horizontal="center" vertical="center" wrapText="1" shrinkToFit="1"/>
      <protection hidden="1"/>
    </xf>
    <xf numFmtId="166" fontId="65" fillId="4" borderId="2" xfId="3" applyNumberFormat="1" applyFont="1" applyAlignment="1" applyProtection="1">
      <alignment horizontal="center" vertical="center"/>
      <protection hidden="1"/>
    </xf>
    <xf numFmtId="188" fontId="42" fillId="4" borderId="2" xfId="3" applyNumberFormat="1" applyFont="1" applyAlignment="1" applyProtection="1">
      <alignment horizontal="center" vertical="center"/>
      <protection hidden="1"/>
    </xf>
    <xf numFmtId="185" fontId="64" fillId="5" borderId="2" xfId="4" applyNumberFormat="1" applyFont="1" applyAlignment="1" applyProtection="1">
      <alignment horizontal="center" vertical="center"/>
      <protection locked="0" hidden="1"/>
    </xf>
    <xf numFmtId="1" fontId="66" fillId="4" borderId="2" xfId="3" applyNumberFormat="1" applyFont="1" applyAlignment="1" applyProtection="1">
      <alignment horizontal="center" vertical="center"/>
      <protection hidden="1"/>
    </xf>
    <xf numFmtId="0" fontId="4" fillId="0" borderId="16" xfId="2" applyFont="1" applyFill="1" applyBorder="1" applyProtection="1">
      <alignment horizontal="center" vertical="center"/>
      <protection hidden="1"/>
    </xf>
    <xf numFmtId="0" fontId="55" fillId="0" borderId="0" xfId="0" applyFont="1" applyAlignment="1" applyProtection="1">
      <alignment vertical="center"/>
      <protection hidden="1"/>
    </xf>
    <xf numFmtId="0" fontId="60" fillId="0" borderId="0" xfId="0" applyFont="1" applyAlignment="1" applyProtection="1">
      <alignment vertical="center" wrapText="1"/>
      <protection hidden="1"/>
    </xf>
    <xf numFmtId="0" fontId="0" fillId="0" borderId="58" xfId="0" applyBorder="1" applyAlignment="1" applyProtection="1">
      <alignment horizontal="center" vertical="center"/>
      <protection hidden="1"/>
    </xf>
    <xf numFmtId="0" fontId="0" fillId="0" borderId="57" xfId="0" applyBorder="1" applyAlignment="1" applyProtection="1">
      <alignment horizontal="center" vertical="center"/>
      <protection hidden="1"/>
    </xf>
    <xf numFmtId="0" fontId="0" fillId="0" borderId="16" xfId="0" applyBorder="1" applyAlignment="1" applyProtection="1">
      <alignment horizontal="center" vertical="center"/>
      <protection hidden="1"/>
    </xf>
    <xf numFmtId="166" fontId="5" fillId="0" borderId="2" xfId="3" applyNumberFormat="1" applyFill="1" applyAlignment="1" applyProtection="1">
      <alignment horizontal="center" vertical="center"/>
      <protection hidden="1"/>
    </xf>
    <xf numFmtId="172" fontId="0" fillId="30" borderId="3" xfId="0" applyNumberFormat="1" applyFill="1" applyBorder="1" applyAlignment="1" applyProtection="1">
      <alignment horizontal="center" vertical="center"/>
      <protection hidden="1"/>
    </xf>
    <xf numFmtId="0" fontId="56" fillId="16" borderId="2" xfId="0" applyFont="1" applyFill="1" applyBorder="1" applyAlignment="1" applyProtection="1">
      <alignment horizontal="center" vertical="center"/>
      <protection hidden="1"/>
    </xf>
    <xf numFmtId="0" fontId="57" fillId="16" borderId="2" xfId="0" applyFont="1" applyFill="1" applyBorder="1" applyAlignment="1" applyProtection="1">
      <alignment horizontal="center" vertical="center"/>
      <protection hidden="1"/>
    </xf>
    <xf numFmtId="0" fontId="59" fillId="4" borderId="2" xfId="0" applyFont="1" applyFill="1" applyBorder="1" applyAlignment="1" applyProtection="1">
      <alignment horizontal="center" vertical="center"/>
      <protection hidden="1"/>
    </xf>
    <xf numFmtId="0" fontId="0" fillId="0" borderId="53" xfId="0" applyBorder="1" applyAlignment="1" applyProtection="1">
      <alignment horizontal="center" vertical="center"/>
      <protection hidden="1"/>
    </xf>
    <xf numFmtId="0" fontId="0" fillId="0" borderId="54" xfId="0" applyBorder="1" applyAlignment="1" applyProtection="1">
      <alignment horizontal="center" vertical="center"/>
      <protection hidden="1"/>
    </xf>
    <xf numFmtId="0" fontId="0" fillId="0" borderId="56" xfId="0" applyBorder="1" applyAlignment="1" applyProtection="1">
      <alignment horizontal="center" vertical="center"/>
      <protection hidden="1"/>
    </xf>
    <xf numFmtId="0" fontId="0" fillId="0" borderId="16" xfId="0" applyBorder="1" applyAlignment="1" applyProtection="1">
      <alignment vertical="center"/>
      <protection hidden="1"/>
    </xf>
    <xf numFmtId="2" fontId="0" fillId="0" borderId="0" xfId="0" applyNumberFormat="1" applyAlignment="1" applyProtection="1">
      <alignment horizontal="center" vertical="center"/>
      <protection hidden="1"/>
    </xf>
    <xf numFmtId="190" fontId="67" fillId="11" borderId="12" xfId="0" applyNumberFormat="1" applyFont="1" applyFill="1" applyBorder="1" applyAlignment="1" applyProtection="1">
      <alignment horizontal="center" vertical="center"/>
      <protection hidden="1"/>
    </xf>
    <xf numFmtId="184" fontId="0" fillId="0" borderId="0" xfId="0" applyNumberFormat="1" applyAlignment="1" applyProtection="1">
      <alignment horizontal="center" vertical="center"/>
      <protection hidden="1"/>
    </xf>
    <xf numFmtId="165" fontId="0" fillId="0" borderId="0" xfId="0" applyNumberFormat="1" applyAlignment="1" applyProtection="1">
      <alignment horizontal="center" vertical="center"/>
      <protection hidden="1"/>
    </xf>
    <xf numFmtId="2" fontId="52" fillId="26" borderId="16" xfId="0" applyNumberFormat="1" applyFont="1" applyFill="1" applyBorder="1" applyAlignment="1" applyProtection="1">
      <alignment horizontal="center" vertical="center"/>
      <protection hidden="1"/>
    </xf>
    <xf numFmtId="0" fontId="63" fillId="0" borderId="0" xfId="0" applyFont="1" applyProtection="1">
      <protection hidden="1"/>
    </xf>
    <xf numFmtId="0" fontId="68" fillId="0" borderId="61" xfId="0" applyFont="1" applyBorder="1" applyAlignment="1" applyProtection="1">
      <alignment horizontal="center" vertical="center" readingOrder="1"/>
      <protection hidden="1"/>
    </xf>
    <xf numFmtId="0" fontId="5" fillId="4" borderId="2" xfId="3" applyProtection="1">
      <alignment horizontal="center"/>
      <protection hidden="1"/>
    </xf>
    <xf numFmtId="0" fontId="45" fillId="8" borderId="2" xfId="3" applyFont="1" applyFill="1" applyAlignment="1" applyProtection="1">
      <alignment horizontal="center" vertical="center"/>
      <protection hidden="1"/>
    </xf>
    <xf numFmtId="185" fontId="45" fillId="8" borderId="2" xfId="0" applyNumberFormat="1" applyFont="1" applyFill="1" applyBorder="1" applyAlignment="1" applyProtection="1">
      <alignment horizontal="center" vertical="center"/>
      <protection hidden="1"/>
    </xf>
    <xf numFmtId="0" fontId="3" fillId="5" borderId="2" xfId="4" applyNumberFormat="1" applyAlignment="1" applyProtection="1">
      <alignment horizontal="center" vertical="center"/>
      <protection locked="0" hidden="1"/>
    </xf>
    <xf numFmtId="0" fontId="10" fillId="7" borderId="2" xfId="2" applyFont="1" applyFill="1" applyProtection="1">
      <alignment horizontal="center" vertical="center"/>
      <protection hidden="1"/>
    </xf>
    <xf numFmtId="0" fontId="3" fillId="19" borderId="2" xfId="4" applyNumberFormat="1" applyFill="1" applyAlignment="1" applyProtection="1">
      <alignment horizontal="center" vertical="center"/>
      <protection hidden="1"/>
    </xf>
    <xf numFmtId="1" fontId="5" fillId="8" borderId="2" xfId="3" applyNumberFormat="1" applyFill="1" applyAlignment="1" applyProtection="1">
      <alignment horizontal="center" vertical="center"/>
      <protection hidden="1"/>
    </xf>
    <xf numFmtId="0" fontId="67" fillId="0" borderId="0" xfId="0" applyFont="1" applyAlignment="1" applyProtection="1">
      <alignment vertical="center"/>
      <protection hidden="1"/>
    </xf>
    <xf numFmtId="0" fontId="0" fillId="32" borderId="0" xfId="0" applyFill="1" applyAlignment="1" applyProtection="1">
      <alignment horizontal="center" vertical="center"/>
      <protection hidden="1"/>
    </xf>
    <xf numFmtId="1" fontId="0" fillId="16" borderId="0" xfId="0" applyNumberFormat="1" applyFill="1" applyAlignment="1" applyProtection="1">
      <alignment horizontal="center" vertical="center"/>
      <protection hidden="1"/>
    </xf>
    <xf numFmtId="0" fontId="4" fillId="21" borderId="16" xfId="2" applyFont="1" applyFill="1" applyBorder="1" applyAlignment="1" applyProtection="1">
      <alignment vertical="center"/>
      <protection hidden="1"/>
    </xf>
    <xf numFmtId="0" fontId="0" fillId="33" borderId="0" xfId="0" applyFill="1" applyAlignment="1" applyProtection="1">
      <alignment horizontal="center" vertical="center"/>
      <protection hidden="1"/>
    </xf>
    <xf numFmtId="0" fontId="0" fillId="0" borderId="28" xfId="0" applyBorder="1" applyAlignment="1" applyProtection="1">
      <alignment horizontal="center" vertical="center"/>
      <protection hidden="1"/>
    </xf>
    <xf numFmtId="0" fontId="71" fillId="0" borderId="53" xfId="0" applyFont="1" applyBorder="1" applyAlignment="1" applyProtection="1">
      <alignment horizontal="center" vertical="center" wrapText="1"/>
      <protection hidden="1"/>
    </xf>
    <xf numFmtId="0" fontId="0" fillId="0" borderId="62" xfId="0" applyBorder="1" applyAlignment="1" applyProtection="1">
      <alignment horizontal="center" vertical="center"/>
      <protection hidden="1"/>
    </xf>
    <xf numFmtId="0" fontId="71" fillId="0" borderId="46" xfId="0" applyFont="1" applyBorder="1" applyAlignment="1" applyProtection="1">
      <alignment horizontal="center" vertical="center" wrapText="1"/>
      <protection hidden="1"/>
    </xf>
    <xf numFmtId="0" fontId="0" fillId="0" borderId="63" xfId="0" applyBorder="1" applyAlignment="1" applyProtection="1">
      <alignment horizontal="center" vertical="center"/>
      <protection hidden="1"/>
    </xf>
    <xf numFmtId="0" fontId="0" fillId="0" borderId="64" xfId="0" applyBorder="1" applyAlignment="1" applyProtection="1">
      <alignment horizontal="center" vertical="center"/>
      <protection hidden="1"/>
    </xf>
    <xf numFmtId="0" fontId="0" fillId="0" borderId="65" xfId="0" applyBorder="1" applyAlignment="1" applyProtection="1">
      <alignment horizontal="center" vertical="center"/>
      <protection hidden="1"/>
    </xf>
    <xf numFmtId="0" fontId="0" fillId="0" borderId="66" xfId="0" applyBorder="1" applyAlignment="1" applyProtection="1">
      <alignment horizontal="center" vertical="center"/>
      <protection hidden="1"/>
    </xf>
    <xf numFmtId="0" fontId="0" fillId="0" borderId="67" xfId="0" applyBorder="1" applyAlignment="1" applyProtection="1">
      <alignment horizontal="center" vertical="center"/>
      <protection hidden="1"/>
    </xf>
    <xf numFmtId="0" fontId="0" fillId="0" borderId="22" xfId="0" applyBorder="1" applyAlignment="1" applyProtection="1">
      <alignment horizontal="center" vertical="center"/>
      <protection hidden="1"/>
    </xf>
    <xf numFmtId="0" fontId="0" fillId="14" borderId="0" xfId="0" applyFill="1" applyAlignment="1" applyProtection="1">
      <alignment horizontal="center" vertical="center"/>
      <protection hidden="1"/>
    </xf>
    <xf numFmtId="0" fontId="72" fillId="8" borderId="5" xfId="0" applyFont="1" applyFill="1" applyBorder="1" applyAlignment="1" applyProtection="1">
      <alignment horizontal="center" vertical="center"/>
      <protection hidden="1"/>
    </xf>
    <xf numFmtId="0" fontId="62" fillId="8" borderId="5" xfId="0" applyFont="1" applyFill="1" applyBorder="1" applyAlignment="1" applyProtection="1">
      <alignment horizontal="center" vertical="center"/>
      <protection hidden="1"/>
    </xf>
    <xf numFmtId="0" fontId="73" fillId="8" borderId="5" xfId="0" applyFont="1" applyFill="1" applyBorder="1" applyAlignment="1" applyProtection="1">
      <alignment horizontal="center" vertical="center"/>
      <protection hidden="1"/>
    </xf>
    <xf numFmtId="0" fontId="59" fillId="32" borderId="2" xfId="0" applyFont="1" applyFill="1" applyBorder="1" applyAlignment="1" applyProtection="1">
      <alignment horizontal="center" vertical="center"/>
      <protection hidden="1"/>
    </xf>
    <xf numFmtId="0" fontId="4" fillId="21" borderId="16" xfId="2" applyFont="1" applyFill="1" applyBorder="1" applyProtection="1">
      <alignment horizontal="center" vertical="center"/>
      <protection hidden="1"/>
    </xf>
    <xf numFmtId="0" fontId="67" fillId="11" borderId="13" xfId="0" applyFont="1" applyFill="1" applyBorder="1" applyAlignment="1" applyProtection="1">
      <alignment horizontal="center" vertical="center"/>
      <protection hidden="1"/>
    </xf>
    <xf numFmtId="0" fontId="60" fillId="0" borderId="0" xfId="0" applyFont="1" applyAlignment="1" applyProtection="1">
      <alignment horizontal="center" vertical="center" wrapText="1"/>
      <protection hidden="1"/>
    </xf>
    <xf numFmtId="0" fontId="0" fillId="0" borderId="0" xfId="0" applyAlignment="1">
      <alignment horizontal="center"/>
    </xf>
    <xf numFmtId="0" fontId="0" fillId="0" borderId="0" xfId="0" applyAlignment="1">
      <alignment horizontal="center" vertical="center"/>
    </xf>
    <xf numFmtId="0" fontId="0" fillId="0" borderId="68" xfId="0" applyBorder="1" applyAlignment="1">
      <alignment horizontal="center" vertical="center"/>
    </xf>
    <xf numFmtId="0" fontId="0" fillId="0" borderId="68" xfId="0" applyBorder="1" applyAlignment="1">
      <alignment horizontal="center"/>
    </xf>
    <xf numFmtId="0" fontId="23" fillId="0" borderId="0" xfId="0" applyFont="1" applyAlignment="1">
      <alignment horizontal="center"/>
    </xf>
    <xf numFmtId="0" fontId="20" fillId="5" borderId="2" xfId="4" applyFont="1" applyAlignment="1" applyProtection="1">
      <alignment horizontal="center" vertical="center"/>
      <protection locked="0" hidden="1"/>
    </xf>
    <xf numFmtId="0" fontId="7" fillId="0" borderId="0" xfId="2" applyFont="1" applyFill="1" applyBorder="1" applyProtection="1">
      <alignment horizontal="center" vertical="center"/>
      <protection hidden="1"/>
    </xf>
    <xf numFmtId="0" fontId="40" fillId="0" borderId="0" xfId="0" applyFont="1" applyProtection="1">
      <protection hidden="1"/>
    </xf>
    <xf numFmtId="0" fontId="40" fillId="0" borderId="0" xfId="0" applyFont="1" applyAlignment="1" applyProtection="1">
      <alignment horizontal="center" vertical="center"/>
      <protection hidden="1"/>
    </xf>
    <xf numFmtId="0" fontId="50" fillId="8" borderId="16" xfId="0" applyFont="1" applyFill="1" applyBorder="1" applyAlignment="1">
      <alignment horizontal="center" vertical="center"/>
    </xf>
    <xf numFmtId="0" fontId="0" fillId="36" borderId="0" xfId="0" applyFill="1" applyProtection="1">
      <protection hidden="1"/>
    </xf>
    <xf numFmtId="0" fontId="0" fillId="36" borderId="0" xfId="0" applyFill="1" applyAlignment="1" applyProtection="1">
      <alignment horizontal="center"/>
      <protection hidden="1"/>
    </xf>
    <xf numFmtId="0" fontId="0" fillId="32" borderId="0" xfId="0" applyFill="1" applyAlignment="1" applyProtection="1">
      <alignment horizontal="center"/>
      <protection hidden="1"/>
    </xf>
    <xf numFmtId="0" fontId="0" fillId="40" borderId="0" xfId="0" applyFill="1" applyProtection="1">
      <protection hidden="1"/>
    </xf>
    <xf numFmtId="0" fontId="10" fillId="42" borderId="2" xfId="2" applyFont="1" applyFill="1" applyProtection="1">
      <alignment horizontal="center" vertical="center"/>
      <protection hidden="1"/>
    </xf>
    <xf numFmtId="0" fontId="18" fillId="43" borderId="7" xfId="0" applyFont="1" applyFill="1" applyBorder="1" applyAlignment="1" applyProtection="1">
      <alignment horizontal="center" vertical="center"/>
      <protection hidden="1"/>
    </xf>
    <xf numFmtId="0" fontId="10" fillId="42" borderId="12" xfId="2" applyFont="1" applyFill="1" applyBorder="1" applyProtection="1">
      <alignment horizontal="center" vertical="center"/>
      <protection hidden="1"/>
    </xf>
    <xf numFmtId="0" fontId="0" fillId="46" borderId="0" xfId="0" applyFill="1" applyProtection="1">
      <protection hidden="1"/>
    </xf>
    <xf numFmtId="0" fontId="3" fillId="45" borderId="13" xfId="2" applyFill="1" applyBorder="1" applyProtection="1">
      <alignment horizontal="center" vertical="center"/>
      <protection hidden="1"/>
    </xf>
    <xf numFmtId="164" fontId="3" fillId="45" borderId="13" xfId="1" applyFont="1" applyFill="1" applyBorder="1" applyAlignment="1" applyProtection="1">
      <alignment horizontal="center" vertical="center"/>
      <protection hidden="1"/>
    </xf>
    <xf numFmtId="0" fontId="3" fillId="47" borderId="2" xfId="2" applyFill="1" applyProtection="1">
      <alignment horizontal="center" vertical="center"/>
      <protection hidden="1"/>
    </xf>
    <xf numFmtId="0" fontId="4" fillId="42" borderId="2" xfId="2" applyFont="1" applyFill="1" applyProtection="1">
      <alignment horizontal="center" vertical="center"/>
      <protection hidden="1"/>
    </xf>
    <xf numFmtId="185" fontId="48" fillId="44" borderId="2" xfId="4" applyNumberFormat="1" applyFont="1" applyFill="1" applyProtection="1">
      <alignment horizontal="center"/>
      <protection locked="0" hidden="1"/>
    </xf>
    <xf numFmtId="0" fontId="44" fillId="42" borderId="2" xfId="2" applyFont="1" applyFill="1" applyProtection="1">
      <alignment horizontal="center" vertical="center"/>
      <protection hidden="1"/>
    </xf>
    <xf numFmtId="0" fontId="4" fillId="42" borderId="18" xfId="2" applyFont="1" applyFill="1" applyBorder="1" applyProtection="1">
      <alignment horizontal="center" vertical="center"/>
      <protection hidden="1"/>
    </xf>
    <xf numFmtId="0" fontId="0" fillId="43" borderId="0" xfId="0" applyFill="1" applyProtection="1">
      <protection hidden="1"/>
    </xf>
    <xf numFmtId="0" fontId="4" fillId="43" borderId="7" xfId="2" applyFont="1" applyFill="1" applyBorder="1" applyProtection="1">
      <alignment horizontal="center" vertical="center"/>
      <protection hidden="1"/>
    </xf>
    <xf numFmtId="0" fontId="10" fillId="42" borderId="4" xfId="2" applyFont="1" applyFill="1" applyBorder="1" applyProtection="1">
      <alignment horizontal="center" vertical="center"/>
      <protection hidden="1"/>
    </xf>
    <xf numFmtId="0" fontId="10" fillId="42" borderId="18" xfId="2" applyFont="1" applyFill="1" applyBorder="1" applyProtection="1">
      <alignment horizontal="center" vertical="center"/>
      <protection hidden="1"/>
    </xf>
    <xf numFmtId="0" fontId="0" fillId="43" borderId="37" xfId="0" applyFill="1" applyBorder="1" applyAlignment="1" applyProtection="1">
      <alignment vertical="center"/>
      <protection hidden="1"/>
    </xf>
    <xf numFmtId="0" fontId="0" fillId="43" borderId="0" xfId="0" applyFill="1" applyAlignment="1" applyProtection="1">
      <alignment vertical="center"/>
      <protection hidden="1"/>
    </xf>
    <xf numFmtId="0" fontId="4" fillId="43" borderId="0" xfId="2" applyFont="1" applyFill="1" applyBorder="1" applyProtection="1">
      <alignment horizontal="center" vertical="center"/>
      <protection hidden="1"/>
    </xf>
    <xf numFmtId="0" fontId="4" fillId="42" borderId="13" xfId="2" applyFont="1" applyFill="1" applyBorder="1" applyProtection="1">
      <alignment horizontal="center" vertical="center"/>
      <protection hidden="1"/>
    </xf>
    <xf numFmtId="170" fontId="19" fillId="43" borderId="0" xfId="0" applyNumberFormat="1" applyFont="1" applyFill="1" applyAlignment="1" applyProtection="1">
      <alignment vertical="center"/>
      <protection hidden="1"/>
    </xf>
    <xf numFmtId="0" fontId="0" fillId="43" borderId="3" xfId="0" applyFill="1" applyBorder="1" applyAlignment="1" applyProtection="1">
      <alignment vertical="center"/>
      <protection hidden="1"/>
    </xf>
    <xf numFmtId="0" fontId="0" fillId="43" borderId="38" xfId="0" applyFill="1" applyBorder="1" applyAlignment="1" applyProtection="1">
      <alignment vertical="center"/>
      <protection hidden="1"/>
    </xf>
    <xf numFmtId="0" fontId="0" fillId="43" borderId="6" xfId="0" applyFill="1" applyBorder="1" applyProtection="1">
      <protection hidden="1"/>
    </xf>
    <xf numFmtId="0" fontId="0" fillId="43" borderId="1" xfId="0" applyFill="1" applyBorder="1" applyProtection="1">
      <protection hidden="1"/>
    </xf>
    <xf numFmtId="0" fontId="0" fillId="43" borderId="5" xfId="0" applyFill="1" applyBorder="1" applyProtection="1">
      <protection hidden="1"/>
    </xf>
    <xf numFmtId="0" fontId="0" fillId="43" borderId="14" xfId="0" applyFill="1" applyBorder="1" applyProtection="1">
      <protection hidden="1"/>
    </xf>
    <xf numFmtId="0" fontId="4" fillId="42" borderId="8" xfId="2" applyFont="1" applyFill="1" applyBorder="1" applyProtection="1">
      <alignment horizontal="center" vertical="center"/>
      <protection hidden="1"/>
    </xf>
    <xf numFmtId="0" fontId="4" fillId="42" borderId="25" xfId="2" applyFont="1" applyFill="1" applyBorder="1" applyProtection="1">
      <alignment horizontal="center" vertical="center"/>
      <protection hidden="1"/>
    </xf>
    <xf numFmtId="0" fontId="0" fillId="43" borderId="0" xfId="0" applyFill="1" applyAlignment="1" applyProtection="1">
      <alignment horizontal="center"/>
      <protection hidden="1"/>
    </xf>
    <xf numFmtId="0" fontId="41" fillId="0" borderId="0" xfId="0" applyFont="1" applyProtection="1">
      <protection hidden="1"/>
    </xf>
    <xf numFmtId="1" fontId="81" fillId="4" borderId="2" xfId="3" applyNumberFormat="1" applyFont="1" applyProtection="1">
      <alignment horizontal="center"/>
      <protection hidden="1"/>
    </xf>
    <xf numFmtId="0" fontId="82" fillId="0" borderId="0" xfId="0" applyFont="1" applyProtection="1">
      <protection hidden="1"/>
    </xf>
    <xf numFmtId="0" fontId="84" fillId="0" borderId="0" xfId="0" applyFont="1" applyAlignment="1" applyProtection="1">
      <alignment horizontal="center" vertical="center"/>
      <protection hidden="1"/>
    </xf>
    <xf numFmtId="0" fontId="37" fillId="0" borderId="0" xfId="5" applyFont="1" applyFill="1" applyBorder="1" applyAlignment="1" applyProtection="1">
      <protection hidden="1"/>
    </xf>
    <xf numFmtId="0" fontId="35" fillId="0" borderId="0" xfId="8" applyFont="1" applyAlignment="1" applyProtection="1">
      <alignment vertical="center"/>
      <protection hidden="1"/>
    </xf>
    <xf numFmtId="0" fontId="86" fillId="0" borderId="0" xfId="0" applyFont="1" applyProtection="1">
      <protection hidden="1"/>
    </xf>
    <xf numFmtId="0" fontId="86" fillId="0" borderId="2" xfId="0" applyFont="1" applyBorder="1" applyProtection="1">
      <protection hidden="1"/>
    </xf>
    <xf numFmtId="3" fontId="86" fillId="13" borderId="2" xfId="1" applyNumberFormat="1" applyFont="1" applyFill="1" applyBorder="1" applyAlignment="1">
      <alignment horizontal="center"/>
    </xf>
    <xf numFmtId="0" fontId="86" fillId="13" borderId="2" xfId="0" applyFont="1" applyFill="1" applyBorder="1"/>
    <xf numFmtId="0" fontId="86" fillId="13" borderId="2" xfId="0" applyFont="1" applyFill="1" applyBorder="1" applyAlignment="1" applyProtection="1">
      <alignment horizontal="center" vertical="center"/>
      <protection locked="0"/>
    </xf>
    <xf numFmtId="174" fontId="86" fillId="13" borderId="2" xfId="1" applyNumberFormat="1" applyFont="1" applyFill="1" applyBorder="1" applyAlignment="1" applyProtection="1">
      <alignment horizontal="right"/>
    </xf>
    <xf numFmtId="4" fontId="86" fillId="13" borderId="2" xfId="1" applyNumberFormat="1" applyFont="1" applyFill="1" applyBorder="1" applyAlignment="1">
      <alignment horizontal="center"/>
    </xf>
    <xf numFmtId="173" fontId="86" fillId="13" borderId="2" xfId="0" applyNumberFormat="1" applyFont="1" applyFill="1" applyBorder="1" applyAlignment="1" applyProtection="1">
      <alignment horizontal="center"/>
      <protection locked="0"/>
    </xf>
    <xf numFmtId="3" fontId="86" fillId="13" borderId="2" xfId="0" applyNumberFormat="1" applyFont="1" applyFill="1" applyBorder="1" applyAlignment="1" applyProtection="1">
      <alignment horizontal="center"/>
      <protection locked="0"/>
    </xf>
    <xf numFmtId="0" fontId="81" fillId="13" borderId="2" xfId="11" applyFont="1" applyFill="1" applyBorder="1" applyAlignment="1">
      <alignment horizontal="center" vertical="center" wrapText="1"/>
    </xf>
    <xf numFmtId="0" fontId="81" fillId="13" borderId="2" xfId="0" applyFont="1" applyFill="1" applyBorder="1" applyAlignment="1">
      <alignment horizontal="center" vertical="center"/>
    </xf>
    <xf numFmtId="1" fontId="5" fillId="0" borderId="16" xfId="3" applyNumberFormat="1" applyFill="1" applyBorder="1" applyAlignment="1" applyProtection="1">
      <alignment horizontal="center" vertical="center"/>
      <protection hidden="1"/>
    </xf>
    <xf numFmtId="0" fontId="5" fillId="0" borderId="0" xfId="3" applyFill="1" applyBorder="1" applyAlignment="1" applyProtection="1">
      <alignment horizontal="center" vertical="center"/>
      <protection hidden="1"/>
    </xf>
    <xf numFmtId="2" fontId="29" fillId="0" borderId="0" xfId="0" applyNumberFormat="1" applyFont="1" applyAlignment="1" applyProtection="1">
      <alignment horizontal="center"/>
      <protection hidden="1"/>
    </xf>
    <xf numFmtId="0" fontId="87" fillId="0" borderId="0" xfId="0" applyFont="1" applyAlignment="1" applyProtection="1">
      <alignment horizontal="center"/>
      <protection hidden="1"/>
    </xf>
    <xf numFmtId="0" fontId="81" fillId="0" borderId="2" xfId="0" applyFont="1" applyBorder="1" applyAlignment="1" applyProtection="1">
      <alignment horizontal="center" vertical="center"/>
      <protection hidden="1"/>
    </xf>
    <xf numFmtId="0" fontId="86" fillId="0" borderId="2" xfId="0" applyFont="1" applyBorder="1" applyAlignment="1" applyProtection="1">
      <alignment horizontal="center" vertical="center"/>
      <protection hidden="1"/>
    </xf>
    <xf numFmtId="0" fontId="81" fillId="0" borderId="0" xfId="0" applyFont="1" applyProtection="1">
      <protection hidden="1"/>
    </xf>
    <xf numFmtId="0" fontId="81" fillId="0" borderId="2" xfId="5" applyFont="1" applyFill="1" applyProtection="1">
      <alignment horizontal="center"/>
      <protection hidden="1"/>
    </xf>
    <xf numFmtId="0" fontId="81" fillId="0" borderId="2" xfId="0" applyFont="1" applyBorder="1" applyAlignment="1" applyProtection="1">
      <alignment horizontal="center"/>
      <protection hidden="1"/>
    </xf>
    <xf numFmtId="168" fontId="81" fillId="0" borderId="2" xfId="0" applyNumberFormat="1" applyFont="1" applyBorder="1" applyAlignment="1" applyProtection="1">
      <alignment horizontal="center"/>
      <protection hidden="1"/>
    </xf>
    <xf numFmtId="184" fontId="81" fillId="0" borderId="2" xfId="0" applyNumberFormat="1" applyFont="1" applyBorder="1" applyAlignment="1" applyProtection="1">
      <alignment horizontal="center"/>
      <protection hidden="1"/>
    </xf>
    <xf numFmtId="2" fontId="81" fillId="0" borderId="2" xfId="0" applyNumberFormat="1" applyFont="1" applyBorder="1" applyAlignment="1" applyProtection="1">
      <alignment horizontal="center"/>
      <protection hidden="1"/>
    </xf>
    <xf numFmtId="0" fontId="86" fillId="0" borderId="2" xfId="2" applyFont="1" applyFill="1" applyProtection="1">
      <alignment horizontal="center" vertical="center"/>
      <protection hidden="1"/>
    </xf>
    <xf numFmtId="0" fontId="81" fillId="0" borderId="2" xfId="2" applyFont="1" applyFill="1" applyProtection="1">
      <alignment horizontal="center" vertical="center"/>
      <protection hidden="1"/>
    </xf>
    <xf numFmtId="184" fontId="86" fillId="0" borderId="2" xfId="0" applyNumberFormat="1" applyFont="1" applyBorder="1" applyAlignment="1" applyProtection="1">
      <alignment horizontal="center"/>
      <protection hidden="1"/>
    </xf>
    <xf numFmtId="0" fontId="86" fillId="0" borderId="2" xfId="0" applyFont="1" applyBorder="1" applyAlignment="1" applyProtection="1">
      <alignment horizontal="center"/>
      <protection hidden="1"/>
    </xf>
    <xf numFmtId="168" fontId="86" fillId="0" borderId="2" xfId="0" applyNumberFormat="1" applyFont="1" applyBorder="1" applyAlignment="1" applyProtection="1">
      <alignment horizontal="center"/>
      <protection hidden="1"/>
    </xf>
    <xf numFmtId="0" fontId="86" fillId="0" borderId="0" xfId="0" applyFont="1" applyAlignment="1" applyProtection="1">
      <alignment horizontal="center" vertical="center"/>
      <protection hidden="1"/>
    </xf>
    <xf numFmtId="0" fontId="88" fillId="0" borderId="0" xfId="0" applyFont="1" applyAlignment="1" applyProtection="1">
      <alignment horizontal="center" vertical="center"/>
      <protection hidden="1"/>
    </xf>
    <xf numFmtId="0" fontId="81" fillId="0" borderId="2" xfId="0" applyFont="1" applyBorder="1" applyProtection="1">
      <protection hidden="1"/>
    </xf>
    <xf numFmtId="0" fontId="89" fillId="0" borderId="0" xfId="0" applyFont="1" applyProtection="1">
      <protection hidden="1"/>
    </xf>
    <xf numFmtId="0" fontId="89" fillId="0" borderId="0" xfId="0" applyFont="1" applyAlignment="1" applyProtection="1">
      <alignment horizontal="center"/>
      <protection hidden="1"/>
    </xf>
    <xf numFmtId="185" fontId="81" fillId="0" borderId="0" xfId="0" applyNumberFormat="1" applyFont="1" applyAlignment="1" applyProtection="1">
      <alignment horizontal="center" vertical="center"/>
      <protection hidden="1"/>
    </xf>
    <xf numFmtId="2" fontId="81" fillId="0" borderId="2" xfId="6" applyFont="1" applyFill="1" applyProtection="1">
      <alignment horizontal="center"/>
      <protection hidden="1"/>
    </xf>
    <xf numFmtId="0" fontId="7" fillId="0" borderId="2" xfId="2" applyFont="1" applyFill="1" applyProtection="1">
      <alignment horizontal="center" vertical="center"/>
      <protection hidden="1"/>
    </xf>
    <xf numFmtId="3" fontId="86" fillId="13" borderId="2" xfId="0" applyNumberFormat="1" applyFont="1" applyFill="1" applyBorder="1" applyAlignment="1">
      <alignment horizontal="center" vertical="center"/>
    </xf>
    <xf numFmtId="170" fontId="86" fillId="0" borderId="2" xfId="6" applyNumberFormat="1" applyFont="1" applyFill="1" applyProtection="1">
      <alignment horizontal="center"/>
      <protection hidden="1"/>
    </xf>
    <xf numFmtId="2" fontId="86" fillId="0" borderId="2" xfId="6" applyFont="1" applyFill="1" applyProtection="1">
      <alignment horizontal="center"/>
      <protection hidden="1"/>
    </xf>
    <xf numFmtId="0" fontId="86" fillId="0" borderId="0" xfId="0" applyFont="1" applyAlignment="1" applyProtection="1">
      <alignment horizontal="center"/>
      <protection hidden="1"/>
    </xf>
    <xf numFmtId="0" fontId="81" fillId="0" borderId="0" xfId="5" applyFont="1" applyFill="1" applyBorder="1" applyAlignment="1" applyProtection="1">
      <protection hidden="1"/>
    </xf>
    <xf numFmtId="0" fontId="81" fillId="0" borderId="4" xfId="2" applyFont="1" applyFill="1" applyBorder="1" applyProtection="1">
      <alignment horizontal="center" vertical="center"/>
      <protection hidden="1"/>
    </xf>
    <xf numFmtId="2" fontId="86" fillId="9" borderId="2" xfId="6" applyFont="1" applyProtection="1">
      <alignment horizontal="center"/>
      <protection hidden="1"/>
    </xf>
    <xf numFmtId="0" fontId="81" fillId="0" borderId="0" xfId="2" applyFont="1" applyFill="1" applyBorder="1" applyAlignment="1" applyProtection="1">
      <alignment vertical="center"/>
      <protection hidden="1"/>
    </xf>
    <xf numFmtId="0" fontId="90" fillId="0" borderId="0" xfId="0" applyFont="1" applyAlignment="1" applyProtection="1">
      <alignment horizontal="center" vertical="center"/>
      <protection hidden="1"/>
    </xf>
    <xf numFmtId="0" fontId="90" fillId="48" borderId="16" xfId="0" applyFont="1" applyFill="1" applyBorder="1" applyAlignment="1" applyProtection="1">
      <alignment horizontal="center" vertical="center"/>
      <protection hidden="1"/>
    </xf>
    <xf numFmtId="0" fontId="90" fillId="49" borderId="16" xfId="0" applyFont="1" applyFill="1" applyBorder="1" applyAlignment="1" applyProtection="1">
      <alignment horizontal="center" vertical="center"/>
      <protection hidden="1"/>
    </xf>
    <xf numFmtId="0" fontId="90" fillId="50" borderId="16" xfId="0" applyFont="1" applyFill="1" applyBorder="1" applyAlignment="1" applyProtection="1">
      <alignment horizontal="center" vertical="center"/>
      <protection hidden="1"/>
    </xf>
    <xf numFmtId="165" fontId="90" fillId="51" borderId="16" xfId="0" applyNumberFormat="1" applyFont="1" applyFill="1" applyBorder="1" applyAlignment="1" applyProtection="1">
      <alignment horizontal="center" vertical="center"/>
      <protection hidden="1"/>
    </xf>
    <xf numFmtId="166" fontId="90" fillId="49" borderId="16" xfId="0" applyNumberFormat="1" applyFont="1" applyFill="1" applyBorder="1" applyAlignment="1" applyProtection="1">
      <alignment horizontal="center" vertical="center"/>
      <protection hidden="1"/>
    </xf>
    <xf numFmtId="166" fontId="90" fillId="50" borderId="16" xfId="0" applyNumberFormat="1" applyFont="1" applyFill="1" applyBorder="1" applyAlignment="1" applyProtection="1">
      <alignment horizontal="center" vertical="center"/>
      <protection hidden="1"/>
    </xf>
    <xf numFmtId="0" fontId="90" fillId="41" borderId="16" xfId="0" applyFont="1" applyFill="1" applyBorder="1" applyAlignment="1" applyProtection="1">
      <alignment horizontal="center" vertical="center"/>
      <protection hidden="1"/>
    </xf>
    <xf numFmtId="166" fontId="90" fillId="41" borderId="16" xfId="0" applyNumberFormat="1" applyFont="1" applyFill="1" applyBorder="1" applyAlignment="1" applyProtection="1">
      <alignment horizontal="center" vertical="center"/>
      <protection hidden="1"/>
    </xf>
    <xf numFmtId="166" fontId="90" fillId="48" borderId="16" xfId="0" applyNumberFormat="1" applyFont="1" applyFill="1" applyBorder="1" applyAlignment="1" applyProtection="1">
      <alignment horizontal="center" vertical="center"/>
      <protection hidden="1"/>
    </xf>
    <xf numFmtId="0" fontId="90" fillId="52" borderId="16" xfId="0" applyFont="1" applyFill="1" applyBorder="1" applyAlignment="1" applyProtection="1">
      <alignment horizontal="center" vertical="center"/>
      <protection hidden="1"/>
    </xf>
    <xf numFmtId="166" fontId="90" fillId="52" borderId="16" xfId="0" applyNumberFormat="1" applyFont="1" applyFill="1" applyBorder="1" applyAlignment="1" applyProtection="1">
      <alignment horizontal="center" vertical="center"/>
      <protection hidden="1"/>
    </xf>
    <xf numFmtId="0" fontId="81" fillId="0" borderId="18" xfId="2" applyFont="1" applyFill="1" applyBorder="1" applyProtection="1">
      <alignment horizontal="center" vertical="center"/>
      <protection hidden="1"/>
    </xf>
    <xf numFmtId="170" fontId="86" fillId="0" borderId="18" xfId="6" applyNumberFormat="1" applyFont="1" applyFill="1" applyBorder="1" applyProtection="1">
      <alignment horizontal="center"/>
      <protection hidden="1"/>
    </xf>
    <xf numFmtId="2" fontId="86" fillId="0" borderId="18" xfId="6" applyFont="1" applyFill="1" applyBorder="1" applyProtection="1">
      <alignment horizontal="center"/>
      <protection hidden="1"/>
    </xf>
    <xf numFmtId="2" fontId="86" fillId="0" borderId="18" xfId="3" applyNumberFormat="1" applyFont="1" applyFill="1" applyBorder="1" applyProtection="1">
      <alignment horizontal="center"/>
      <protection hidden="1"/>
    </xf>
    <xf numFmtId="0" fontId="86" fillId="0" borderId="37" xfId="2" applyFont="1" applyFill="1" applyBorder="1" applyProtection="1">
      <alignment horizontal="center" vertical="center"/>
      <protection hidden="1"/>
    </xf>
    <xf numFmtId="170" fontId="86" fillId="0" borderId="37" xfId="6" applyNumberFormat="1" applyFont="1" applyFill="1" applyBorder="1" applyProtection="1">
      <alignment horizontal="center"/>
      <protection hidden="1"/>
    </xf>
    <xf numFmtId="2" fontId="86" fillId="0" borderId="37" xfId="6" applyFont="1" applyFill="1" applyBorder="1" applyProtection="1">
      <alignment horizontal="center"/>
      <protection hidden="1"/>
    </xf>
    <xf numFmtId="2" fontId="86" fillId="0" borderId="37" xfId="3" applyNumberFormat="1" applyFont="1" applyFill="1" applyBorder="1" applyProtection="1">
      <alignment horizontal="center"/>
      <protection hidden="1"/>
    </xf>
    <xf numFmtId="0" fontId="86" fillId="0" borderId="37" xfId="0" applyFont="1" applyBorder="1" applyAlignment="1" applyProtection="1">
      <alignment horizontal="center"/>
      <protection hidden="1"/>
    </xf>
    <xf numFmtId="0" fontId="0" fillId="0" borderId="6" xfId="0" applyBorder="1" applyProtection="1">
      <protection hidden="1"/>
    </xf>
    <xf numFmtId="0" fontId="90" fillId="48" borderId="16" xfId="0" applyFont="1" applyFill="1" applyBorder="1" applyAlignment="1" applyProtection="1">
      <alignment horizontal="center" vertical="center" wrapText="1"/>
      <protection hidden="1"/>
    </xf>
    <xf numFmtId="0" fontId="10" fillId="42" borderId="36" xfId="2" applyFont="1" applyFill="1" applyBorder="1" applyProtection="1">
      <alignment horizontal="center" vertical="center"/>
      <protection hidden="1"/>
    </xf>
    <xf numFmtId="0" fontId="91" fillId="42" borderId="38" xfId="2" applyFont="1" applyFill="1" applyBorder="1" applyProtection="1">
      <alignment horizontal="center" vertical="center"/>
      <protection hidden="1"/>
    </xf>
    <xf numFmtId="0" fontId="10" fillId="42" borderId="7" xfId="2" applyFont="1" applyFill="1" applyBorder="1" applyProtection="1">
      <alignment horizontal="center" vertical="center"/>
      <protection hidden="1"/>
    </xf>
    <xf numFmtId="0" fontId="10" fillId="42" borderId="1" xfId="2" applyFont="1" applyFill="1" applyBorder="1" applyProtection="1">
      <alignment horizontal="center" vertical="center"/>
      <protection hidden="1"/>
    </xf>
    <xf numFmtId="0" fontId="91" fillId="42" borderId="37" xfId="2" applyFont="1" applyFill="1" applyBorder="1" applyProtection="1">
      <alignment horizontal="center" vertical="center"/>
      <protection hidden="1"/>
    </xf>
    <xf numFmtId="0" fontId="10" fillId="42" borderId="0" xfId="2" applyFont="1" applyFill="1" applyBorder="1" applyProtection="1">
      <alignment horizontal="center" vertical="center"/>
      <protection hidden="1"/>
    </xf>
    <xf numFmtId="171" fontId="5" fillId="4" borderId="2" xfId="3" applyNumberFormat="1" applyAlignment="1" applyProtection="1">
      <alignment horizontal="center" vertical="center"/>
      <protection hidden="1"/>
    </xf>
    <xf numFmtId="1" fontId="3" fillId="45" borderId="13" xfId="2" applyNumberFormat="1" applyFill="1" applyBorder="1" applyProtection="1">
      <alignment horizontal="center" vertical="center"/>
      <protection hidden="1"/>
    </xf>
    <xf numFmtId="0" fontId="6" fillId="0" borderId="0" xfId="5" applyFill="1" applyBorder="1" applyProtection="1">
      <alignment horizontal="center"/>
      <protection hidden="1"/>
    </xf>
    <xf numFmtId="0" fontId="17" fillId="0" borderId="0" xfId="2" applyFont="1" applyFill="1" applyBorder="1" applyProtection="1">
      <alignment horizontal="center" vertical="center"/>
      <protection hidden="1"/>
    </xf>
    <xf numFmtId="0" fontId="81" fillId="0" borderId="0" xfId="0" applyFont="1" applyAlignment="1" applyProtection="1">
      <alignment horizontal="center" vertical="center"/>
      <protection hidden="1"/>
    </xf>
    <xf numFmtId="0" fontId="81" fillId="0" borderId="82" xfId="0" applyFont="1" applyBorder="1" applyAlignment="1" applyProtection="1">
      <alignment horizontal="center" vertical="center"/>
      <protection hidden="1"/>
    </xf>
    <xf numFmtId="170" fontId="93" fillId="0" borderId="82" xfId="5" applyNumberFormat="1" applyFont="1" applyFill="1" applyBorder="1" applyProtection="1">
      <alignment horizontal="center"/>
      <protection hidden="1"/>
    </xf>
    <xf numFmtId="168" fontId="81" fillId="0" borderId="2" xfId="2" applyNumberFormat="1" applyFont="1" applyFill="1" applyProtection="1">
      <alignment horizontal="center" vertical="center"/>
      <protection hidden="1"/>
    </xf>
    <xf numFmtId="0" fontId="81" fillId="0" borderId="0" xfId="8" applyFont="1" applyAlignment="1" applyProtection="1">
      <alignment horizontal="center" vertical="center"/>
      <protection hidden="1"/>
    </xf>
    <xf numFmtId="0" fontId="81" fillId="0" borderId="0" xfId="5" applyFont="1" applyFill="1" applyBorder="1" applyProtection="1">
      <alignment horizontal="center"/>
      <protection hidden="1"/>
    </xf>
    <xf numFmtId="0" fontId="86" fillId="0" borderId="0" xfId="2" applyFont="1" applyFill="1" applyBorder="1" applyProtection="1">
      <alignment horizontal="center" vertical="center"/>
      <protection hidden="1"/>
    </xf>
    <xf numFmtId="170" fontId="81" fillId="0" borderId="82" xfId="5" applyNumberFormat="1" applyFont="1" applyFill="1" applyBorder="1" applyProtection="1">
      <alignment horizontal="center"/>
      <protection hidden="1"/>
    </xf>
    <xf numFmtId="175" fontId="86" fillId="0" borderId="82" xfId="3" applyNumberFormat="1" applyFont="1" applyFill="1" applyBorder="1" applyProtection="1">
      <alignment horizontal="center"/>
      <protection hidden="1"/>
    </xf>
    <xf numFmtId="175" fontId="86" fillId="0" borderId="82" xfId="2" applyNumberFormat="1" applyFont="1" applyFill="1" applyBorder="1" applyProtection="1">
      <alignment horizontal="center" vertical="center"/>
      <protection hidden="1"/>
    </xf>
    <xf numFmtId="0" fontId="95" fillId="0" borderId="0" xfId="0" applyFont="1" applyAlignment="1">
      <alignment vertical="center"/>
    </xf>
    <xf numFmtId="0" fontId="92" fillId="54" borderId="83" xfId="0" applyFont="1" applyFill="1" applyBorder="1" applyAlignment="1">
      <alignment horizontal="center" vertical="center"/>
    </xf>
    <xf numFmtId="0" fontId="92" fillId="54" borderId="17" xfId="0" applyFont="1" applyFill="1" applyBorder="1" applyAlignment="1">
      <alignment vertical="center"/>
    </xf>
    <xf numFmtId="0" fontId="92" fillId="54" borderId="84" xfId="0" applyFont="1" applyFill="1" applyBorder="1" applyAlignment="1">
      <alignment horizontal="center" vertical="center"/>
    </xf>
    <xf numFmtId="0" fontId="92" fillId="54" borderId="85" xfId="0" applyFont="1" applyFill="1" applyBorder="1" applyAlignment="1">
      <alignment horizontal="center" vertical="center"/>
    </xf>
    <xf numFmtId="0" fontId="96" fillId="54" borderId="86" xfId="0" applyFont="1" applyFill="1" applyBorder="1" applyAlignment="1">
      <alignment horizontal="center" vertical="center" wrapText="1"/>
    </xf>
    <xf numFmtId="0" fontId="92" fillId="54" borderId="87" xfId="0" applyFont="1" applyFill="1" applyBorder="1" applyAlignment="1">
      <alignment horizontal="center" vertical="center"/>
    </xf>
    <xf numFmtId="0" fontId="96" fillId="54" borderId="88" xfId="0" applyFont="1" applyFill="1" applyBorder="1" applyAlignment="1">
      <alignment horizontal="center" vertical="center" wrapText="1"/>
    </xf>
    <xf numFmtId="0" fontId="92" fillId="55" borderId="17" xfId="0" applyFont="1" applyFill="1" applyBorder="1" applyAlignment="1">
      <alignment vertical="center"/>
    </xf>
    <xf numFmtId="0" fontId="92" fillId="55" borderId="89" xfId="0" applyFont="1" applyFill="1" applyBorder="1" applyAlignment="1">
      <alignment vertical="center"/>
    </xf>
    <xf numFmtId="0" fontId="0" fillId="0" borderId="59" xfId="0" applyBorder="1" applyAlignment="1" applyProtection="1">
      <alignment horizontal="center" vertical="center"/>
      <protection locked="0"/>
    </xf>
    <xf numFmtId="0" fontId="0" fillId="0" borderId="90" xfId="0" applyBorder="1" applyAlignment="1" applyProtection="1">
      <alignment horizontal="center" vertical="center"/>
      <protection locked="0"/>
    </xf>
    <xf numFmtId="0" fontId="0" fillId="56" borderId="64" xfId="0" applyFill="1" applyBorder="1" applyAlignment="1" applyProtection="1">
      <alignment vertical="center"/>
      <protection locked="0"/>
    </xf>
    <xf numFmtId="0" fontId="50" fillId="0" borderId="0" xfId="0" applyFont="1" applyAlignment="1">
      <alignment horizontal="center" vertical="center"/>
    </xf>
    <xf numFmtId="0" fontId="92" fillId="57" borderId="91" xfId="0" applyFont="1" applyFill="1" applyBorder="1" applyAlignment="1">
      <alignment vertical="center"/>
    </xf>
    <xf numFmtId="1" fontId="92" fillId="57" borderId="55" xfId="0" applyNumberFormat="1" applyFont="1" applyFill="1" applyBorder="1" applyAlignment="1">
      <alignment horizontal="center" vertical="center"/>
    </xf>
    <xf numFmtId="1" fontId="92" fillId="57" borderId="16" xfId="0" applyNumberFormat="1" applyFont="1" applyFill="1" applyBorder="1" applyAlignment="1">
      <alignment horizontal="center" vertical="center"/>
    </xf>
    <xf numFmtId="0" fontId="0" fillId="56" borderId="65" xfId="0" applyFill="1" applyBorder="1" applyAlignment="1" applyProtection="1">
      <alignment vertical="center"/>
      <protection locked="0"/>
    </xf>
    <xf numFmtId="0" fontId="50" fillId="0" borderId="0" xfId="0" applyFont="1"/>
    <xf numFmtId="0" fontId="92" fillId="55" borderId="91" xfId="0" applyFont="1" applyFill="1" applyBorder="1" applyAlignment="1">
      <alignment vertical="center"/>
    </xf>
    <xf numFmtId="1" fontId="92" fillId="55" borderId="55" xfId="0" applyNumberFormat="1" applyFont="1" applyFill="1" applyBorder="1" applyAlignment="1">
      <alignment horizontal="center" vertical="center"/>
    </xf>
    <xf numFmtId="1" fontId="92" fillId="55" borderId="16" xfId="0" applyNumberFormat="1" applyFont="1" applyFill="1" applyBorder="1" applyAlignment="1">
      <alignment horizontal="center" vertical="center"/>
    </xf>
    <xf numFmtId="0" fontId="92" fillId="55" borderId="89" xfId="0" applyFont="1" applyFill="1" applyBorder="1" applyAlignment="1">
      <alignment horizontal="center" vertical="center"/>
    </xf>
    <xf numFmtId="168" fontId="92" fillId="57" borderId="89" xfId="0" applyNumberFormat="1" applyFont="1" applyFill="1" applyBorder="1" applyAlignment="1">
      <alignment horizontal="center" vertical="center"/>
    </xf>
    <xf numFmtId="0" fontId="92" fillId="57" borderId="92" xfId="0" applyFont="1" applyFill="1" applyBorder="1" applyAlignment="1">
      <alignment vertical="center"/>
    </xf>
    <xf numFmtId="1" fontId="92" fillId="57" borderId="93" xfId="0" applyNumberFormat="1" applyFont="1" applyFill="1" applyBorder="1" applyAlignment="1">
      <alignment horizontal="center" vertical="center"/>
    </xf>
    <xf numFmtId="1" fontId="92" fillId="57" borderId="94" xfId="0" applyNumberFormat="1" applyFont="1" applyFill="1" applyBorder="1" applyAlignment="1">
      <alignment horizontal="center" vertical="center"/>
    </xf>
    <xf numFmtId="0" fontId="0" fillId="56" borderId="66" xfId="0" applyFill="1" applyBorder="1" applyAlignment="1" applyProtection="1">
      <alignment vertical="center"/>
      <protection locked="0"/>
    </xf>
    <xf numFmtId="0" fontId="98" fillId="0" borderId="0" xfId="0" applyFont="1" applyAlignment="1">
      <alignment horizontal="center" vertical="center"/>
    </xf>
    <xf numFmtId="0" fontId="94" fillId="0" borderId="0" xfId="0" applyFont="1" applyAlignment="1">
      <alignment horizontal="center" vertical="center"/>
    </xf>
    <xf numFmtId="0" fontId="92" fillId="0" borderId="83" xfId="0" applyFont="1" applyBorder="1"/>
    <xf numFmtId="0" fontId="92" fillId="0" borderId="87" xfId="0" applyFont="1" applyBorder="1" applyAlignment="1">
      <alignment horizontal="center" vertical="center"/>
    </xf>
    <xf numFmtId="0" fontId="92" fillId="0" borderId="85" xfId="0" applyFont="1" applyBorder="1" applyAlignment="1">
      <alignment horizontal="center" vertical="center"/>
    </xf>
    <xf numFmtId="0" fontId="96" fillId="0" borderId="86" xfId="0" applyFont="1" applyBorder="1" applyAlignment="1">
      <alignment horizontal="center" vertical="center"/>
    </xf>
    <xf numFmtId="0" fontId="96" fillId="0" borderId="46" xfId="0" applyFont="1" applyBorder="1" applyAlignment="1">
      <alignment horizontal="center" vertical="center"/>
    </xf>
    <xf numFmtId="0" fontId="92" fillId="0" borderId="83" xfId="0" applyFont="1" applyBorder="1" applyAlignment="1">
      <alignment horizontal="center" vertical="center"/>
    </xf>
    <xf numFmtId="0" fontId="96" fillId="0" borderId="83" xfId="0" applyFont="1" applyBorder="1" applyAlignment="1">
      <alignment horizontal="center" vertical="center"/>
    </xf>
    <xf numFmtId="0" fontId="96" fillId="0" borderId="88" xfId="0" applyFont="1" applyBorder="1" applyAlignment="1">
      <alignment horizontal="center" vertical="center"/>
    </xf>
    <xf numFmtId="0" fontId="99" fillId="0" borderId="92" xfId="0" applyFont="1" applyBorder="1"/>
    <xf numFmtId="1" fontId="99" fillId="0" borderId="93" xfId="0" applyNumberFormat="1" applyFont="1" applyBorder="1"/>
    <xf numFmtId="1" fontId="99" fillId="0" borderId="94" xfId="0" applyNumberFormat="1" applyFont="1" applyBorder="1"/>
    <xf numFmtId="0" fontId="99" fillId="0" borderId="66" xfId="0" applyFont="1" applyBorder="1"/>
    <xf numFmtId="0" fontId="99" fillId="0" borderId="97" xfId="0" applyFont="1" applyBorder="1"/>
    <xf numFmtId="171" fontId="92" fillId="57" borderId="89" xfId="0" applyNumberFormat="1" applyFont="1" applyFill="1" applyBorder="1" applyAlignment="1">
      <alignment horizontal="center" vertical="center"/>
    </xf>
    <xf numFmtId="0" fontId="0" fillId="0" borderId="0" xfId="0" applyAlignment="1">
      <alignment horizontal="left"/>
    </xf>
    <xf numFmtId="2" fontId="87" fillId="0" borderId="21" xfId="0" applyNumberFormat="1" applyFont="1" applyBorder="1" applyAlignment="1">
      <alignment horizontal="center" vertical="center"/>
    </xf>
    <xf numFmtId="2" fontId="87" fillId="0" borderId="16" xfId="0" applyNumberFormat="1" applyFont="1" applyBorder="1" applyAlignment="1">
      <alignment horizontal="center" vertical="center"/>
    </xf>
    <xf numFmtId="0" fontId="81" fillId="56" borderId="82" xfId="17" applyFont="1" applyFill="1" applyProtection="1">
      <alignment horizontal="center"/>
      <protection hidden="1"/>
    </xf>
    <xf numFmtId="0" fontId="81" fillId="0" borderId="14" xfId="17" applyFont="1" applyFill="1" applyBorder="1" applyProtection="1">
      <alignment horizontal="center"/>
      <protection hidden="1"/>
    </xf>
    <xf numFmtId="0" fontId="86" fillId="58" borderId="82" xfId="18" applyFont="1" applyFill="1" applyProtection="1">
      <alignment horizontal="center" vertical="center"/>
      <protection hidden="1"/>
    </xf>
    <xf numFmtId="0" fontId="86" fillId="59" borderId="82" xfId="18" applyFont="1" applyFill="1" applyProtection="1">
      <alignment horizontal="center" vertical="center"/>
      <protection hidden="1"/>
    </xf>
    <xf numFmtId="0" fontId="86" fillId="60" borderId="82" xfId="18" applyFont="1" applyFill="1" applyProtection="1">
      <alignment horizontal="center" vertical="center"/>
      <protection hidden="1"/>
    </xf>
    <xf numFmtId="0" fontId="81" fillId="61" borderId="82" xfId="18" applyFont="1" applyFill="1" applyProtection="1">
      <alignment horizontal="center" vertical="center"/>
      <protection hidden="1"/>
    </xf>
    <xf numFmtId="0" fontId="86" fillId="61" borderId="82" xfId="0" applyFont="1" applyFill="1" applyBorder="1" applyAlignment="1" applyProtection="1">
      <alignment horizontal="center"/>
      <protection hidden="1"/>
    </xf>
    <xf numFmtId="2" fontId="86" fillId="62" borderId="82" xfId="19" applyFont="1" applyFill="1" applyProtection="1">
      <alignment horizontal="center"/>
      <protection locked="0" hidden="1"/>
    </xf>
    <xf numFmtId="2" fontId="87" fillId="63" borderId="82" xfId="0" applyNumberFormat="1" applyFont="1" applyFill="1" applyBorder="1" applyAlignment="1">
      <alignment horizontal="center" vertical="center"/>
    </xf>
    <xf numFmtId="193" fontId="87" fillId="64" borderId="82" xfId="0" applyNumberFormat="1" applyFont="1" applyFill="1" applyBorder="1" applyAlignment="1">
      <alignment horizontal="center" vertical="center"/>
    </xf>
    <xf numFmtId="0" fontId="84" fillId="0" borderId="0" xfId="0" applyFont="1" applyAlignment="1">
      <alignment horizontal="center"/>
    </xf>
    <xf numFmtId="0" fontId="0" fillId="65" borderId="0" xfId="0" applyFill="1"/>
    <xf numFmtId="0" fontId="0" fillId="65" borderId="115" xfId="0" applyFill="1" applyBorder="1" applyAlignment="1">
      <alignment horizontal="center" vertical="center"/>
    </xf>
    <xf numFmtId="0" fontId="0" fillId="65" borderId="116" xfId="0" applyFill="1" applyBorder="1" applyAlignment="1">
      <alignment horizontal="center" vertical="center"/>
    </xf>
    <xf numFmtId="194" fontId="0" fillId="65" borderId="115" xfId="0" applyNumberFormat="1" applyFill="1" applyBorder="1" applyAlignment="1">
      <alignment horizontal="center" vertical="center"/>
    </xf>
    <xf numFmtId="194" fontId="0" fillId="65" borderId="117" xfId="0" applyNumberFormat="1" applyFill="1" applyBorder="1" applyAlignment="1">
      <alignment horizontal="center" vertical="center"/>
    </xf>
    <xf numFmtId="194" fontId="0" fillId="65" borderId="116" xfId="0" applyNumberFormat="1" applyFill="1" applyBorder="1" applyAlignment="1">
      <alignment horizontal="center" vertical="center"/>
    </xf>
    <xf numFmtId="0" fontId="0" fillId="65" borderId="0" xfId="0" applyFill="1" applyAlignment="1">
      <alignment horizontal="center" vertical="center"/>
    </xf>
    <xf numFmtId="0" fontId="0" fillId="65" borderId="120" xfId="0" applyFill="1" applyBorder="1" applyAlignment="1">
      <alignment horizontal="center" vertical="center"/>
    </xf>
    <xf numFmtId="0" fontId="0" fillId="65" borderId="121" xfId="0" applyFill="1" applyBorder="1" applyAlignment="1">
      <alignment horizontal="center" vertical="center"/>
    </xf>
    <xf numFmtId="194" fontId="0" fillId="65" borderId="113" xfId="0" applyNumberFormat="1" applyFill="1" applyBorder="1" applyAlignment="1">
      <alignment horizontal="center" vertical="center"/>
    </xf>
    <xf numFmtId="194" fontId="0" fillId="65" borderId="82" xfId="0" applyNumberFormat="1" applyFill="1" applyBorder="1" applyAlignment="1">
      <alignment horizontal="center" vertical="center"/>
    </xf>
    <xf numFmtId="194" fontId="0" fillId="65" borderId="121" xfId="0" applyNumberFormat="1" applyFill="1" applyBorder="1" applyAlignment="1">
      <alignment horizontal="center" vertical="center"/>
    </xf>
    <xf numFmtId="194" fontId="0" fillId="65" borderId="120" xfId="0" applyNumberFormat="1" applyFill="1" applyBorder="1" applyAlignment="1">
      <alignment horizontal="center" vertical="center"/>
    </xf>
    <xf numFmtId="192" fontId="29" fillId="65" borderId="0" xfId="19" applyNumberFormat="1" applyFont="1" applyFill="1" applyBorder="1" applyAlignment="1" applyProtection="1">
      <alignment horizontal="center" vertical="center"/>
      <protection hidden="1"/>
    </xf>
    <xf numFmtId="170" fontId="29" fillId="65" borderId="0" xfId="19" applyNumberFormat="1" applyFont="1" applyFill="1" applyBorder="1" applyAlignment="1" applyProtection="1">
      <alignment horizontal="center" vertical="center"/>
      <protection hidden="1"/>
    </xf>
    <xf numFmtId="0" fontId="0" fillId="65" borderId="124" xfId="0" applyFill="1" applyBorder="1" applyAlignment="1">
      <alignment horizontal="center" vertical="center"/>
    </xf>
    <xf numFmtId="0" fontId="0" fillId="65" borderId="126" xfId="0" applyFill="1" applyBorder="1" applyAlignment="1">
      <alignment horizontal="center" vertical="center"/>
    </xf>
    <xf numFmtId="194" fontId="0" fillId="65" borderId="106" xfId="0" applyNumberFormat="1" applyFill="1" applyBorder="1" applyAlignment="1">
      <alignment horizontal="center" vertical="center"/>
    </xf>
    <xf numFmtId="194" fontId="0" fillId="65" borderId="125" xfId="0" applyNumberFormat="1" applyFill="1" applyBorder="1" applyAlignment="1">
      <alignment horizontal="center" vertical="center"/>
    </xf>
    <xf numFmtId="194" fontId="0" fillId="65" borderId="126" xfId="0" applyNumberFormat="1" applyFill="1" applyBorder="1" applyAlignment="1">
      <alignment horizontal="center" vertical="center"/>
    </xf>
    <xf numFmtId="194" fontId="0" fillId="65" borderId="124" xfId="0" applyNumberFormat="1" applyFill="1" applyBorder="1" applyAlignment="1">
      <alignment horizontal="center" vertical="center"/>
    </xf>
    <xf numFmtId="0" fontId="102" fillId="65" borderId="0" xfId="0" applyFont="1" applyFill="1" applyAlignment="1" applyProtection="1">
      <alignment vertical="center"/>
      <protection hidden="1"/>
    </xf>
    <xf numFmtId="0" fontId="103" fillId="65" borderId="0" xfId="0" applyFont="1" applyFill="1" applyAlignment="1" applyProtection="1">
      <alignment vertical="center"/>
      <protection hidden="1"/>
    </xf>
    <xf numFmtId="0" fontId="102" fillId="65" borderId="0" xfId="18" applyFont="1" applyFill="1" applyBorder="1" applyProtection="1">
      <alignment horizontal="center" vertical="center"/>
      <protection hidden="1"/>
    </xf>
    <xf numFmtId="2" fontId="102" fillId="65" borderId="0" xfId="19" applyFont="1" applyFill="1" applyBorder="1" applyAlignment="1" applyProtection="1">
      <alignment horizontal="center" vertical="center"/>
      <protection hidden="1"/>
    </xf>
    <xf numFmtId="0" fontId="0" fillId="13" borderId="114" xfId="0" applyFill="1" applyBorder="1" applyAlignment="1" applyProtection="1">
      <alignment horizontal="center" vertical="center"/>
      <protection locked="0"/>
    </xf>
    <xf numFmtId="0" fontId="0" fillId="13" borderId="121" xfId="0" applyFill="1" applyBorder="1" applyAlignment="1" applyProtection="1">
      <alignment horizontal="center" vertical="center"/>
      <protection locked="0"/>
    </xf>
    <xf numFmtId="0" fontId="0" fillId="13" borderId="126" xfId="0" applyFill="1" applyBorder="1" applyAlignment="1" applyProtection="1">
      <alignment horizontal="center" vertical="center"/>
      <protection locked="0"/>
    </xf>
    <xf numFmtId="0" fontId="92" fillId="48" borderId="89" xfId="0" applyFont="1" applyFill="1" applyBorder="1" applyAlignment="1">
      <alignment vertical="center"/>
    </xf>
    <xf numFmtId="0" fontId="0" fillId="50" borderId="0" xfId="0" applyFill="1" applyProtection="1">
      <protection hidden="1"/>
    </xf>
    <xf numFmtId="0" fontId="0" fillId="50" borderId="0" xfId="0" applyFill="1" applyAlignment="1" applyProtection="1">
      <alignment horizontal="center" vertical="center"/>
      <protection hidden="1"/>
    </xf>
    <xf numFmtId="0" fontId="4" fillId="50" borderId="0" xfId="2" applyFont="1" applyFill="1" applyBorder="1" applyProtection="1">
      <alignment horizontal="center" vertical="center"/>
      <protection hidden="1"/>
    </xf>
    <xf numFmtId="0" fontId="5" fillId="50" borderId="0" xfId="3" applyFill="1" applyBorder="1" applyProtection="1">
      <alignment horizontal="center"/>
      <protection hidden="1"/>
    </xf>
    <xf numFmtId="1" fontId="5" fillId="50" borderId="0" xfId="3" applyNumberFormat="1" applyFill="1" applyBorder="1" applyProtection="1">
      <alignment horizontal="center"/>
      <protection hidden="1"/>
    </xf>
    <xf numFmtId="2" fontId="5" fillId="50" borderId="0" xfId="3" applyNumberFormat="1" applyFill="1" applyBorder="1" applyProtection="1">
      <alignment horizontal="center"/>
      <protection hidden="1"/>
    </xf>
    <xf numFmtId="171" fontId="0" fillId="50" borderId="0" xfId="0" applyNumberFormat="1" applyFill="1" applyProtection="1">
      <protection hidden="1"/>
    </xf>
    <xf numFmtId="194" fontId="0" fillId="50" borderId="115" xfId="0" applyNumberFormat="1" applyFill="1" applyBorder="1" applyAlignment="1">
      <alignment horizontal="center" vertical="center"/>
    </xf>
    <xf numFmtId="194" fontId="0" fillId="50" borderId="116" xfId="0" applyNumberFormat="1" applyFill="1" applyBorder="1" applyAlignment="1">
      <alignment horizontal="center" vertical="center"/>
    </xf>
    <xf numFmtId="194" fontId="0" fillId="50" borderId="120" xfId="0" applyNumberFormat="1" applyFill="1" applyBorder="1" applyAlignment="1">
      <alignment horizontal="center" vertical="center"/>
    </xf>
    <xf numFmtId="194" fontId="0" fillId="50" borderId="121" xfId="0" applyNumberFormat="1" applyFill="1" applyBorder="1" applyAlignment="1">
      <alignment horizontal="center" vertical="center"/>
    </xf>
    <xf numFmtId="194" fontId="0" fillId="50" borderId="124" xfId="0" applyNumberFormat="1" applyFill="1" applyBorder="1" applyAlignment="1">
      <alignment horizontal="center" vertical="center"/>
    </xf>
    <xf numFmtId="194" fontId="0" fillId="50" borderId="126" xfId="0" applyNumberFormat="1" applyFill="1" applyBorder="1" applyAlignment="1">
      <alignment horizontal="center" vertical="center"/>
    </xf>
    <xf numFmtId="0" fontId="92" fillId="67" borderId="99" xfId="0" applyFont="1" applyFill="1" applyBorder="1" applyAlignment="1">
      <alignment horizontal="center" vertical="center"/>
    </xf>
    <xf numFmtId="0" fontId="92" fillId="67" borderId="100" xfId="0" applyFont="1" applyFill="1" applyBorder="1" applyAlignment="1">
      <alignment horizontal="center" vertical="center"/>
    </xf>
    <xf numFmtId="0" fontId="92" fillId="67" borderId="101" xfId="0" applyFont="1" applyFill="1" applyBorder="1" applyAlignment="1">
      <alignment horizontal="center" vertical="center"/>
    </xf>
    <xf numFmtId="0" fontId="92" fillId="67" borderId="47" xfId="0" applyFont="1" applyFill="1" applyBorder="1" applyAlignment="1">
      <alignment horizontal="center" vertical="center"/>
    </xf>
    <xf numFmtId="0" fontId="92" fillId="67" borderId="83" xfId="0" applyFont="1" applyFill="1" applyBorder="1" applyAlignment="1">
      <alignment horizontal="center" vertical="center"/>
    </xf>
    <xf numFmtId="0" fontId="92" fillId="67" borderId="102" xfId="0" applyFont="1" applyFill="1" applyBorder="1" applyAlignment="1">
      <alignment horizontal="center" vertical="center"/>
    </xf>
    <xf numFmtId="0" fontId="92" fillId="67" borderId="101" xfId="0" applyFont="1" applyFill="1" applyBorder="1" applyAlignment="1">
      <alignment horizontal="center" vertical="center" wrapText="1"/>
    </xf>
    <xf numFmtId="0" fontId="92" fillId="67" borderId="99" xfId="0" applyFont="1" applyFill="1" applyBorder="1" applyAlignment="1">
      <alignment horizontal="center" vertical="center" wrapText="1"/>
    </xf>
    <xf numFmtId="0" fontId="92" fillId="67" borderId="100" xfId="0" applyFont="1" applyFill="1" applyBorder="1" applyAlignment="1">
      <alignment horizontal="center" vertical="center" wrapText="1"/>
    </xf>
    <xf numFmtId="0" fontId="92" fillId="67" borderId="102" xfId="0" applyFont="1" applyFill="1" applyBorder="1" applyAlignment="1">
      <alignment horizontal="center" vertical="center" wrapText="1"/>
    </xf>
    <xf numFmtId="0" fontId="92" fillId="67" borderId="110" xfId="0" applyFont="1" applyFill="1" applyBorder="1" applyAlignment="1">
      <alignment horizontal="center" vertical="center" wrapText="1"/>
    </xf>
    <xf numFmtId="0" fontId="0" fillId="41" borderId="83" xfId="0" applyFill="1" applyBorder="1" applyAlignment="1">
      <alignment horizontal="center" vertical="center"/>
    </xf>
    <xf numFmtId="185" fontId="0" fillId="41" borderId="99" xfId="0" applyNumberFormat="1" applyFill="1" applyBorder="1" applyAlignment="1">
      <alignment horizontal="center" vertical="center"/>
    </xf>
    <xf numFmtId="171" fontId="0" fillId="41" borderId="101" xfId="0" applyNumberFormat="1" applyFill="1" applyBorder="1" applyAlignment="1">
      <alignment horizontal="center" vertical="center"/>
    </xf>
    <xf numFmtId="0" fontId="92" fillId="41" borderId="26" xfId="0" applyFont="1" applyFill="1" applyBorder="1" applyAlignment="1">
      <alignment horizontal="center" vertical="center"/>
    </xf>
    <xf numFmtId="0" fontId="0" fillId="41" borderId="106" xfId="0" applyFill="1" applyBorder="1" applyAlignment="1">
      <alignment horizontal="center" vertical="center"/>
    </xf>
    <xf numFmtId="0" fontId="0" fillId="41" borderId="107" xfId="0" applyFill="1" applyBorder="1" applyAlignment="1">
      <alignment horizontal="center" vertical="center"/>
    </xf>
    <xf numFmtId="1" fontId="0" fillId="41" borderId="108" xfId="0" applyNumberFormat="1" applyFill="1" applyBorder="1" applyAlignment="1">
      <alignment horizontal="center" vertical="center"/>
    </xf>
    <xf numFmtId="1" fontId="0" fillId="41" borderId="113" xfId="0" applyNumberFormat="1" applyFill="1" applyBorder="1" applyAlignment="1">
      <alignment horizontal="center" vertical="center"/>
    </xf>
    <xf numFmtId="1" fontId="0" fillId="41" borderId="4" xfId="0" applyNumberFormat="1" applyFill="1" applyBorder="1" applyAlignment="1">
      <alignment horizontal="center" vertical="center"/>
    </xf>
    <xf numFmtId="1" fontId="0" fillId="41" borderId="120" xfId="0" applyNumberFormat="1" applyFill="1" applyBorder="1" applyAlignment="1">
      <alignment horizontal="center" vertical="center"/>
    </xf>
    <xf numFmtId="1" fontId="0" fillId="41" borderId="82" xfId="0" applyNumberFormat="1" applyFill="1" applyBorder="1" applyAlignment="1">
      <alignment horizontal="center" vertical="center"/>
    </xf>
    <xf numFmtId="1" fontId="0" fillId="41" borderId="124" xfId="0" applyNumberFormat="1" applyFill="1" applyBorder="1" applyAlignment="1">
      <alignment horizontal="center" vertical="center"/>
    </xf>
    <xf numFmtId="1" fontId="0" fillId="41" borderId="125" xfId="0" applyNumberFormat="1" applyFill="1" applyBorder="1" applyAlignment="1">
      <alignment horizontal="center" vertical="center"/>
    </xf>
    <xf numFmtId="2" fontId="92" fillId="41" borderId="46" xfId="0" applyNumberFormat="1" applyFont="1" applyFill="1" applyBorder="1" applyAlignment="1">
      <alignment horizontal="center" vertical="center"/>
    </xf>
    <xf numFmtId="0" fontId="92" fillId="48" borderId="83" xfId="0" applyFont="1" applyFill="1" applyBorder="1" applyAlignment="1">
      <alignment horizontal="center" vertical="center"/>
    </xf>
    <xf numFmtId="0" fontId="92" fillId="48" borderId="89" xfId="0" applyFont="1" applyFill="1" applyBorder="1" applyAlignment="1">
      <alignment horizontal="center" vertical="center"/>
    </xf>
    <xf numFmtId="1" fontId="5" fillId="4" borderId="2" xfId="3" applyNumberFormat="1" applyAlignment="1" applyProtection="1">
      <alignment horizontal="center" vertical="center"/>
      <protection locked="0" hidden="1"/>
    </xf>
    <xf numFmtId="165" fontId="87" fillId="0" borderId="2" xfId="0" applyNumberFormat="1" applyFont="1" applyBorder="1" applyAlignment="1" applyProtection="1">
      <alignment horizontal="center" vertical="center"/>
      <protection hidden="1"/>
    </xf>
    <xf numFmtId="171" fontId="86" fillId="0" borderId="2" xfId="6" applyNumberFormat="1" applyFont="1" applyFill="1" applyProtection="1">
      <alignment horizontal="center"/>
      <protection hidden="1"/>
    </xf>
    <xf numFmtId="196" fontId="86" fillId="0" borderId="2" xfId="6" applyNumberFormat="1" applyFont="1" applyFill="1" applyProtection="1">
      <alignment horizontal="center"/>
      <protection hidden="1"/>
    </xf>
    <xf numFmtId="196" fontId="3" fillId="0" borderId="82" xfId="4" applyNumberFormat="1" applyFill="1" applyBorder="1" applyAlignment="1" applyProtection="1">
      <alignment horizontal="center" vertical="center"/>
      <protection locked="0" hidden="1"/>
    </xf>
    <xf numFmtId="196" fontId="86" fillId="0" borderId="0" xfId="0" applyNumberFormat="1" applyFont="1" applyProtection="1">
      <protection hidden="1"/>
    </xf>
    <xf numFmtId="171" fontId="86" fillId="32" borderId="2" xfId="6" applyNumberFormat="1" applyFont="1" applyFill="1" applyProtection="1">
      <alignment horizontal="center"/>
      <protection hidden="1"/>
    </xf>
    <xf numFmtId="171" fontId="86" fillId="0" borderId="2" xfId="6" applyNumberFormat="1" applyFont="1" applyFill="1" applyProtection="1">
      <alignment horizontal="center"/>
      <protection locked="0" hidden="1"/>
    </xf>
    <xf numFmtId="171" fontId="33" fillId="16" borderId="16" xfId="14" applyNumberFormat="1" applyFont="1" applyFill="1" applyBorder="1" applyAlignment="1" applyProtection="1">
      <alignment horizontal="center" vertical="center"/>
      <protection hidden="1"/>
    </xf>
    <xf numFmtId="0" fontId="29" fillId="0" borderId="0" xfId="0" applyFont="1" applyAlignment="1">
      <alignment horizontal="center"/>
    </xf>
    <xf numFmtId="1" fontId="5" fillId="4" borderId="127" xfId="22" applyNumberFormat="1" applyProtection="1">
      <alignment horizontal="center"/>
      <protection hidden="1"/>
    </xf>
    <xf numFmtId="2" fontId="5" fillId="4" borderId="127" xfId="22" applyNumberFormat="1" applyProtection="1">
      <alignment horizontal="center"/>
      <protection hidden="1"/>
    </xf>
    <xf numFmtId="187" fontId="5" fillId="4" borderId="127" xfId="22" applyNumberFormat="1" applyProtection="1">
      <alignment horizontal="center"/>
      <protection hidden="1"/>
    </xf>
    <xf numFmtId="0" fontId="0" fillId="4" borderId="127" xfId="0" applyFill="1" applyBorder="1" applyAlignment="1">
      <alignment horizontal="center"/>
    </xf>
    <xf numFmtId="0" fontId="23" fillId="4" borderId="76" xfId="0" applyFont="1" applyFill="1" applyBorder="1" applyAlignment="1">
      <alignment horizontal="center"/>
    </xf>
    <xf numFmtId="0" fontId="23" fillId="4" borderId="127" xfId="0" applyFont="1" applyFill="1" applyBorder="1" applyAlignment="1">
      <alignment horizontal="center"/>
    </xf>
    <xf numFmtId="0" fontId="0" fillId="0" borderId="127" xfId="0" applyBorder="1" applyAlignment="1">
      <alignment horizontal="center"/>
    </xf>
    <xf numFmtId="0" fontId="23" fillId="0" borderId="127" xfId="0" applyFont="1" applyBorder="1" applyAlignment="1">
      <alignment horizontal="center"/>
    </xf>
    <xf numFmtId="0" fontId="4" fillId="3" borderId="36" xfId="21" applyFont="1" applyFill="1" applyBorder="1" applyProtection="1">
      <alignment horizontal="center" vertical="center"/>
      <protection hidden="1"/>
    </xf>
    <xf numFmtId="0" fontId="4" fillId="3" borderId="5" xfId="21" applyFont="1" applyFill="1" applyBorder="1" applyProtection="1">
      <alignment horizontal="center" vertical="center"/>
      <protection hidden="1"/>
    </xf>
    <xf numFmtId="0" fontId="4" fillId="3" borderId="0" xfId="21" applyFont="1" applyFill="1" applyBorder="1" applyProtection="1">
      <alignment horizontal="center" vertical="center"/>
      <protection hidden="1"/>
    </xf>
    <xf numFmtId="166" fontId="81" fillId="33" borderId="127" xfId="3" applyNumberFormat="1" applyFont="1" applyFill="1" applyBorder="1" applyAlignment="1" applyProtection="1">
      <alignment horizontal="center" vertical="center"/>
      <protection hidden="1"/>
    </xf>
    <xf numFmtId="198" fontId="5" fillId="4" borderId="2" xfId="3" applyNumberFormat="1" applyAlignment="1" applyProtection="1">
      <alignment horizontal="center" vertical="center"/>
      <protection hidden="1"/>
    </xf>
    <xf numFmtId="198" fontId="5" fillId="4" borderId="77" xfId="3" applyNumberFormat="1" applyBorder="1" applyAlignment="1" applyProtection="1">
      <alignment horizontal="center" vertical="center"/>
      <protection hidden="1"/>
    </xf>
    <xf numFmtId="198" fontId="3" fillId="18" borderId="2" xfId="4" applyNumberFormat="1" applyFill="1" applyAlignment="1" applyProtection="1">
      <alignment horizontal="center" vertical="center"/>
      <protection hidden="1"/>
    </xf>
    <xf numFmtId="0" fontId="0" fillId="50" borderId="0" xfId="0" applyFill="1" applyAlignment="1" applyProtection="1">
      <alignment horizontal="center"/>
      <protection hidden="1"/>
    </xf>
    <xf numFmtId="0" fontId="87" fillId="0" borderId="0" xfId="0" applyFont="1" applyAlignment="1" applyProtection="1">
      <alignment horizontal="center" vertical="center"/>
      <protection hidden="1"/>
    </xf>
    <xf numFmtId="0" fontId="104" fillId="43" borderId="127" xfId="0" applyFont="1" applyFill="1" applyBorder="1" applyAlignment="1" applyProtection="1">
      <alignment horizontal="center" vertical="center"/>
      <protection hidden="1"/>
    </xf>
    <xf numFmtId="0" fontId="0" fillId="43" borderId="134" xfId="0" applyFill="1" applyBorder="1" applyProtection="1">
      <protection hidden="1"/>
    </xf>
    <xf numFmtId="0" fontId="0" fillId="43" borderId="135" xfId="0" applyFill="1" applyBorder="1" applyProtection="1">
      <protection hidden="1"/>
    </xf>
    <xf numFmtId="0" fontId="0" fillId="43" borderId="136" xfId="0" applyFill="1" applyBorder="1" applyProtection="1">
      <protection hidden="1"/>
    </xf>
    <xf numFmtId="200" fontId="81" fillId="33" borderId="127" xfId="3" applyNumberFormat="1" applyFont="1" applyFill="1" applyBorder="1" applyAlignment="1" applyProtection="1">
      <alignment horizontal="center" vertical="center"/>
      <protection hidden="1"/>
    </xf>
    <xf numFmtId="165" fontId="87" fillId="0" borderId="137" xfId="0" applyNumberFormat="1" applyFont="1" applyBorder="1" applyAlignment="1" applyProtection="1">
      <alignment horizontal="center" vertical="center"/>
      <protection hidden="1"/>
    </xf>
    <xf numFmtId="0" fontId="104" fillId="43" borderId="137" xfId="0" applyFont="1" applyFill="1" applyBorder="1" applyAlignment="1" applyProtection="1">
      <alignment horizontal="center" vertical="center"/>
      <protection hidden="1"/>
    </xf>
    <xf numFmtId="165" fontId="87" fillId="0" borderId="136" xfId="0" applyNumberFormat="1" applyFont="1" applyBorder="1" applyAlignment="1" applyProtection="1">
      <alignment horizontal="center" vertical="center"/>
      <protection hidden="1"/>
    </xf>
    <xf numFmtId="0" fontId="86" fillId="5" borderId="2" xfId="4" applyFont="1" applyAlignment="1" applyProtection="1">
      <alignment horizontal="center" vertical="center"/>
      <protection locked="0" hidden="1"/>
    </xf>
    <xf numFmtId="0" fontId="81" fillId="5" borderId="127" xfId="4" applyFont="1" applyBorder="1" applyAlignment="1" applyProtection="1">
      <alignment horizontal="center" vertical="center"/>
      <protection locked="0" hidden="1"/>
    </xf>
    <xf numFmtId="0" fontId="104" fillId="42" borderId="2" xfId="2" applyFont="1" applyFill="1" applyProtection="1">
      <alignment horizontal="center" vertical="center"/>
      <protection hidden="1"/>
    </xf>
    <xf numFmtId="1" fontId="86" fillId="5" borderId="2" xfId="4" applyNumberFormat="1" applyFont="1" applyAlignment="1" applyProtection="1">
      <alignment horizontal="center" vertical="center"/>
      <protection locked="0" hidden="1"/>
    </xf>
    <xf numFmtId="185" fontId="86" fillId="5" borderId="2" xfId="4" applyNumberFormat="1" applyFont="1" applyAlignment="1" applyProtection="1">
      <alignment horizontal="center" vertical="center"/>
      <protection locked="0" hidden="1"/>
    </xf>
    <xf numFmtId="0" fontId="106" fillId="43" borderId="5" xfId="0" applyFont="1" applyFill="1" applyBorder="1" applyAlignment="1" applyProtection="1">
      <alignment horizontal="center"/>
      <protection hidden="1"/>
    </xf>
    <xf numFmtId="0" fontId="104" fillId="42" borderId="76" xfId="2" applyFont="1" applyFill="1" applyBorder="1" applyProtection="1">
      <alignment horizontal="center" vertical="center"/>
      <protection hidden="1"/>
    </xf>
    <xf numFmtId="0" fontId="106" fillId="43" borderId="6" xfId="0" applyFont="1" applyFill="1" applyBorder="1" applyAlignment="1" applyProtection="1">
      <alignment horizontal="center"/>
      <protection hidden="1"/>
    </xf>
    <xf numFmtId="0" fontId="104" fillId="42" borderId="136" xfId="2" applyFont="1" applyFill="1" applyBorder="1" applyProtection="1">
      <alignment horizontal="center" vertical="center"/>
      <protection hidden="1"/>
    </xf>
    <xf numFmtId="0" fontId="105" fillId="8" borderId="0" xfId="0" applyFont="1" applyFill="1" applyAlignment="1" applyProtection="1">
      <alignment horizontal="center" vertical="center"/>
      <protection hidden="1"/>
    </xf>
    <xf numFmtId="0" fontId="106" fillId="43" borderId="3" xfId="0" applyFont="1" applyFill="1" applyBorder="1" applyAlignment="1" applyProtection="1">
      <alignment horizontal="center" vertical="center"/>
      <protection hidden="1"/>
    </xf>
    <xf numFmtId="0" fontId="106" fillId="0" borderId="5" xfId="0" applyFont="1" applyBorder="1" applyAlignment="1" applyProtection="1">
      <alignment horizontal="center"/>
      <protection hidden="1"/>
    </xf>
    <xf numFmtId="0" fontId="106" fillId="0" borderId="0" xfId="0" applyFont="1" applyAlignment="1" applyProtection="1">
      <alignment horizontal="center"/>
      <protection hidden="1"/>
    </xf>
    <xf numFmtId="2" fontId="106" fillId="0" borderId="0" xfId="0" applyNumberFormat="1" applyFont="1" applyAlignment="1" applyProtection="1">
      <alignment horizontal="center"/>
      <protection hidden="1"/>
    </xf>
    <xf numFmtId="0" fontId="104" fillId="42" borderId="127" xfId="2" applyFont="1" applyFill="1" applyBorder="1" applyProtection="1">
      <alignment horizontal="center" vertical="center"/>
      <protection hidden="1"/>
    </xf>
    <xf numFmtId="0" fontId="105" fillId="7" borderId="127" xfId="2" applyFont="1" applyFill="1" applyBorder="1" applyProtection="1">
      <alignment horizontal="center" vertical="center"/>
      <protection hidden="1"/>
    </xf>
    <xf numFmtId="197" fontId="107" fillId="68" borderId="137" xfId="2" applyNumberFormat="1" applyFont="1" applyFill="1" applyBorder="1" applyProtection="1">
      <alignment horizontal="center" vertical="center"/>
      <protection hidden="1"/>
    </xf>
    <xf numFmtId="195" fontId="104" fillId="69" borderId="2" xfId="4" applyNumberFormat="1" applyFont="1" applyFill="1" applyAlignment="1" applyProtection="1">
      <alignment horizontal="center" vertical="center"/>
      <protection locked="0" hidden="1"/>
    </xf>
    <xf numFmtId="195" fontId="86" fillId="5" borderId="2" xfId="4" applyNumberFormat="1" applyFont="1" applyAlignment="1" applyProtection="1">
      <alignment horizontal="center" vertical="center"/>
      <protection locked="0" hidden="1"/>
    </xf>
    <xf numFmtId="195" fontId="87" fillId="33" borderId="127" xfId="0" applyNumberFormat="1" applyFont="1" applyFill="1" applyBorder="1" applyAlignment="1" applyProtection="1">
      <alignment horizontal="center"/>
      <protection hidden="1"/>
    </xf>
    <xf numFmtId="195" fontId="87" fillId="33" borderId="136" xfId="0" applyNumberFormat="1" applyFont="1" applyFill="1" applyBorder="1" applyAlignment="1" applyProtection="1">
      <alignment horizontal="center"/>
      <protection hidden="1"/>
    </xf>
    <xf numFmtId="195" fontId="87" fillId="33" borderId="127" xfId="0" applyNumberFormat="1" applyFont="1" applyFill="1" applyBorder="1" applyAlignment="1" applyProtection="1">
      <alignment horizontal="center" vertical="center"/>
      <protection hidden="1"/>
    </xf>
    <xf numFmtId="168" fontId="86" fillId="33" borderId="127" xfId="3" applyNumberFormat="1" applyFont="1" applyFill="1" applyBorder="1" applyProtection="1">
      <alignment horizontal="center"/>
      <protection hidden="1"/>
    </xf>
    <xf numFmtId="2" fontId="86" fillId="33" borderId="127" xfId="3" applyNumberFormat="1" applyFont="1" applyFill="1" applyBorder="1" applyProtection="1">
      <alignment horizontal="center"/>
      <protection hidden="1"/>
    </xf>
    <xf numFmtId="191" fontId="86" fillId="33" borderId="127" xfId="20" applyNumberFormat="1" applyFont="1" applyFill="1" applyBorder="1" applyAlignment="1" applyProtection="1">
      <alignment horizontal="center"/>
      <protection hidden="1"/>
    </xf>
    <xf numFmtId="0" fontId="104" fillId="68" borderId="127" xfId="2" applyFont="1" applyFill="1" applyBorder="1" applyProtection="1">
      <alignment horizontal="center" vertical="center"/>
      <protection hidden="1"/>
    </xf>
    <xf numFmtId="195" fontId="86" fillId="33" borderId="127" xfId="3" applyNumberFormat="1" applyFont="1" applyFill="1" applyBorder="1" applyProtection="1">
      <alignment horizontal="center"/>
      <protection hidden="1"/>
    </xf>
    <xf numFmtId="1" fontId="86" fillId="33" borderId="2" xfId="3" applyNumberFormat="1" applyFont="1" applyFill="1" applyAlignment="1" applyProtection="1">
      <alignment horizontal="center" vertical="center"/>
      <protection hidden="1"/>
    </xf>
    <xf numFmtId="195" fontId="86" fillId="33" borderId="2" xfId="3" applyNumberFormat="1" applyFont="1" applyFill="1" applyAlignment="1" applyProtection="1">
      <alignment horizontal="center" vertical="center"/>
      <protection hidden="1"/>
    </xf>
    <xf numFmtId="165" fontId="81" fillId="33" borderId="76" xfId="3" applyNumberFormat="1" applyFont="1" applyFill="1" applyBorder="1" applyAlignment="1" applyProtection="1">
      <alignment horizontal="center" vertical="center"/>
      <protection hidden="1"/>
    </xf>
    <xf numFmtId="0" fontId="106" fillId="43" borderId="138" xfId="0" applyFont="1" applyFill="1" applyBorder="1" applyAlignment="1" applyProtection="1">
      <alignment horizontal="center" vertical="center"/>
      <protection hidden="1"/>
    </xf>
    <xf numFmtId="0" fontId="104" fillId="42" borderId="139" xfId="2" applyFont="1" applyFill="1" applyBorder="1" applyProtection="1">
      <alignment horizontal="center" vertical="center"/>
      <protection hidden="1"/>
    </xf>
    <xf numFmtId="0" fontId="106" fillId="43" borderId="139" xfId="0" applyFont="1" applyFill="1" applyBorder="1" applyAlignment="1" applyProtection="1">
      <alignment horizontal="center"/>
      <protection hidden="1"/>
    </xf>
    <xf numFmtId="0" fontId="106" fillId="43" borderId="140" xfId="0" applyFont="1" applyFill="1" applyBorder="1" applyAlignment="1" applyProtection="1">
      <alignment horizontal="center"/>
      <protection hidden="1"/>
    </xf>
    <xf numFmtId="0" fontId="106" fillId="0" borderId="0" xfId="0" applyFont="1" applyProtection="1">
      <protection hidden="1"/>
    </xf>
    <xf numFmtId="0" fontId="106" fillId="50" borderId="141" xfId="0" applyFont="1" applyFill="1" applyBorder="1" applyProtection="1">
      <protection hidden="1"/>
    </xf>
    <xf numFmtId="0" fontId="104" fillId="43" borderId="142" xfId="0" applyFont="1" applyFill="1" applyBorder="1" applyAlignment="1" applyProtection="1">
      <alignment horizontal="center" vertical="center"/>
      <protection hidden="1"/>
    </xf>
    <xf numFmtId="0" fontId="104" fillId="42" borderId="143" xfId="2" applyFont="1" applyFill="1" applyBorder="1" applyProtection="1">
      <alignment horizontal="center" vertical="center"/>
      <protection hidden="1"/>
    </xf>
    <xf numFmtId="0" fontId="106" fillId="43" borderId="143" xfId="0" applyFont="1" applyFill="1" applyBorder="1" applyAlignment="1" applyProtection="1">
      <alignment horizontal="center"/>
      <protection hidden="1"/>
    </xf>
    <xf numFmtId="0" fontId="106" fillId="43" borderId="144" xfId="0" applyFont="1" applyFill="1" applyBorder="1" applyAlignment="1" applyProtection="1">
      <alignment horizontal="center"/>
      <protection hidden="1"/>
    </xf>
    <xf numFmtId="197" fontId="85" fillId="4" borderId="2" xfId="3" applyNumberFormat="1" applyFont="1" applyProtection="1">
      <alignment horizontal="center"/>
      <protection hidden="1"/>
    </xf>
    <xf numFmtId="197" fontId="85" fillId="18" borderId="2" xfId="4" applyNumberFormat="1" applyFont="1" applyFill="1" applyProtection="1">
      <alignment horizontal="center"/>
      <protection hidden="1"/>
    </xf>
    <xf numFmtId="197" fontId="85" fillId="33" borderId="2" xfId="3" applyNumberFormat="1" applyFont="1" applyFill="1" applyProtection="1">
      <alignment horizontal="center"/>
      <protection hidden="1"/>
    </xf>
    <xf numFmtId="0" fontId="85" fillId="4" borderId="2" xfId="3" applyFont="1" applyAlignment="1" applyProtection="1">
      <alignment horizontal="center" vertical="center"/>
      <protection hidden="1"/>
    </xf>
    <xf numFmtId="0" fontId="23" fillId="5" borderId="2" xfId="4" applyFont="1" applyAlignment="1" applyProtection="1">
      <alignment horizontal="center" vertical="center"/>
      <protection locked="0" hidden="1"/>
    </xf>
    <xf numFmtId="191" fontId="23" fillId="4" borderId="2" xfId="3" applyNumberFormat="1" applyFont="1" applyProtection="1">
      <alignment horizontal="center"/>
      <protection hidden="1"/>
    </xf>
    <xf numFmtId="191" fontId="23" fillId="18" borderId="2" xfId="4" applyNumberFormat="1" applyFont="1" applyFill="1" applyAlignment="1" applyProtection="1">
      <alignment horizontal="center" vertical="center"/>
      <protection hidden="1"/>
    </xf>
    <xf numFmtId="191" fontId="23" fillId="4" borderId="2" xfId="3" applyNumberFormat="1" applyFont="1" applyAlignment="1" applyProtection="1">
      <alignment horizontal="center" vertical="center" wrapText="1" shrinkToFit="1"/>
      <protection hidden="1"/>
    </xf>
    <xf numFmtId="0" fontId="3" fillId="0" borderId="4" xfId="2" applyFill="1" applyBorder="1" applyProtection="1">
      <alignment horizontal="center" vertical="center"/>
      <protection hidden="1"/>
    </xf>
    <xf numFmtId="0" fontId="29" fillId="0" borderId="5" xfId="0" applyFont="1" applyBorder="1" applyAlignment="1" applyProtection="1">
      <alignment vertical="center"/>
      <protection hidden="1"/>
    </xf>
    <xf numFmtId="0" fontId="29" fillId="0" borderId="0" xfId="0" applyFont="1" applyAlignment="1" applyProtection="1">
      <alignment vertical="center"/>
      <protection hidden="1"/>
    </xf>
    <xf numFmtId="1" fontId="5" fillId="0" borderId="4" xfId="3" applyNumberFormat="1" applyFill="1" applyBorder="1" applyAlignment="1" applyProtection="1">
      <alignment horizontal="center" vertical="center"/>
      <protection hidden="1"/>
    </xf>
    <xf numFmtId="0" fontId="108" fillId="0" borderId="4" xfId="2" applyFont="1" applyFill="1" applyBorder="1" applyProtection="1">
      <alignment horizontal="center" vertical="center"/>
      <protection hidden="1"/>
    </xf>
    <xf numFmtId="0" fontId="108" fillId="0" borderId="2" xfId="2" applyFont="1" applyFill="1" applyProtection="1">
      <alignment horizontal="center" vertical="center"/>
      <protection hidden="1"/>
    </xf>
    <xf numFmtId="0" fontId="29" fillId="0" borderId="3" xfId="0" applyFont="1" applyBorder="1" applyAlignment="1" applyProtection="1">
      <alignment vertical="center"/>
      <protection hidden="1"/>
    </xf>
    <xf numFmtId="0" fontId="86" fillId="0" borderId="0" xfId="0" applyFont="1" applyAlignment="1" applyProtection="1">
      <alignment vertical="center"/>
      <protection hidden="1"/>
    </xf>
    <xf numFmtId="0" fontId="86" fillId="0" borderId="127" xfId="0" applyFont="1" applyBorder="1" applyAlignment="1" applyProtection="1">
      <alignment horizontal="center" vertical="center"/>
      <protection hidden="1"/>
    </xf>
    <xf numFmtId="0" fontId="86" fillId="0" borderId="127" xfId="0" applyFont="1" applyBorder="1" applyAlignment="1" applyProtection="1">
      <alignment horizontal="right" vertical="center"/>
      <protection hidden="1"/>
    </xf>
    <xf numFmtId="0" fontId="86" fillId="0" borderId="127" xfId="0" applyFont="1" applyBorder="1" applyAlignment="1" applyProtection="1">
      <alignment vertical="center"/>
      <protection hidden="1"/>
    </xf>
    <xf numFmtId="0" fontId="29" fillId="0" borderId="7" xfId="0" applyFont="1" applyBorder="1" applyAlignment="1" applyProtection="1">
      <alignment vertical="center"/>
      <protection hidden="1"/>
    </xf>
    <xf numFmtId="0" fontId="29" fillId="0" borderId="6" xfId="0" applyFont="1" applyBorder="1" applyAlignment="1" applyProtection="1">
      <alignment vertical="center"/>
      <protection hidden="1"/>
    </xf>
    <xf numFmtId="199" fontId="45" fillId="68" borderId="137" xfId="2" applyNumberFormat="1" applyFont="1" applyFill="1" applyBorder="1" applyProtection="1">
      <alignment horizontal="center" vertical="center"/>
      <protection hidden="1"/>
    </xf>
    <xf numFmtId="168" fontId="110" fillId="33" borderId="127" xfId="0" applyNumberFormat="1" applyFont="1" applyFill="1" applyBorder="1" applyAlignment="1" applyProtection="1">
      <alignment horizontal="center" vertical="center"/>
      <protection hidden="1"/>
    </xf>
    <xf numFmtId="196" fontId="3" fillId="32" borderId="82" xfId="4" applyNumberFormat="1" applyFill="1" applyBorder="1" applyAlignment="1" applyProtection="1">
      <alignment horizontal="center" vertical="center"/>
      <protection locked="0" hidden="1"/>
    </xf>
    <xf numFmtId="187" fontId="86" fillId="0" borderId="82" xfId="3" applyNumberFormat="1" applyFont="1" applyFill="1" applyBorder="1" applyProtection="1">
      <alignment horizontal="center"/>
      <protection hidden="1"/>
    </xf>
    <xf numFmtId="0" fontId="0" fillId="0" borderId="127" xfId="0" applyBorder="1" applyAlignment="1" applyProtection="1">
      <alignment horizontal="center"/>
      <protection hidden="1"/>
    </xf>
    <xf numFmtId="0" fontId="112" fillId="0" borderId="127" xfId="0" applyFont="1" applyBorder="1" applyAlignment="1" applyProtection="1">
      <alignment vertical="center"/>
      <protection hidden="1"/>
    </xf>
    <xf numFmtId="0" fontId="86" fillId="0" borderId="127" xfId="0" applyFont="1" applyBorder="1" applyAlignment="1" applyProtection="1">
      <alignment horizontal="center"/>
      <protection hidden="1"/>
    </xf>
    <xf numFmtId="184" fontId="86" fillId="0" borderId="127" xfId="0" applyNumberFormat="1" applyFont="1" applyBorder="1" applyAlignment="1" applyProtection="1">
      <alignment horizontal="center"/>
      <protection hidden="1"/>
    </xf>
    <xf numFmtId="168" fontId="86" fillId="0" borderId="127" xfId="0" applyNumberFormat="1" applyFont="1" applyBorder="1" applyAlignment="1" applyProtection="1">
      <alignment horizontal="center"/>
      <protection hidden="1"/>
    </xf>
    <xf numFmtId="196" fontId="3" fillId="0" borderId="127" xfId="4" applyNumberFormat="1" applyFill="1" applyBorder="1" applyAlignment="1" applyProtection="1">
      <alignment horizontal="center" vertical="center"/>
      <protection locked="0" hidden="1"/>
    </xf>
    <xf numFmtId="175" fontId="86" fillId="0" borderId="127" xfId="3" applyNumberFormat="1" applyFont="1" applyFill="1" applyBorder="1" applyProtection="1">
      <alignment horizontal="center"/>
      <protection hidden="1"/>
    </xf>
    <xf numFmtId="171" fontId="86" fillId="14" borderId="2" xfId="6" applyNumberFormat="1" applyFont="1" applyFill="1" applyProtection="1">
      <alignment horizontal="center"/>
      <protection locked="0" hidden="1"/>
    </xf>
    <xf numFmtId="0" fontId="86" fillId="61" borderId="127" xfId="0" applyFont="1" applyFill="1" applyBorder="1" applyAlignment="1" applyProtection="1">
      <alignment horizontal="center"/>
      <protection hidden="1"/>
    </xf>
    <xf numFmtId="2" fontId="87" fillId="63" borderId="127" xfId="0" applyNumberFormat="1" applyFont="1" applyFill="1" applyBorder="1" applyAlignment="1">
      <alignment horizontal="center" vertical="center"/>
    </xf>
    <xf numFmtId="193" fontId="87" fillId="64" borderId="127" xfId="0" applyNumberFormat="1" applyFont="1" applyFill="1" applyBorder="1" applyAlignment="1">
      <alignment horizontal="center" vertical="center"/>
    </xf>
    <xf numFmtId="0" fontId="50" fillId="8" borderId="16" xfId="0" applyFont="1" applyFill="1" applyBorder="1" applyAlignment="1">
      <alignment horizontal="center"/>
    </xf>
    <xf numFmtId="0" fontId="81" fillId="0" borderId="137" xfId="2" applyFont="1" applyFill="1" applyBorder="1" applyProtection="1">
      <alignment horizontal="center" vertical="center"/>
      <protection hidden="1"/>
    </xf>
    <xf numFmtId="0" fontId="86" fillId="0" borderId="137" xfId="0" applyFont="1" applyBorder="1" applyAlignment="1" applyProtection="1">
      <alignment horizontal="center"/>
      <protection hidden="1"/>
    </xf>
    <xf numFmtId="184" fontId="86" fillId="0" borderId="137" xfId="0" applyNumberFormat="1" applyFont="1" applyBorder="1" applyAlignment="1" applyProtection="1">
      <alignment horizontal="center"/>
      <protection hidden="1"/>
    </xf>
    <xf numFmtId="168" fontId="86" fillId="0" borderId="137" xfId="0" applyNumberFormat="1" applyFont="1" applyBorder="1" applyAlignment="1" applyProtection="1">
      <alignment horizontal="center"/>
      <protection hidden="1"/>
    </xf>
    <xf numFmtId="196" fontId="3" fillId="0" borderId="137" xfId="4" applyNumberFormat="1" applyFill="1" applyBorder="1" applyAlignment="1" applyProtection="1">
      <alignment horizontal="center" vertical="center"/>
      <protection locked="0" hidden="1"/>
    </xf>
    <xf numFmtId="196" fontId="86" fillId="0" borderId="137" xfId="6" applyNumberFormat="1" applyFont="1" applyFill="1" applyBorder="1" applyProtection="1">
      <alignment horizontal="center"/>
      <protection hidden="1"/>
    </xf>
    <xf numFmtId="171" fontId="86" fillId="0" borderId="137" xfId="6" applyNumberFormat="1" applyFont="1" applyFill="1" applyBorder="1" applyProtection="1">
      <alignment horizontal="center"/>
      <protection hidden="1"/>
    </xf>
    <xf numFmtId="175" fontId="86" fillId="0" borderId="137" xfId="3" applyNumberFormat="1" applyFont="1" applyFill="1" applyBorder="1" applyProtection="1">
      <alignment horizontal="center"/>
      <protection hidden="1"/>
    </xf>
    <xf numFmtId="171" fontId="86" fillId="0" borderId="137" xfId="6" applyNumberFormat="1" applyFont="1" applyFill="1" applyBorder="1" applyProtection="1">
      <alignment horizontal="center"/>
      <protection locked="0" hidden="1"/>
    </xf>
    <xf numFmtId="0" fontId="86" fillId="0" borderId="4" xfId="0" applyFont="1" applyBorder="1" applyAlignment="1" applyProtection="1">
      <alignment horizontal="center"/>
      <protection hidden="1"/>
    </xf>
    <xf numFmtId="184" fontId="86" fillId="0" borderId="4" xfId="0" applyNumberFormat="1" applyFont="1" applyBorder="1" applyAlignment="1" applyProtection="1">
      <alignment horizontal="center"/>
      <protection hidden="1"/>
    </xf>
    <xf numFmtId="168" fontId="86" fillId="0" borderId="4" xfId="0" applyNumberFormat="1" applyFont="1" applyBorder="1" applyAlignment="1" applyProtection="1">
      <alignment horizontal="center"/>
      <protection hidden="1"/>
    </xf>
    <xf numFmtId="196" fontId="3" fillId="0" borderId="4" xfId="4" applyNumberFormat="1" applyFill="1" applyBorder="1" applyAlignment="1" applyProtection="1">
      <alignment horizontal="center" vertical="center"/>
      <protection locked="0" hidden="1"/>
    </xf>
    <xf numFmtId="196" fontId="86" fillId="0" borderId="4" xfId="6" applyNumberFormat="1" applyFont="1" applyFill="1" applyBorder="1" applyProtection="1">
      <alignment horizontal="center"/>
      <protection hidden="1"/>
    </xf>
    <xf numFmtId="171" fontId="86" fillId="0" borderId="4" xfId="6" applyNumberFormat="1" applyFont="1" applyFill="1" applyBorder="1" applyProtection="1">
      <alignment horizontal="center"/>
      <protection hidden="1"/>
    </xf>
    <xf numFmtId="175" fontId="86" fillId="0" borderId="4" xfId="3" applyNumberFormat="1" applyFont="1" applyFill="1" applyBorder="1" applyProtection="1">
      <alignment horizontal="center"/>
      <protection hidden="1"/>
    </xf>
    <xf numFmtId="171" fontId="86" fillId="0" borderId="4" xfId="6" applyNumberFormat="1" applyFont="1" applyFill="1" applyBorder="1" applyProtection="1">
      <alignment horizontal="center"/>
      <protection locked="0" hidden="1"/>
    </xf>
    <xf numFmtId="0" fontId="81" fillId="0" borderId="127" xfId="0" applyFont="1" applyBorder="1" applyAlignment="1" applyProtection="1">
      <alignment horizontal="center" vertical="center"/>
      <protection hidden="1"/>
    </xf>
    <xf numFmtId="202" fontId="0" fillId="0" borderId="127" xfId="0" applyNumberFormat="1" applyBorder="1" applyAlignment="1" applyProtection="1">
      <alignment vertical="center"/>
      <protection hidden="1"/>
    </xf>
    <xf numFmtId="0" fontId="103" fillId="0" borderId="127" xfId="12" applyFont="1" applyBorder="1" applyProtection="1">
      <protection hidden="1"/>
    </xf>
    <xf numFmtId="201" fontId="0" fillId="0" borderId="127" xfId="0" applyNumberFormat="1" applyBorder="1" applyAlignment="1" applyProtection="1">
      <alignment vertical="center"/>
      <protection hidden="1"/>
    </xf>
    <xf numFmtId="0" fontId="81" fillId="0" borderId="2" xfId="5" applyFont="1" applyFill="1" applyProtection="1">
      <alignment horizontal="center"/>
      <protection hidden="1"/>
    </xf>
    <xf numFmtId="49" fontId="7" fillId="0" borderId="18" xfId="2" applyNumberFormat="1" applyFont="1" applyFill="1" applyBorder="1" applyAlignment="1" applyProtection="1">
      <alignment horizontal="center" vertical="center" textRotation="90" wrapText="1"/>
      <protection hidden="1"/>
    </xf>
    <xf numFmtId="49" fontId="7" fillId="0" borderId="14" xfId="2" applyNumberFormat="1" applyFont="1" applyFill="1" applyBorder="1" applyAlignment="1" applyProtection="1">
      <alignment horizontal="center" vertical="center" textRotation="90" wrapText="1"/>
      <protection hidden="1"/>
    </xf>
    <xf numFmtId="49" fontId="7" fillId="0" borderId="4" xfId="2" applyNumberFormat="1" applyFont="1" applyFill="1" applyBorder="1" applyAlignment="1" applyProtection="1">
      <alignment horizontal="center" vertical="center" textRotation="90" wrapText="1"/>
      <protection hidden="1"/>
    </xf>
    <xf numFmtId="0" fontId="85" fillId="0" borderId="13" xfId="5" applyFont="1" applyFill="1" applyBorder="1" applyProtection="1">
      <alignment horizontal="center"/>
      <protection hidden="1"/>
    </xf>
    <xf numFmtId="0" fontId="85" fillId="0" borderId="19" xfId="5" applyFont="1" applyFill="1" applyBorder="1" applyProtection="1">
      <alignment horizontal="center"/>
      <protection hidden="1"/>
    </xf>
    <xf numFmtId="0" fontId="85" fillId="0" borderId="12" xfId="5" applyFont="1" applyFill="1" applyBorder="1" applyProtection="1">
      <alignment horizontal="center"/>
      <protection hidden="1"/>
    </xf>
    <xf numFmtId="0" fontId="85" fillId="0" borderId="2" xfId="0" applyFont="1" applyBorder="1" applyAlignment="1" applyProtection="1">
      <alignment horizontal="center" vertical="center"/>
      <protection hidden="1"/>
    </xf>
    <xf numFmtId="0" fontId="81" fillId="0" borderId="2" xfId="2" applyFont="1" applyFill="1" applyProtection="1">
      <alignment horizontal="center" vertical="center"/>
      <protection hidden="1"/>
    </xf>
    <xf numFmtId="0" fontId="85" fillId="0" borderId="2" xfId="5" applyFont="1" applyFill="1" applyProtection="1">
      <alignment horizontal="center"/>
      <protection hidden="1"/>
    </xf>
    <xf numFmtId="0" fontId="85" fillId="0" borderId="13" xfId="2" applyFont="1" applyFill="1" applyBorder="1" applyProtection="1">
      <alignment horizontal="center" vertical="center"/>
      <protection hidden="1"/>
    </xf>
    <xf numFmtId="0" fontId="85" fillId="0" borderId="19" xfId="2" applyFont="1" applyFill="1" applyBorder="1" applyProtection="1">
      <alignment horizontal="center" vertical="center"/>
      <protection hidden="1"/>
    </xf>
    <xf numFmtId="0" fontId="85" fillId="0" borderId="12" xfId="2" applyFont="1" applyFill="1" applyBorder="1" applyProtection="1">
      <alignment horizontal="center" vertical="center"/>
      <protection hidden="1"/>
    </xf>
    <xf numFmtId="168" fontId="81" fillId="0" borderId="2" xfId="5" applyNumberFormat="1" applyFont="1" applyFill="1" applyProtection="1">
      <alignment horizontal="center"/>
      <protection hidden="1"/>
    </xf>
    <xf numFmtId="0" fontId="81" fillId="0" borderId="2" xfId="0" applyFont="1" applyBorder="1" applyAlignment="1" applyProtection="1">
      <alignment horizontal="center"/>
      <protection hidden="1"/>
    </xf>
    <xf numFmtId="0" fontId="85" fillId="0" borderId="13" xfId="5" applyFont="1" applyFill="1" applyBorder="1" applyAlignment="1" applyProtection="1">
      <alignment horizontal="center" vertical="center"/>
      <protection hidden="1"/>
    </xf>
    <xf numFmtId="0" fontId="85" fillId="0" borderId="19" xfId="5" applyFont="1" applyFill="1" applyBorder="1" applyAlignment="1" applyProtection="1">
      <alignment horizontal="center" vertical="center"/>
      <protection hidden="1"/>
    </xf>
    <xf numFmtId="0" fontId="85" fillId="0" borderId="12" xfId="5" applyFont="1" applyFill="1" applyBorder="1" applyAlignment="1" applyProtection="1">
      <alignment horizontal="center" vertical="center"/>
      <protection hidden="1"/>
    </xf>
    <xf numFmtId="0" fontId="85" fillId="0" borderId="2" xfId="5" applyFont="1" applyFill="1" applyAlignment="1" applyProtection="1">
      <alignment horizontal="center" vertical="center"/>
      <protection hidden="1"/>
    </xf>
    <xf numFmtId="0" fontId="39" fillId="0" borderId="13" xfId="0" applyFont="1" applyBorder="1" applyAlignment="1" applyProtection="1">
      <alignment horizontal="center" vertical="center"/>
      <protection hidden="1"/>
    </xf>
    <xf numFmtId="0" fontId="39" fillId="0" borderId="12" xfId="0" applyFont="1" applyBorder="1" applyAlignment="1" applyProtection="1">
      <alignment horizontal="center" vertical="center"/>
      <protection hidden="1"/>
    </xf>
    <xf numFmtId="0" fontId="108" fillId="0" borderId="2" xfId="2" applyFont="1" applyFill="1" applyProtection="1">
      <alignment horizontal="center" vertical="center"/>
      <protection hidden="1"/>
    </xf>
    <xf numFmtId="2" fontId="109" fillId="0" borderId="136" xfId="4" applyNumberFormat="1" applyFont="1" applyFill="1" applyBorder="1" applyAlignment="1" applyProtection="1">
      <alignment horizontal="center" vertical="center"/>
      <protection hidden="1"/>
    </xf>
    <xf numFmtId="2" fontId="109" fillId="0" borderId="134" xfId="4" applyNumberFormat="1" applyFont="1" applyFill="1" applyBorder="1" applyAlignment="1" applyProtection="1">
      <alignment horizontal="center" vertical="center"/>
      <protection hidden="1"/>
    </xf>
    <xf numFmtId="2" fontId="109" fillId="0" borderId="135" xfId="4" applyNumberFormat="1" applyFont="1" applyFill="1" applyBorder="1" applyAlignment="1" applyProtection="1">
      <alignment horizontal="center" vertical="center"/>
      <protection hidden="1"/>
    </xf>
    <xf numFmtId="1" fontId="51" fillId="0" borderId="50" xfId="3" applyNumberFormat="1" applyFont="1" applyFill="1" applyBorder="1" applyAlignment="1" applyProtection="1">
      <alignment horizontal="center" vertical="center"/>
      <protection hidden="1"/>
    </xf>
    <xf numFmtId="1" fontId="51" fillId="0" borderId="51" xfId="3" applyNumberFormat="1" applyFont="1" applyFill="1" applyBorder="1" applyAlignment="1" applyProtection="1">
      <alignment horizontal="center" vertical="center"/>
      <protection hidden="1"/>
    </xf>
    <xf numFmtId="0" fontId="111" fillId="0" borderId="138" xfId="5" applyFont="1" applyFill="1" applyBorder="1" applyAlignment="1" applyProtection="1">
      <alignment horizontal="center" vertical="center"/>
      <protection hidden="1"/>
    </xf>
    <xf numFmtId="0" fontId="111" fillId="0" borderId="139" xfId="5" applyFont="1" applyFill="1" applyBorder="1" applyAlignment="1" applyProtection="1">
      <alignment horizontal="center" vertical="center"/>
      <protection hidden="1"/>
    </xf>
    <xf numFmtId="0" fontId="111" fillId="0" borderId="140" xfId="5" applyFont="1" applyFill="1" applyBorder="1" applyAlignment="1" applyProtection="1">
      <alignment horizontal="center" vertical="center"/>
      <protection hidden="1"/>
    </xf>
    <xf numFmtId="0" fontId="111" fillId="0" borderId="5" xfId="5" applyFont="1" applyFill="1" applyBorder="1" applyAlignment="1" applyProtection="1">
      <alignment horizontal="center" vertical="center"/>
      <protection hidden="1"/>
    </xf>
    <xf numFmtId="0" fontId="111" fillId="0" borderId="0" xfId="5" applyFont="1" applyFill="1" applyBorder="1" applyAlignment="1" applyProtection="1">
      <alignment horizontal="center" vertical="center"/>
      <protection hidden="1"/>
    </xf>
    <xf numFmtId="0" fontId="111" fillId="0" borderId="81" xfId="5" applyFont="1" applyFill="1" applyBorder="1" applyAlignment="1" applyProtection="1">
      <alignment horizontal="center" vertical="center"/>
      <protection hidden="1"/>
    </xf>
    <xf numFmtId="0" fontId="39" fillId="0" borderId="39" xfId="0" applyFont="1" applyBorder="1" applyAlignment="1" applyProtection="1">
      <alignment horizontal="center" vertical="center"/>
      <protection hidden="1"/>
    </xf>
    <xf numFmtId="0" fontId="39" fillId="0" borderId="52" xfId="0" applyFont="1" applyBorder="1" applyAlignment="1" applyProtection="1">
      <alignment horizontal="center" vertical="center"/>
      <protection hidden="1"/>
    </xf>
    <xf numFmtId="0" fontId="108" fillId="0" borderId="36" xfId="2" applyFont="1" applyFill="1" applyBorder="1" applyProtection="1">
      <alignment horizontal="center" vertical="center"/>
      <protection hidden="1"/>
    </xf>
    <xf numFmtId="0" fontId="108" fillId="0" borderId="38" xfId="2" applyFont="1" applyFill="1" applyBorder="1" applyProtection="1">
      <alignment horizontal="center" vertical="center"/>
      <protection hidden="1"/>
    </xf>
    <xf numFmtId="0" fontId="108" fillId="0" borderId="13" xfId="2" applyFont="1" applyFill="1" applyBorder="1" applyProtection="1">
      <alignment horizontal="center" vertical="center"/>
      <protection hidden="1"/>
    </xf>
    <xf numFmtId="0" fontId="108" fillId="0" borderId="12" xfId="2" applyFont="1" applyFill="1" applyBorder="1" applyProtection="1">
      <alignment horizontal="center" vertical="center"/>
      <protection hidden="1"/>
    </xf>
    <xf numFmtId="0" fontId="18" fillId="11" borderId="46" xfId="0" applyFont="1" applyFill="1" applyBorder="1" applyAlignment="1" applyProtection="1">
      <alignment horizontal="center" vertical="center"/>
      <protection hidden="1"/>
    </xf>
    <xf numFmtId="0" fontId="18" fillId="11" borderId="47" xfId="0" applyFont="1" applyFill="1" applyBorder="1" applyAlignment="1" applyProtection="1">
      <alignment horizontal="center" vertical="center"/>
      <protection hidden="1"/>
    </xf>
    <xf numFmtId="0" fontId="18" fillId="11" borderId="26" xfId="0" applyFont="1" applyFill="1" applyBorder="1" applyAlignment="1" applyProtection="1">
      <alignment horizontal="center" vertical="center"/>
      <protection hidden="1"/>
    </xf>
    <xf numFmtId="0" fontId="18" fillId="43" borderId="13" xfId="0" applyFont="1" applyFill="1" applyBorder="1" applyAlignment="1" applyProtection="1">
      <alignment horizontal="center" vertical="center"/>
      <protection hidden="1"/>
    </xf>
    <xf numFmtId="0" fontId="18" fillId="43" borderId="19" xfId="0" applyFont="1" applyFill="1" applyBorder="1" applyAlignment="1" applyProtection="1">
      <alignment horizontal="center" vertical="center"/>
      <protection hidden="1"/>
    </xf>
    <xf numFmtId="0" fontId="18" fillId="43" borderId="12" xfId="0" applyFont="1" applyFill="1" applyBorder="1" applyAlignment="1" applyProtection="1">
      <alignment horizontal="center" vertical="center"/>
      <protection hidden="1"/>
    </xf>
    <xf numFmtId="2" fontId="25" fillId="4" borderId="2" xfId="3" applyNumberFormat="1" applyFont="1" applyAlignment="1" applyProtection="1">
      <alignment horizontal="center" vertical="center"/>
      <protection hidden="1"/>
    </xf>
    <xf numFmtId="0" fontId="4" fillId="42" borderId="2" xfId="2" applyFont="1" applyFill="1" applyProtection="1">
      <alignment horizontal="center" vertical="center"/>
      <protection hidden="1"/>
    </xf>
    <xf numFmtId="0" fontId="18" fillId="43" borderId="76" xfId="0" applyFont="1" applyFill="1" applyBorder="1" applyAlignment="1" applyProtection="1">
      <alignment horizontal="center" vertical="center"/>
      <protection hidden="1"/>
    </xf>
    <xf numFmtId="0" fontId="18" fillId="43" borderId="75" xfId="0" applyFont="1" applyFill="1" applyBorder="1" applyAlignment="1" applyProtection="1">
      <alignment horizontal="center" vertical="center"/>
      <protection hidden="1"/>
    </xf>
    <xf numFmtId="0" fontId="18" fillId="43" borderId="77" xfId="0" applyFont="1" applyFill="1" applyBorder="1" applyAlignment="1" applyProtection="1">
      <alignment horizontal="center" vertical="center"/>
      <protection hidden="1"/>
    </xf>
    <xf numFmtId="169" fontId="14" fillId="4" borderId="13" xfId="7" applyNumberFormat="1" applyFont="1" applyFill="1" applyBorder="1" applyAlignment="1" applyProtection="1">
      <alignment horizontal="center" vertical="center"/>
      <protection hidden="1"/>
    </xf>
    <xf numFmtId="169" fontId="14" fillId="4" borderId="19" xfId="7" applyNumberFormat="1" applyFont="1" applyFill="1" applyBorder="1" applyAlignment="1" applyProtection="1">
      <alignment horizontal="center" vertical="center"/>
      <protection hidden="1"/>
    </xf>
    <xf numFmtId="1" fontId="5" fillId="4" borderId="10" xfId="3" applyNumberFormat="1" applyBorder="1" applyAlignment="1" applyProtection="1">
      <alignment horizontal="center" vertical="center"/>
      <protection hidden="1"/>
    </xf>
    <xf numFmtId="1" fontId="5" fillId="4" borderId="4" xfId="3" applyNumberFormat="1" applyBorder="1" applyAlignment="1" applyProtection="1">
      <alignment horizontal="center" vertical="center"/>
      <protection hidden="1"/>
    </xf>
    <xf numFmtId="1" fontId="5" fillId="4" borderId="40" xfId="3" applyNumberFormat="1" applyBorder="1" applyAlignment="1" applyProtection="1">
      <alignment horizontal="center" vertical="center"/>
      <protection hidden="1"/>
    </xf>
    <xf numFmtId="1" fontId="5" fillId="4" borderId="41" xfId="3" applyNumberFormat="1" applyBorder="1" applyAlignment="1" applyProtection="1">
      <alignment horizontal="center" vertical="center"/>
      <protection hidden="1"/>
    </xf>
    <xf numFmtId="0" fontId="18" fillId="43" borderId="0" xfId="0" applyFont="1" applyFill="1" applyAlignment="1" applyProtection="1">
      <alignment horizontal="center" vertical="center"/>
      <protection hidden="1"/>
    </xf>
    <xf numFmtId="0" fontId="18" fillId="43" borderId="3" xfId="0" applyFont="1" applyFill="1" applyBorder="1" applyAlignment="1" applyProtection="1">
      <alignment horizontal="center" vertical="center"/>
      <protection hidden="1"/>
    </xf>
    <xf numFmtId="2" fontId="22" fillId="12" borderId="13" xfId="4" applyNumberFormat="1" applyFont="1" applyFill="1" applyBorder="1" applyAlignment="1" applyProtection="1">
      <alignment horizontal="center" vertical="center" wrapText="1"/>
      <protection locked="0" hidden="1"/>
    </xf>
    <xf numFmtId="2" fontId="22" fillId="12" borderId="19" xfId="4" applyNumberFormat="1" applyFont="1" applyFill="1" applyBorder="1" applyAlignment="1" applyProtection="1">
      <alignment horizontal="center" vertical="center" wrapText="1"/>
      <protection locked="0" hidden="1"/>
    </xf>
    <xf numFmtId="2" fontId="22" fillId="12" borderId="12" xfId="4" applyNumberFormat="1" applyFont="1" applyFill="1" applyBorder="1" applyAlignment="1" applyProtection="1">
      <alignment horizontal="center" vertical="center" wrapText="1"/>
      <protection locked="0" hidden="1"/>
    </xf>
    <xf numFmtId="168" fontId="77" fillId="8" borderId="0" xfId="0" applyNumberFormat="1" applyFont="1" applyFill="1" applyAlignment="1" applyProtection="1">
      <alignment horizontal="center" vertical="center"/>
      <protection hidden="1"/>
    </xf>
    <xf numFmtId="168" fontId="77" fillId="8" borderId="6" xfId="0" applyNumberFormat="1" applyFont="1" applyFill="1" applyBorder="1" applyAlignment="1" applyProtection="1">
      <alignment horizontal="center" vertical="center"/>
      <protection hidden="1"/>
    </xf>
    <xf numFmtId="0" fontId="75" fillId="43" borderId="2" xfId="0" applyFont="1" applyFill="1" applyBorder="1" applyAlignment="1" applyProtection="1">
      <alignment horizontal="center" vertical="center"/>
      <protection hidden="1"/>
    </xf>
    <xf numFmtId="0" fontId="3" fillId="45" borderId="13" xfId="2" applyFill="1" applyBorder="1" applyProtection="1">
      <alignment horizontal="center" vertical="center"/>
      <protection hidden="1"/>
    </xf>
    <xf numFmtId="0" fontId="3" fillId="45" borderId="12" xfId="2" applyFill="1" applyBorder="1" applyProtection="1">
      <alignment horizontal="center" vertical="center"/>
      <protection hidden="1"/>
    </xf>
    <xf numFmtId="171" fontId="5" fillId="4" borderId="76" xfId="3" applyNumberFormat="1" applyBorder="1" applyAlignment="1" applyProtection="1">
      <alignment horizontal="center" vertical="center"/>
      <protection hidden="1"/>
    </xf>
    <xf numFmtId="171" fontId="5" fillId="4" borderId="77" xfId="3" applyNumberFormat="1" applyBorder="1" applyAlignment="1" applyProtection="1">
      <alignment horizontal="center" vertical="center"/>
      <protection hidden="1"/>
    </xf>
    <xf numFmtId="168" fontId="3" fillId="5" borderId="13" xfId="4" applyNumberFormat="1" applyBorder="1" applyAlignment="1" applyProtection="1">
      <alignment horizontal="center" vertical="center"/>
      <protection locked="0" hidden="1"/>
    </xf>
    <xf numFmtId="168" fontId="3" fillId="5" borderId="12" xfId="4" applyNumberFormat="1" applyBorder="1" applyAlignment="1" applyProtection="1">
      <alignment horizontal="center" vertical="center"/>
      <protection locked="0" hidden="1"/>
    </xf>
    <xf numFmtId="1" fontId="21" fillId="8" borderId="2" xfId="0" applyNumberFormat="1" applyFont="1" applyFill="1" applyBorder="1" applyAlignment="1" applyProtection="1">
      <alignment horizontal="center" vertical="center"/>
      <protection hidden="1"/>
    </xf>
    <xf numFmtId="0" fontId="18" fillId="43" borderId="36" xfId="0" applyFont="1" applyFill="1" applyBorder="1" applyAlignment="1" applyProtection="1">
      <alignment horizontal="center" vertical="center"/>
      <protection hidden="1"/>
    </xf>
    <xf numFmtId="0" fontId="18" fillId="43" borderId="37" xfId="0" applyFont="1" applyFill="1" applyBorder="1" applyAlignment="1" applyProtection="1">
      <alignment horizontal="center" vertical="center"/>
      <protection hidden="1"/>
    </xf>
    <xf numFmtId="0" fontId="18" fillId="43" borderId="38" xfId="0" applyFont="1" applyFill="1" applyBorder="1" applyAlignment="1" applyProtection="1">
      <alignment horizontal="center" vertical="center"/>
      <protection hidden="1"/>
    </xf>
    <xf numFmtId="0" fontId="11" fillId="8" borderId="13" xfId="0" applyFont="1" applyFill="1" applyBorder="1" applyAlignment="1" applyProtection="1">
      <alignment horizontal="center" vertical="center" wrapText="1"/>
      <protection hidden="1"/>
    </xf>
    <xf numFmtId="0" fontId="11" fillId="8" borderId="12" xfId="0" applyFont="1" applyFill="1" applyBorder="1" applyAlignment="1" applyProtection="1">
      <alignment horizontal="center" vertical="center" wrapText="1"/>
      <protection hidden="1"/>
    </xf>
    <xf numFmtId="0" fontId="4" fillId="42" borderId="11" xfId="2" applyFont="1" applyFill="1" applyBorder="1" applyProtection="1">
      <alignment horizontal="center" vertical="center"/>
      <protection hidden="1"/>
    </xf>
    <xf numFmtId="0" fontId="4" fillId="42" borderId="9" xfId="2" applyFont="1" applyFill="1" applyBorder="1" applyProtection="1">
      <alignment horizontal="center" vertical="center"/>
      <protection hidden="1"/>
    </xf>
    <xf numFmtId="169" fontId="14" fillId="4" borderId="18" xfId="7" applyNumberFormat="1" applyFont="1" applyFill="1" applyBorder="1" applyAlignment="1" applyProtection="1">
      <alignment horizontal="center" vertical="center"/>
      <protection hidden="1"/>
    </xf>
    <xf numFmtId="169" fontId="14" fillId="4" borderId="36" xfId="7" applyNumberFormat="1" applyFont="1" applyFill="1" applyBorder="1" applyAlignment="1" applyProtection="1">
      <alignment horizontal="center" vertical="center"/>
      <protection hidden="1"/>
    </xf>
    <xf numFmtId="0" fontId="4" fillId="42" borderId="18" xfId="2" applyFont="1" applyFill="1" applyBorder="1" applyProtection="1">
      <alignment horizontal="center" vertical="center"/>
      <protection hidden="1"/>
    </xf>
    <xf numFmtId="0" fontId="4" fillId="42" borderId="4" xfId="2" applyFont="1" applyFill="1" applyBorder="1" applyProtection="1">
      <alignment horizontal="center" vertical="center"/>
      <protection hidden="1"/>
    </xf>
    <xf numFmtId="0" fontId="0" fillId="8" borderId="54" xfId="0" applyFill="1" applyBorder="1" applyAlignment="1" applyProtection="1">
      <alignment horizontal="center"/>
      <protection hidden="1"/>
    </xf>
    <xf numFmtId="0" fontId="0" fillId="8" borderId="74" xfId="0" applyFill="1" applyBorder="1" applyAlignment="1" applyProtection="1">
      <alignment horizontal="center"/>
      <protection hidden="1"/>
    </xf>
    <xf numFmtId="0" fontId="4" fillId="43" borderId="7" xfId="2" applyFont="1" applyFill="1" applyBorder="1" applyProtection="1">
      <alignment horizontal="center" vertical="center"/>
      <protection hidden="1"/>
    </xf>
    <xf numFmtId="0" fontId="4" fillId="43" borderId="1" xfId="2" applyFont="1" applyFill="1" applyBorder="1" applyProtection="1">
      <alignment horizontal="center" vertical="center"/>
      <protection hidden="1"/>
    </xf>
    <xf numFmtId="0" fontId="4" fillId="42" borderId="13" xfId="2" applyFont="1" applyFill="1" applyBorder="1" applyProtection="1">
      <alignment horizontal="center" vertical="center"/>
      <protection hidden="1"/>
    </xf>
    <xf numFmtId="0" fontId="4" fillId="42" borderId="12" xfId="2" applyFont="1" applyFill="1" applyBorder="1" applyProtection="1">
      <alignment horizontal="center" vertical="center"/>
      <protection hidden="1"/>
    </xf>
    <xf numFmtId="0" fontId="4" fillId="42" borderId="36" xfId="2" applyFont="1" applyFill="1" applyBorder="1" applyProtection="1">
      <alignment horizontal="center" vertical="center"/>
      <protection hidden="1"/>
    </xf>
    <xf numFmtId="0" fontId="4" fillId="42" borderId="38" xfId="2" applyFont="1" applyFill="1" applyBorder="1" applyProtection="1">
      <alignment horizontal="center" vertical="center"/>
      <protection hidden="1"/>
    </xf>
    <xf numFmtId="0" fontId="4" fillId="42" borderId="7" xfId="2" applyFont="1" applyFill="1" applyBorder="1" applyProtection="1">
      <alignment horizontal="center" vertical="center"/>
      <protection hidden="1"/>
    </xf>
    <xf numFmtId="0" fontId="4" fillId="42" borderId="1" xfId="2" applyFont="1" applyFill="1" applyBorder="1" applyProtection="1">
      <alignment horizontal="center" vertical="center"/>
      <protection hidden="1"/>
    </xf>
    <xf numFmtId="0" fontId="70" fillId="43" borderId="7" xfId="0" applyFont="1" applyFill="1" applyBorder="1" applyAlignment="1" applyProtection="1">
      <alignment horizontal="center" vertical="center" wrapText="1"/>
      <protection hidden="1"/>
    </xf>
    <xf numFmtId="0" fontId="70" fillId="43" borderId="6" xfId="0" applyFont="1" applyFill="1" applyBorder="1" applyAlignment="1" applyProtection="1">
      <alignment horizontal="center" vertical="center" wrapText="1"/>
      <protection hidden="1"/>
    </xf>
    <xf numFmtId="0" fontId="70" fillId="43" borderId="1" xfId="0" applyFont="1" applyFill="1" applyBorder="1" applyAlignment="1" applyProtection="1">
      <alignment horizontal="center" vertical="center" wrapText="1"/>
      <protection hidden="1"/>
    </xf>
    <xf numFmtId="0" fontId="3" fillId="5" borderId="18" xfId="4" applyBorder="1" applyAlignment="1" applyProtection="1">
      <alignment horizontal="center" vertical="center"/>
      <protection locked="0" hidden="1"/>
    </xf>
    <xf numFmtId="0" fontId="3" fillId="5" borderId="4" xfId="4" applyBorder="1" applyAlignment="1" applyProtection="1">
      <alignment horizontal="center" vertical="center"/>
      <protection locked="0" hidden="1"/>
    </xf>
    <xf numFmtId="0" fontId="4" fillId="42" borderId="18" xfId="2" applyFont="1" applyFill="1" applyBorder="1" applyAlignment="1" applyProtection="1">
      <alignment horizontal="center" vertical="center" wrapText="1"/>
      <protection hidden="1"/>
    </xf>
    <xf numFmtId="0" fontId="4" fillId="42" borderId="4" xfId="2" applyFont="1" applyFill="1" applyBorder="1" applyAlignment="1" applyProtection="1">
      <alignment horizontal="center" vertical="center" wrapText="1"/>
      <protection hidden="1"/>
    </xf>
    <xf numFmtId="2" fontId="5" fillId="4" borderId="13" xfId="3" applyNumberFormat="1" applyBorder="1" applyProtection="1">
      <alignment horizontal="center"/>
      <protection hidden="1"/>
    </xf>
    <xf numFmtId="2" fontId="5" fillId="4" borderId="12" xfId="3" applyNumberFormat="1" applyBorder="1" applyProtection="1">
      <alignment horizontal="center"/>
      <protection hidden="1"/>
    </xf>
    <xf numFmtId="0" fontId="50" fillId="8" borderId="16" xfId="0" applyFont="1" applyFill="1" applyBorder="1" applyAlignment="1">
      <alignment horizontal="center"/>
    </xf>
    <xf numFmtId="0" fontId="50" fillId="8" borderId="25" xfId="0" applyFont="1" applyFill="1" applyBorder="1" applyAlignment="1">
      <alignment horizontal="center"/>
    </xf>
    <xf numFmtId="0" fontId="50" fillId="8" borderId="145" xfId="0" applyFont="1" applyFill="1" applyBorder="1" applyAlignment="1">
      <alignment horizontal="center"/>
    </xf>
    <xf numFmtId="164" fontId="4" fillId="42" borderId="13" xfId="1" applyFont="1" applyFill="1" applyBorder="1" applyAlignment="1" applyProtection="1">
      <alignment horizontal="center" vertical="center"/>
      <protection hidden="1"/>
    </xf>
    <xf numFmtId="164" fontId="4" fillId="42" borderId="12" xfId="1" applyFont="1" applyFill="1" applyBorder="1" applyAlignment="1" applyProtection="1">
      <alignment horizontal="center" vertical="center"/>
      <protection hidden="1"/>
    </xf>
    <xf numFmtId="0" fontId="18" fillId="43" borderId="7" xfId="0" applyFont="1" applyFill="1" applyBorder="1" applyAlignment="1" applyProtection="1">
      <alignment horizontal="center" vertical="center"/>
      <protection hidden="1"/>
    </xf>
    <xf numFmtId="0" fontId="18" fillId="43" borderId="6" xfId="0" applyFont="1" applyFill="1" applyBorder="1" applyAlignment="1" applyProtection="1">
      <alignment horizontal="center" vertical="center"/>
      <protection hidden="1"/>
    </xf>
    <xf numFmtId="0" fontId="0" fillId="46" borderId="13" xfId="0" applyFill="1" applyBorder="1" applyAlignment="1" applyProtection="1">
      <alignment horizontal="center"/>
      <protection hidden="1"/>
    </xf>
    <xf numFmtId="0" fontId="0" fillId="46" borderId="19" xfId="0" applyFill="1" applyBorder="1" applyAlignment="1" applyProtection="1">
      <alignment horizontal="center"/>
      <protection hidden="1"/>
    </xf>
    <xf numFmtId="1" fontId="5" fillId="4" borderId="76" xfId="3" applyNumberFormat="1" applyBorder="1" applyAlignment="1" applyProtection="1">
      <alignment horizontal="center" vertical="center"/>
      <protection hidden="1"/>
    </xf>
    <xf numFmtId="1" fontId="5" fillId="4" borderId="77" xfId="3" applyNumberFormat="1" applyBorder="1" applyAlignment="1" applyProtection="1">
      <alignment horizontal="center" vertical="center"/>
      <protection hidden="1"/>
    </xf>
    <xf numFmtId="184" fontId="5" fillId="4" borderId="76" xfId="3" applyNumberFormat="1" applyBorder="1" applyAlignment="1" applyProtection="1">
      <alignment horizontal="center" vertical="center"/>
      <protection hidden="1"/>
    </xf>
    <xf numFmtId="184" fontId="5" fillId="4" borderId="77" xfId="3" applyNumberFormat="1" applyBorder="1" applyAlignment="1" applyProtection="1">
      <alignment horizontal="center" vertical="center"/>
      <protection hidden="1"/>
    </xf>
    <xf numFmtId="168" fontId="5" fillId="4" borderId="76" xfId="3" applyNumberFormat="1" applyBorder="1" applyAlignment="1" applyProtection="1">
      <alignment horizontal="center" vertical="center"/>
      <protection hidden="1"/>
    </xf>
    <xf numFmtId="168" fontId="5" fillId="4" borderId="77" xfId="3" applyNumberFormat="1" applyBorder="1" applyAlignment="1" applyProtection="1">
      <alignment horizontal="center" vertical="center"/>
      <protection hidden="1"/>
    </xf>
    <xf numFmtId="0" fontId="18" fillId="43" borderId="36" xfId="0" applyFont="1" applyFill="1" applyBorder="1" applyAlignment="1" applyProtection="1">
      <alignment horizontal="center" vertical="center"/>
      <protection locked="0"/>
    </xf>
    <xf numFmtId="0" fontId="18" fillId="43" borderId="38" xfId="0" applyFont="1" applyFill="1" applyBorder="1" applyAlignment="1" applyProtection="1">
      <alignment horizontal="center" vertical="center"/>
      <protection locked="0"/>
    </xf>
    <xf numFmtId="0" fontId="18" fillId="43" borderId="78" xfId="0" applyFont="1" applyFill="1" applyBorder="1" applyAlignment="1" applyProtection="1">
      <alignment horizontal="center" vertical="center"/>
      <protection locked="0"/>
    </xf>
    <xf numFmtId="0" fontId="18" fillId="43" borderId="81" xfId="0" applyFont="1" applyFill="1" applyBorder="1" applyAlignment="1" applyProtection="1">
      <alignment horizontal="center" vertical="center"/>
      <protection locked="0"/>
    </xf>
    <xf numFmtId="0" fontId="18" fillId="43" borderId="79" xfId="0" applyFont="1" applyFill="1" applyBorder="1" applyAlignment="1" applyProtection="1">
      <alignment horizontal="center" vertical="center"/>
      <protection locked="0"/>
    </xf>
    <xf numFmtId="0" fontId="18" fillId="43" borderId="80" xfId="0" applyFont="1" applyFill="1" applyBorder="1" applyAlignment="1" applyProtection="1">
      <alignment horizontal="center" vertical="center"/>
      <protection locked="0"/>
    </xf>
    <xf numFmtId="0" fontId="79" fillId="39" borderId="5" xfId="2" applyFont="1" applyFill="1" applyBorder="1" applyProtection="1">
      <alignment horizontal="center" vertical="center"/>
      <protection hidden="1"/>
    </xf>
    <xf numFmtId="0" fontId="79" fillId="39" borderId="3" xfId="2" applyFont="1" applyFill="1" applyBorder="1" applyProtection="1">
      <alignment horizontal="center" vertical="center"/>
      <protection hidden="1"/>
    </xf>
    <xf numFmtId="0" fontId="79" fillId="39" borderId="36" xfId="2" applyFont="1" applyFill="1" applyBorder="1" applyProtection="1">
      <alignment horizontal="center" vertical="center"/>
      <protection hidden="1"/>
    </xf>
    <xf numFmtId="0" fontId="79" fillId="39" borderId="38" xfId="2" applyFont="1" applyFill="1" applyBorder="1" applyProtection="1">
      <alignment horizontal="center" vertical="center"/>
      <protection hidden="1"/>
    </xf>
    <xf numFmtId="0" fontId="79" fillId="39" borderId="7" xfId="2" applyFont="1" applyFill="1" applyBorder="1" applyProtection="1">
      <alignment horizontal="center" vertical="center"/>
      <protection hidden="1"/>
    </xf>
    <xf numFmtId="0" fontId="79" fillId="39" borderId="1" xfId="2" applyFont="1" applyFill="1" applyBorder="1" applyProtection="1">
      <alignment horizontal="center" vertical="center"/>
      <protection hidden="1"/>
    </xf>
    <xf numFmtId="0" fontId="16" fillId="10" borderId="19" xfId="7" applyFont="1" applyFill="1" applyBorder="1" applyAlignment="1" applyProtection="1">
      <alignment horizontal="center" vertical="center" wrapText="1"/>
      <protection hidden="1"/>
    </xf>
    <xf numFmtId="1" fontId="39" fillId="4" borderId="18" xfId="3" applyNumberFormat="1" applyFont="1" applyBorder="1" applyAlignment="1" applyProtection="1">
      <alignment horizontal="center" vertical="center"/>
      <protection hidden="1"/>
    </xf>
    <xf numFmtId="1" fontId="39" fillId="4" borderId="4" xfId="3" applyNumberFormat="1" applyFont="1" applyBorder="1" applyAlignment="1" applyProtection="1">
      <alignment horizontal="center" vertical="center"/>
      <protection hidden="1"/>
    </xf>
    <xf numFmtId="0" fontId="9" fillId="43" borderId="2" xfId="0" applyFont="1" applyFill="1" applyBorder="1" applyAlignment="1" applyProtection="1">
      <alignment horizontal="center" vertical="center"/>
      <protection hidden="1"/>
    </xf>
    <xf numFmtId="0" fontId="43" fillId="0" borderId="44" xfId="0" applyFont="1" applyBorder="1" applyAlignment="1" applyProtection="1">
      <alignment horizontal="center"/>
      <protection hidden="1"/>
    </xf>
    <xf numFmtId="0" fontId="43" fillId="0" borderId="45" xfId="0" applyFont="1" applyBorder="1" applyAlignment="1" applyProtection="1">
      <alignment horizontal="center"/>
      <protection hidden="1"/>
    </xf>
    <xf numFmtId="168" fontId="3" fillId="5" borderId="19" xfId="4" applyNumberFormat="1" applyBorder="1" applyAlignment="1" applyProtection="1">
      <alignment horizontal="center" vertical="center"/>
      <protection hidden="1"/>
    </xf>
    <xf numFmtId="168" fontId="3" fillId="5" borderId="12" xfId="4" applyNumberFormat="1" applyBorder="1" applyAlignment="1" applyProtection="1">
      <alignment horizontal="center" vertical="center"/>
      <protection hidden="1"/>
    </xf>
    <xf numFmtId="0" fontId="10" fillId="42" borderId="36" xfId="2" applyFont="1" applyFill="1" applyBorder="1" applyProtection="1">
      <alignment horizontal="center" vertical="center"/>
      <protection hidden="1"/>
    </xf>
    <xf numFmtId="0" fontId="10" fillId="42" borderId="78" xfId="2" applyFont="1" applyFill="1" applyBorder="1" applyProtection="1">
      <alignment horizontal="center" vertical="center"/>
      <protection hidden="1"/>
    </xf>
    <xf numFmtId="0" fontId="0" fillId="43" borderId="36" xfId="0" applyFill="1" applyBorder="1" applyAlignment="1" applyProtection="1">
      <alignment horizontal="center"/>
      <protection hidden="1"/>
    </xf>
    <xf numFmtId="0" fontId="0" fillId="43" borderId="37" xfId="0" applyFill="1" applyBorder="1" applyAlignment="1" applyProtection="1">
      <alignment horizontal="center"/>
      <protection hidden="1"/>
    </xf>
    <xf numFmtId="0" fontId="0" fillId="43" borderId="5" xfId="0" applyFill="1" applyBorder="1" applyAlignment="1" applyProtection="1">
      <alignment horizontal="center"/>
      <protection hidden="1"/>
    </xf>
    <xf numFmtId="0" fontId="0" fillId="43" borderId="0" xfId="0" applyFill="1" applyAlignment="1" applyProtection="1">
      <alignment horizontal="center"/>
      <protection hidden="1"/>
    </xf>
    <xf numFmtId="0" fontId="4" fillId="21" borderId="2" xfId="2" applyFont="1" applyFill="1" applyProtection="1">
      <alignment horizontal="center" vertical="center"/>
      <protection hidden="1"/>
    </xf>
    <xf numFmtId="0" fontId="46" fillId="37" borderId="13" xfId="5" applyFont="1" applyFill="1" applyBorder="1" applyProtection="1">
      <alignment horizontal="center"/>
      <protection hidden="1"/>
    </xf>
    <xf numFmtId="0" fontId="46" fillId="37" borderId="19" xfId="5" applyFont="1" applyFill="1" applyBorder="1" applyProtection="1">
      <alignment horizontal="center"/>
      <protection hidden="1"/>
    </xf>
    <xf numFmtId="0" fontId="46" fillId="37" borderId="12" xfId="5" applyFont="1" applyFill="1" applyBorder="1" applyProtection="1">
      <alignment horizontal="center"/>
      <protection hidden="1"/>
    </xf>
    <xf numFmtId="1" fontId="12" fillId="5" borderId="2" xfId="4" applyNumberFormat="1" applyFont="1" applyAlignment="1" applyProtection="1">
      <alignment horizontal="center" vertical="center"/>
      <protection locked="0" hidden="1"/>
    </xf>
    <xf numFmtId="0" fontId="18" fillId="17" borderId="2" xfId="0" applyFont="1" applyFill="1" applyBorder="1" applyAlignment="1" applyProtection="1">
      <alignment horizontal="center" vertical="center"/>
      <protection hidden="1"/>
    </xf>
    <xf numFmtId="0" fontId="4" fillId="20" borderId="18" xfId="2" applyFont="1" applyFill="1" applyBorder="1" applyProtection="1">
      <alignment horizontal="center" vertical="center"/>
      <protection hidden="1"/>
    </xf>
    <xf numFmtId="0" fontId="4" fillId="20" borderId="4" xfId="2" applyFont="1" applyFill="1" applyBorder="1" applyProtection="1">
      <alignment horizontal="center" vertical="center"/>
      <protection hidden="1"/>
    </xf>
    <xf numFmtId="1" fontId="49" fillId="32" borderId="18" xfId="3" applyNumberFormat="1" applyFont="1" applyFill="1" applyBorder="1" applyAlignment="1" applyProtection="1">
      <alignment horizontal="center" vertical="center"/>
      <protection hidden="1"/>
    </xf>
    <xf numFmtId="1" fontId="49" fillId="32" borderId="4" xfId="3" applyNumberFormat="1" applyFont="1" applyFill="1" applyBorder="1" applyAlignment="1" applyProtection="1">
      <alignment horizontal="center" vertical="center"/>
      <protection hidden="1"/>
    </xf>
    <xf numFmtId="0" fontId="5" fillId="4" borderId="13" xfId="3" applyBorder="1" applyProtection="1">
      <alignment horizontal="center"/>
      <protection hidden="1"/>
    </xf>
    <xf numFmtId="0" fontId="5" fillId="4" borderId="12" xfId="3" applyBorder="1" applyProtection="1">
      <alignment horizontal="center"/>
      <protection hidden="1"/>
    </xf>
    <xf numFmtId="0" fontId="48" fillId="38" borderId="2" xfId="0" applyFont="1" applyFill="1" applyBorder="1" applyAlignment="1" applyProtection="1">
      <alignment horizontal="center"/>
      <protection hidden="1"/>
    </xf>
    <xf numFmtId="0" fontId="47" fillId="38" borderId="2" xfId="0" applyFont="1" applyFill="1" applyBorder="1" applyAlignment="1" applyProtection="1">
      <alignment horizontal="center"/>
      <protection hidden="1"/>
    </xf>
    <xf numFmtId="0" fontId="47" fillId="38" borderId="13" xfId="0" applyFont="1" applyFill="1" applyBorder="1" applyAlignment="1" applyProtection="1">
      <alignment horizontal="center"/>
      <protection hidden="1"/>
    </xf>
    <xf numFmtId="0" fontId="80" fillId="39" borderId="36" xfId="2" applyFont="1" applyFill="1" applyBorder="1" applyProtection="1">
      <alignment horizontal="center" vertical="center"/>
      <protection hidden="1"/>
    </xf>
    <xf numFmtId="0" fontId="80" fillId="39" borderId="38" xfId="2" applyFont="1" applyFill="1" applyBorder="1" applyProtection="1">
      <alignment horizontal="center" vertical="center"/>
      <protection hidden="1"/>
    </xf>
    <xf numFmtId="0" fontId="80" fillId="39" borderId="5" xfId="2" applyFont="1" applyFill="1" applyBorder="1" applyProtection="1">
      <alignment horizontal="center" vertical="center"/>
      <protection hidden="1"/>
    </xf>
    <xf numFmtId="0" fontId="80" fillId="39" borderId="3" xfId="2" applyFont="1" applyFill="1" applyBorder="1" applyProtection="1">
      <alignment horizontal="center" vertical="center"/>
      <protection hidden="1"/>
    </xf>
    <xf numFmtId="0" fontId="80" fillId="39" borderId="7" xfId="2" applyFont="1" applyFill="1" applyBorder="1" applyProtection="1">
      <alignment horizontal="center" vertical="center"/>
      <protection hidden="1"/>
    </xf>
    <xf numFmtId="0" fontId="80" fillId="39" borderId="1" xfId="2" applyFont="1" applyFill="1" applyBorder="1" applyProtection="1">
      <alignment horizontal="center" vertical="center"/>
      <protection hidden="1"/>
    </xf>
    <xf numFmtId="0" fontId="4" fillId="21" borderId="2" xfId="2" applyFont="1" applyFill="1" applyAlignment="1" applyProtection="1">
      <alignment horizontal="center" vertical="center" wrapText="1"/>
      <protection hidden="1"/>
    </xf>
    <xf numFmtId="0" fontId="4" fillId="21" borderId="36" xfId="2" applyFont="1" applyFill="1" applyBorder="1" applyAlignment="1" applyProtection="1">
      <alignment horizontal="center" vertical="center" wrapText="1"/>
      <protection hidden="1"/>
    </xf>
    <xf numFmtId="0" fontId="4" fillId="21" borderId="38" xfId="2" applyFont="1" applyFill="1" applyBorder="1" applyAlignment="1" applyProtection="1">
      <alignment horizontal="center" vertical="center" wrapText="1"/>
      <protection hidden="1"/>
    </xf>
    <xf numFmtId="0" fontId="4" fillId="21" borderId="7" xfId="2" applyFont="1" applyFill="1" applyBorder="1" applyAlignment="1" applyProtection="1">
      <alignment horizontal="center" vertical="center" wrapText="1"/>
      <protection hidden="1"/>
    </xf>
    <xf numFmtId="0" fontId="4" fillId="21" borderId="1" xfId="2" applyFont="1" applyFill="1" applyBorder="1" applyAlignment="1" applyProtection="1">
      <alignment horizontal="center" vertical="center" wrapText="1"/>
      <protection hidden="1"/>
    </xf>
    <xf numFmtId="0" fontId="4" fillId="31" borderId="13" xfId="2" applyFont="1" applyFill="1" applyBorder="1" applyProtection="1">
      <alignment horizontal="center" vertical="center"/>
      <protection hidden="1"/>
    </xf>
    <xf numFmtId="0" fontId="4" fillId="31" borderId="12" xfId="2" applyFont="1" applyFill="1" applyBorder="1" applyProtection="1">
      <alignment horizontal="center" vertical="center"/>
      <protection hidden="1"/>
    </xf>
    <xf numFmtId="2" fontId="5" fillId="4" borderId="2" xfId="3" applyNumberFormat="1" applyProtection="1">
      <alignment horizontal="center"/>
      <protection hidden="1"/>
    </xf>
    <xf numFmtId="0" fontId="104" fillId="43" borderId="76" xfId="0" applyFont="1" applyFill="1" applyBorder="1" applyAlignment="1" applyProtection="1">
      <alignment horizontal="center" vertical="center"/>
      <protection hidden="1"/>
    </xf>
    <xf numFmtId="0" fontId="104" fillId="43" borderId="77" xfId="0" applyFont="1" applyFill="1" applyBorder="1" applyAlignment="1" applyProtection="1">
      <alignment horizontal="center" vertical="center"/>
      <protection hidden="1"/>
    </xf>
    <xf numFmtId="0" fontId="18" fillId="43" borderId="98" xfId="0" applyFont="1" applyFill="1" applyBorder="1" applyAlignment="1" applyProtection="1">
      <alignment horizontal="center" vertical="center"/>
      <protection hidden="1"/>
    </xf>
    <xf numFmtId="0" fontId="62" fillId="43" borderId="36" xfId="0" applyFont="1" applyFill="1" applyBorder="1" applyAlignment="1" applyProtection="1">
      <alignment horizontal="center" vertical="center" wrapText="1"/>
      <protection hidden="1"/>
    </xf>
    <xf numFmtId="0" fontId="62" fillId="43" borderId="37" xfId="0" applyFont="1" applyFill="1" applyBorder="1" applyAlignment="1" applyProtection="1">
      <alignment horizontal="center" vertical="center" wrapText="1"/>
      <protection hidden="1"/>
    </xf>
    <xf numFmtId="0" fontId="62" fillId="43" borderId="38" xfId="0" applyFont="1" applyFill="1" applyBorder="1" applyAlignment="1" applyProtection="1">
      <alignment horizontal="center" vertical="center" wrapText="1"/>
      <protection hidden="1"/>
    </xf>
    <xf numFmtId="0" fontId="62" fillId="43" borderId="5" xfId="0" applyFont="1" applyFill="1" applyBorder="1" applyAlignment="1" applyProtection="1">
      <alignment horizontal="center" vertical="center" wrapText="1"/>
      <protection hidden="1"/>
    </xf>
    <xf numFmtId="0" fontId="62" fillId="43" borderId="0" xfId="0" applyFont="1" applyFill="1" applyAlignment="1" applyProtection="1">
      <alignment horizontal="center" vertical="center" wrapText="1"/>
      <protection hidden="1"/>
    </xf>
    <xf numFmtId="0" fontId="62" fillId="43" borderId="3" xfId="0" applyFont="1" applyFill="1" applyBorder="1" applyAlignment="1" applyProtection="1">
      <alignment horizontal="center" vertical="center" wrapText="1"/>
      <protection hidden="1"/>
    </xf>
    <xf numFmtId="0" fontId="18" fillId="43" borderId="131" xfId="0" applyFont="1" applyFill="1" applyBorder="1" applyAlignment="1" applyProtection="1">
      <alignment horizontal="center" vertical="center"/>
      <protection hidden="1"/>
    </xf>
    <xf numFmtId="0" fontId="18" fillId="43" borderId="132" xfId="0" applyFont="1" applyFill="1" applyBorder="1" applyAlignment="1" applyProtection="1">
      <alignment horizontal="center" vertical="center"/>
      <protection hidden="1"/>
    </xf>
    <xf numFmtId="0" fontId="18" fillId="43" borderId="133" xfId="0" applyFont="1" applyFill="1" applyBorder="1" applyAlignment="1" applyProtection="1">
      <alignment horizontal="center" vertical="center"/>
      <protection hidden="1"/>
    </xf>
    <xf numFmtId="0" fontId="0" fillId="0" borderId="0" xfId="0" applyAlignment="1" applyProtection="1">
      <alignment horizontal="center" vertical="center"/>
      <protection hidden="1"/>
    </xf>
    <xf numFmtId="0" fontId="4" fillId="21" borderId="16" xfId="2" applyFont="1" applyFill="1" applyBorder="1" applyAlignment="1" applyProtection="1">
      <alignment horizontal="center" vertical="center" wrapText="1"/>
      <protection hidden="1"/>
    </xf>
    <xf numFmtId="0" fontId="61" fillId="8" borderId="36" xfId="0" applyFont="1" applyFill="1" applyBorder="1" applyAlignment="1" applyProtection="1">
      <alignment horizontal="center" vertical="center"/>
      <protection hidden="1"/>
    </xf>
    <xf numFmtId="0" fontId="61" fillId="8" borderId="37" xfId="0" applyFont="1" applyFill="1" applyBorder="1" applyAlignment="1" applyProtection="1">
      <alignment horizontal="center" vertical="center"/>
      <protection hidden="1"/>
    </xf>
    <xf numFmtId="0" fontId="61" fillId="8" borderId="38" xfId="0" applyFont="1" applyFill="1" applyBorder="1" applyAlignment="1" applyProtection="1">
      <alignment horizontal="center" vertical="center"/>
      <protection hidden="1"/>
    </xf>
    <xf numFmtId="0" fontId="61" fillId="8" borderId="5" xfId="0" applyFont="1" applyFill="1" applyBorder="1" applyAlignment="1" applyProtection="1">
      <alignment horizontal="center" vertical="center"/>
      <protection hidden="1"/>
    </xf>
    <xf numFmtId="0" fontId="61" fillId="8" borderId="0" xfId="0" applyFont="1" applyFill="1" applyAlignment="1" applyProtection="1">
      <alignment horizontal="center" vertical="center"/>
      <protection hidden="1"/>
    </xf>
    <xf numFmtId="0" fontId="61" fillId="8" borderId="3" xfId="0" applyFont="1" applyFill="1" applyBorder="1" applyAlignment="1" applyProtection="1">
      <alignment horizontal="center" vertical="center"/>
      <protection hidden="1"/>
    </xf>
    <xf numFmtId="0" fontId="61" fillId="8" borderId="7" xfId="0" applyFont="1" applyFill="1" applyBorder="1" applyAlignment="1" applyProtection="1">
      <alignment horizontal="center" vertical="center"/>
      <protection hidden="1"/>
    </xf>
    <xf numFmtId="0" fontId="61" fillId="8" borderId="6" xfId="0" applyFont="1" applyFill="1" applyBorder="1" applyAlignment="1" applyProtection="1">
      <alignment horizontal="center" vertical="center"/>
      <protection hidden="1"/>
    </xf>
    <xf numFmtId="0" fontId="61" fillId="8" borderId="1" xfId="0" applyFont="1" applyFill="1" applyBorder="1" applyAlignment="1" applyProtection="1">
      <alignment horizontal="center" vertical="center"/>
      <protection hidden="1"/>
    </xf>
    <xf numFmtId="0" fontId="72" fillId="16" borderId="37" xfId="0" applyFont="1" applyFill="1" applyBorder="1" applyAlignment="1" applyProtection="1">
      <alignment horizontal="center" vertical="center"/>
      <protection hidden="1"/>
    </xf>
    <xf numFmtId="0" fontId="72" fillId="16" borderId="0" xfId="0" applyFont="1" applyFill="1" applyAlignment="1" applyProtection="1">
      <alignment horizontal="center" vertical="center"/>
      <protection hidden="1"/>
    </xf>
    <xf numFmtId="0" fontId="74" fillId="5" borderId="37" xfId="4" applyNumberFormat="1" applyFont="1" applyBorder="1" applyAlignment="1" applyProtection="1">
      <alignment horizontal="center" vertical="center"/>
      <protection locked="0" hidden="1"/>
    </xf>
    <xf numFmtId="0" fontId="74" fillId="5" borderId="0" xfId="4" applyNumberFormat="1" applyFont="1" applyBorder="1" applyAlignment="1" applyProtection="1">
      <alignment horizontal="center" vertical="center"/>
      <protection locked="0" hidden="1"/>
    </xf>
    <xf numFmtId="0" fontId="4" fillId="21" borderId="21" xfId="2" applyFont="1" applyFill="1" applyBorder="1" applyProtection="1">
      <alignment horizontal="center" vertical="center"/>
      <protection hidden="1"/>
    </xf>
    <xf numFmtId="0" fontId="4" fillId="21" borderId="16" xfId="2" applyFont="1" applyFill="1" applyBorder="1" applyProtection="1">
      <alignment horizontal="center" vertical="center"/>
      <protection hidden="1"/>
    </xf>
    <xf numFmtId="0" fontId="4" fillId="21" borderId="0" xfId="2" applyFont="1" applyFill="1" applyBorder="1" applyProtection="1">
      <alignment horizontal="center" vertical="center"/>
      <protection hidden="1"/>
    </xf>
    <xf numFmtId="0" fontId="4" fillId="21" borderId="28" xfId="2" applyFont="1" applyFill="1" applyBorder="1" applyProtection="1">
      <alignment horizontal="center" vertical="center"/>
      <protection hidden="1"/>
    </xf>
    <xf numFmtId="2" fontId="5" fillId="4" borderId="0" xfId="3" applyNumberFormat="1" applyBorder="1" applyProtection="1">
      <alignment horizontal="center"/>
      <protection hidden="1"/>
    </xf>
    <xf numFmtId="2" fontId="5" fillId="4" borderId="28" xfId="3" applyNumberFormat="1" applyBorder="1" applyProtection="1">
      <alignment horizontal="center"/>
      <protection hidden="1"/>
    </xf>
    <xf numFmtId="0" fontId="67" fillId="11" borderId="13" xfId="0" applyFont="1" applyFill="1" applyBorder="1" applyAlignment="1" applyProtection="1">
      <alignment horizontal="center" vertical="center"/>
      <protection hidden="1"/>
    </xf>
    <xf numFmtId="0" fontId="67" fillId="11" borderId="19" xfId="0" applyFont="1" applyFill="1" applyBorder="1" applyAlignment="1" applyProtection="1">
      <alignment horizontal="center" vertical="center"/>
      <protection hidden="1"/>
    </xf>
    <xf numFmtId="0" fontId="58" fillId="29" borderId="18" xfId="0" applyFont="1" applyFill="1" applyBorder="1" applyAlignment="1" applyProtection="1">
      <alignment horizontal="center" vertical="center"/>
      <protection hidden="1"/>
    </xf>
    <xf numFmtId="0" fontId="58" fillId="29" borderId="4" xfId="0" applyFont="1" applyFill="1" applyBorder="1" applyAlignment="1" applyProtection="1">
      <alignment horizontal="center" vertical="center"/>
      <protection hidden="1"/>
    </xf>
    <xf numFmtId="0" fontId="44" fillId="3" borderId="13" xfId="2" applyFont="1" applyFill="1" applyBorder="1" applyProtection="1">
      <alignment horizontal="center" vertical="center"/>
      <protection hidden="1"/>
    </xf>
    <xf numFmtId="0" fontId="44" fillId="3" borderId="12" xfId="2" applyFont="1" applyFill="1" applyBorder="1" applyProtection="1">
      <alignment horizontal="center" vertical="center"/>
      <protection hidden="1"/>
    </xf>
    <xf numFmtId="0" fontId="54" fillId="0" borderId="17" xfId="0" applyFont="1" applyBorder="1" applyAlignment="1" applyProtection="1">
      <alignment horizontal="center" vertical="center" textRotation="90"/>
      <protection hidden="1"/>
    </xf>
    <xf numFmtId="0" fontId="54" fillId="0" borderId="60" xfId="0" applyFont="1" applyBorder="1" applyAlignment="1" applyProtection="1">
      <alignment horizontal="center" vertical="center" textRotation="90"/>
      <protection hidden="1"/>
    </xf>
    <xf numFmtId="0" fontId="54" fillId="0" borderId="15" xfId="0" applyFont="1" applyBorder="1" applyAlignment="1" applyProtection="1">
      <alignment horizontal="center" vertical="center" textRotation="90"/>
      <protection hidden="1"/>
    </xf>
    <xf numFmtId="0" fontId="53" fillId="0" borderId="17" xfId="0" applyFont="1" applyBorder="1" applyAlignment="1" applyProtection="1">
      <alignment horizontal="center" vertical="center" textRotation="90" wrapText="1"/>
      <protection hidden="1"/>
    </xf>
    <xf numFmtId="0" fontId="53" fillId="0" borderId="60" xfId="0" applyFont="1" applyBorder="1" applyAlignment="1" applyProtection="1">
      <alignment horizontal="center" vertical="center" textRotation="90" wrapText="1"/>
      <protection hidden="1"/>
    </xf>
    <xf numFmtId="0" fontId="53" fillId="0" borderId="15" xfId="0" applyFont="1" applyBorder="1" applyAlignment="1" applyProtection="1">
      <alignment horizontal="center" vertical="center" textRotation="90" wrapText="1"/>
      <protection hidden="1"/>
    </xf>
    <xf numFmtId="0" fontId="69" fillId="31" borderId="5" xfId="2" applyFont="1" applyFill="1" applyBorder="1" applyProtection="1">
      <alignment horizontal="center" vertical="center"/>
      <protection hidden="1"/>
    </xf>
    <xf numFmtId="0" fontId="69" fillId="31" borderId="0" xfId="2" applyFont="1" applyFill="1" applyBorder="1" applyProtection="1">
      <alignment horizontal="center" vertical="center"/>
      <protection hidden="1"/>
    </xf>
    <xf numFmtId="0" fontId="69" fillId="31" borderId="3" xfId="2" applyFont="1" applyFill="1" applyBorder="1" applyProtection="1">
      <alignment horizontal="center" vertical="center"/>
      <protection hidden="1"/>
    </xf>
    <xf numFmtId="0" fontId="69" fillId="31" borderId="7" xfId="2" applyFont="1" applyFill="1" applyBorder="1" applyProtection="1">
      <alignment horizontal="center" vertical="center"/>
      <protection hidden="1"/>
    </xf>
    <xf numFmtId="0" fontId="69" fillId="31" borderId="6" xfId="2" applyFont="1" applyFill="1" applyBorder="1" applyProtection="1">
      <alignment horizontal="center" vertical="center"/>
      <protection hidden="1"/>
    </xf>
    <xf numFmtId="0" fontId="69" fillId="31" borderId="1" xfId="2" applyFont="1" applyFill="1" applyBorder="1" applyProtection="1">
      <alignment horizontal="center" vertical="center"/>
      <protection hidden="1"/>
    </xf>
    <xf numFmtId="0" fontId="0" fillId="33" borderId="17" xfId="0" applyFill="1" applyBorder="1" applyAlignment="1" applyProtection="1">
      <alignment horizontal="center" vertical="center"/>
      <protection hidden="1"/>
    </xf>
    <xf numFmtId="0" fontId="0" fillId="33" borderId="60" xfId="0" applyFill="1" applyBorder="1" applyAlignment="1" applyProtection="1">
      <alignment horizontal="center" vertical="center"/>
      <protection hidden="1"/>
    </xf>
    <xf numFmtId="0" fontId="0" fillId="33" borderId="15" xfId="0" applyFill="1" applyBorder="1" applyAlignment="1" applyProtection="1">
      <alignment horizontal="center" vertical="center"/>
      <protection hidden="1"/>
    </xf>
    <xf numFmtId="0" fontId="59" fillId="29" borderId="18" xfId="0" applyFont="1" applyFill="1" applyBorder="1" applyAlignment="1" applyProtection="1">
      <alignment horizontal="center" vertical="center"/>
      <protection hidden="1"/>
    </xf>
    <xf numFmtId="0" fontId="59" fillId="29" borderId="4" xfId="0" applyFont="1" applyFill="1" applyBorder="1" applyAlignment="1" applyProtection="1">
      <alignment horizontal="center" vertical="center"/>
      <protection hidden="1"/>
    </xf>
    <xf numFmtId="0" fontId="0" fillId="0" borderId="37" xfId="0" applyBorder="1" applyAlignment="1" applyProtection="1">
      <alignment horizontal="center" vertical="center"/>
      <protection hidden="1"/>
    </xf>
    <xf numFmtId="0" fontId="0" fillId="35" borderId="17" xfId="0" applyFill="1" applyBorder="1" applyAlignment="1" applyProtection="1">
      <alignment horizontal="center" vertical="center"/>
      <protection hidden="1"/>
    </xf>
    <xf numFmtId="0" fontId="0" fillId="35" borderId="60" xfId="0" applyFill="1" applyBorder="1" applyAlignment="1" applyProtection="1">
      <alignment horizontal="center" vertical="center"/>
      <protection hidden="1"/>
    </xf>
    <xf numFmtId="0" fontId="0" fillId="35" borderId="15" xfId="0" applyFill="1" applyBorder="1" applyAlignment="1" applyProtection="1">
      <alignment horizontal="center" vertical="center"/>
      <protection hidden="1"/>
    </xf>
    <xf numFmtId="0" fontId="0" fillId="34" borderId="17" xfId="0" applyFill="1" applyBorder="1" applyAlignment="1" applyProtection="1">
      <alignment horizontal="center" vertical="center"/>
      <protection hidden="1"/>
    </xf>
    <xf numFmtId="0" fontId="0" fillId="34" borderId="60" xfId="0" applyFill="1" applyBorder="1" applyAlignment="1" applyProtection="1">
      <alignment horizontal="center" vertical="center"/>
      <protection hidden="1"/>
    </xf>
    <xf numFmtId="0" fontId="0" fillId="34" borderId="15" xfId="0" applyFill="1" applyBorder="1" applyAlignment="1" applyProtection="1">
      <alignment horizontal="center" vertical="center"/>
      <protection hidden="1"/>
    </xf>
    <xf numFmtId="0" fontId="0" fillId="32" borderId="17" xfId="0" applyFill="1" applyBorder="1" applyAlignment="1" applyProtection="1">
      <alignment horizontal="center" vertical="center"/>
      <protection hidden="1"/>
    </xf>
    <xf numFmtId="0" fontId="0" fillId="32" borderId="60" xfId="0" applyFill="1" applyBorder="1" applyAlignment="1" applyProtection="1">
      <alignment horizontal="center" vertical="center"/>
      <protection hidden="1"/>
    </xf>
    <xf numFmtId="0" fontId="0" fillId="32" borderId="15" xfId="0" applyFill="1" applyBorder="1" applyAlignment="1" applyProtection="1">
      <alignment horizontal="center" vertical="center"/>
      <protection hidden="1"/>
    </xf>
    <xf numFmtId="0" fontId="0" fillId="0" borderId="0" xfId="0" applyAlignment="1" applyProtection="1">
      <alignment horizontal="center"/>
      <protection hidden="1"/>
    </xf>
    <xf numFmtId="0" fontId="18" fillId="11" borderId="48" xfId="0" applyFont="1" applyFill="1" applyBorder="1" applyAlignment="1" applyProtection="1">
      <alignment horizontal="center" vertical="center"/>
      <protection hidden="1"/>
    </xf>
    <xf numFmtId="0" fontId="18" fillId="11" borderId="49" xfId="0" applyFont="1" applyFill="1" applyBorder="1" applyAlignment="1" applyProtection="1">
      <alignment horizontal="center" vertical="center"/>
      <protection hidden="1"/>
    </xf>
    <xf numFmtId="0" fontId="16" fillId="10" borderId="16" xfId="7" applyFont="1" applyFill="1" applyBorder="1" applyAlignment="1" applyProtection="1">
      <alignment horizontal="center" vertical="center" wrapText="1"/>
      <protection hidden="1"/>
    </xf>
    <xf numFmtId="168" fontId="14" fillId="0" borderId="16" xfId="7" applyNumberFormat="1" applyFont="1" applyBorder="1" applyAlignment="1" applyProtection="1">
      <alignment horizontal="center" vertical="center"/>
      <protection hidden="1"/>
    </xf>
    <xf numFmtId="0" fontId="95" fillId="53" borderId="46" xfId="0" applyFont="1" applyFill="1" applyBorder="1" applyAlignment="1">
      <alignment horizontal="center" vertical="center"/>
    </xf>
    <xf numFmtId="0" fontId="95" fillId="53" borderId="47" xfId="0" applyFont="1" applyFill="1" applyBorder="1" applyAlignment="1">
      <alignment horizontal="center" vertical="center"/>
    </xf>
    <xf numFmtId="0" fontId="95" fillId="53" borderId="26" xfId="0" applyFont="1" applyFill="1" applyBorder="1" applyAlignment="1">
      <alignment horizontal="center" vertical="center"/>
    </xf>
    <xf numFmtId="0" fontId="97" fillId="41" borderId="17" xfId="0" applyFont="1" applyFill="1" applyBorder="1" applyAlignment="1">
      <alignment horizontal="center" vertical="center" wrapText="1"/>
    </xf>
    <xf numFmtId="0" fontId="97" fillId="41" borderId="60" xfId="0" applyFont="1" applyFill="1" applyBorder="1" applyAlignment="1">
      <alignment horizontal="center" vertical="center"/>
    </xf>
    <xf numFmtId="0" fontId="98" fillId="13" borderId="17" xfId="0" applyFont="1" applyFill="1" applyBorder="1" applyAlignment="1">
      <alignment horizontal="center" vertical="center" wrapText="1"/>
    </xf>
    <xf numFmtId="0" fontId="98" fillId="13" borderId="60" xfId="0" applyFont="1" applyFill="1" applyBorder="1" applyAlignment="1">
      <alignment horizontal="center" vertical="center" wrapText="1"/>
    </xf>
    <xf numFmtId="0" fontId="98" fillId="13" borderId="15" xfId="0" applyFont="1" applyFill="1" applyBorder="1" applyAlignment="1">
      <alignment horizontal="center" vertical="center" wrapText="1"/>
    </xf>
    <xf numFmtId="0" fontId="82" fillId="41" borderId="53" xfId="0" applyFont="1" applyFill="1" applyBorder="1" applyAlignment="1">
      <alignment horizontal="center" vertical="center"/>
    </xf>
    <xf numFmtId="0" fontId="82" fillId="41" borderId="48" xfId="0" applyFont="1" applyFill="1" applyBorder="1" applyAlignment="1">
      <alignment horizontal="center" vertical="center"/>
    </xf>
    <xf numFmtId="0" fontId="82" fillId="41" borderId="49" xfId="0" applyFont="1" applyFill="1" applyBorder="1" applyAlignment="1">
      <alignment horizontal="center" vertical="center"/>
    </xf>
    <xf numFmtId="0" fontId="82" fillId="41" borderId="27" xfId="0" applyFont="1" applyFill="1" applyBorder="1" applyAlignment="1">
      <alignment horizontal="center" vertical="center"/>
    </xf>
    <xf numFmtId="0" fontId="82" fillId="41" borderId="0" xfId="0" applyFont="1" applyFill="1" applyAlignment="1">
      <alignment horizontal="center" vertical="center"/>
    </xf>
    <xf numFmtId="0" fontId="82" fillId="41" borderId="28" xfId="0" applyFont="1" applyFill="1" applyBorder="1" applyAlignment="1">
      <alignment horizontal="center" vertical="center"/>
    </xf>
    <xf numFmtId="0" fontId="82" fillId="41" borderId="95" xfId="0" applyFont="1" applyFill="1" applyBorder="1" applyAlignment="1">
      <alignment horizontal="center" vertical="center"/>
    </xf>
    <xf numFmtId="0" fontId="82" fillId="41" borderId="96" xfId="0" applyFont="1" applyFill="1" applyBorder="1" applyAlignment="1">
      <alignment horizontal="center" vertical="center"/>
    </xf>
    <xf numFmtId="0" fontId="82" fillId="41" borderId="22" xfId="0" applyFont="1" applyFill="1" applyBorder="1" applyAlignment="1">
      <alignment horizontal="center" vertical="center"/>
    </xf>
    <xf numFmtId="0" fontId="113" fillId="0" borderId="47" xfId="13" applyFont="1" applyBorder="1" applyAlignment="1" applyProtection="1">
      <alignment horizontal="center" vertical="center"/>
    </xf>
    <xf numFmtId="0" fontId="0" fillId="53" borderId="98" xfId="0" applyFill="1" applyBorder="1" applyAlignment="1">
      <alignment horizontal="center"/>
    </xf>
    <xf numFmtId="0" fontId="0" fillId="29" borderId="98" xfId="0" applyFill="1" applyBorder="1" applyAlignment="1">
      <alignment horizontal="center"/>
    </xf>
    <xf numFmtId="0" fontId="0" fillId="40" borderId="98" xfId="0" applyFill="1" applyBorder="1" applyAlignment="1">
      <alignment horizontal="center"/>
    </xf>
    <xf numFmtId="0" fontId="0" fillId="55" borderId="98" xfId="0" applyFill="1" applyBorder="1" applyAlignment="1">
      <alignment horizontal="center"/>
    </xf>
    <xf numFmtId="0" fontId="101" fillId="65" borderId="0" xfId="0" applyFont="1" applyFill="1" applyAlignment="1">
      <alignment horizontal="center"/>
    </xf>
    <xf numFmtId="0" fontId="100" fillId="65" borderId="46" xfId="0" applyFont="1" applyFill="1" applyBorder="1" applyAlignment="1">
      <alignment horizontal="center" vertical="center"/>
    </xf>
    <xf numFmtId="0" fontId="100" fillId="65" borderId="26" xfId="0" applyFont="1" applyFill="1" applyBorder="1" applyAlignment="1">
      <alignment horizontal="center" vertical="center"/>
    </xf>
    <xf numFmtId="0" fontId="92" fillId="67" borderId="46" xfId="0" applyFont="1" applyFill="1" applyBorder="1" applyAlignment="1">
      <alignment horizontal="center" vertical="center"/>
    </xf>
    <xf numFmtId="0" fontId="92" fillId="67" borderId="26" xfId="0" applyFont="1" applyFill="1" applyBorder="1" applyAlignment="1">
      <alignment horizontal="center" vertical="center"/>
    </xf>
    <xf numFmtId="0" fontId="100" fillId="33" borderId="103" xfId="0" applyFont="1" applyFill="1" applyBorder="1" applyAlignment="1">
      <alignment horizontal="center" vertical="center" wrapText="1"/>
    </xf>
    <xf numFmtId="0" fontId="100" fillId="33" borderId="106" xfId="0" applyFont="1" applyFill="1" applyBorder="1" applyAlignment="1">
      <alignment horizontal="center" vertical="center"/>
    </xf>
    <xf numFmtId="0" fontId="100" fillId="32" borderId="104" xfId="0" applyFont="1" applyFill="1" applyBorder="1" applyAlignment="1">
      <alignment horizontal="center" vertical="center" wrapText="1"/>
    </xf>
    <xf numFmtId="0" fontId="100" fillId="32" borderId="107" xfId="0" applyFont="1" applyFill="1" applyBorder="1" applyAlignment="1">
      <alignment horizontal="center" vertical="center"/>
    </xf>
    <xf numFmtId="0" fontId="100" fillId="66" borderId="105" xfId="0" applyFont="1" applyFill="1" applyBorder="1" applyAlignment="1">
      <alignment horizontal="center" vertical="center" wrapText="1"/>
    </xf>
    <xf numFmtId="0" fontId="100" fillId="66" borderId="109" xfId="0" applyFont="1" applyFill="1" applyBorder="1" applyAlignment="1">
      <alignment horizontal="center" vertical="center" wrapText="1"/>
    </xf>
    <xf numFmtId="0" fontId="92" fillId="29" borderId="53" xfId="0" applyFont="1" applyFill="1" applyBorder="1" applyAlignment="1">
      <alignment horizontal="center" vertical="center" wrapText="1"/>
    </xf>
    <xf numFmtId="0" fontId="92" fillId="29" borderId="49" xfId="0" applyFont="1" applyFill="1" applyBorder="1" applyAlignment="1">
      <alignment horizontal="center" vertical="center" wrapText="1"/>
    </xf>
    <xf numFmtId="0" fontId="92" fillId="29" borderId="27" xfId="0" applyFont="1" applyFill="1" applyBorder="1" applyAlignment="1">
      <alignment horizontal="center" vertical="center" wrapText="1"/>
    </xf>
    <xf numFmtId="0" fontId="92" fillId="29" borderId="28" xfId="0" applyFont="1" applyFill="1" applyBorder="1" applyAlignment="1">
      <alignment horizontal="center" vertical="center" wrapText="1"/>
    </xf>
    <xf numFmtId="0" fontId="92" fillId="29" borderId="122" xfId="0" applyFont="1" applyFill="1" applyBorder="1" applyAlignment="1">
      <alignment horizontal="center" vertical="center"/>
    </xf>
    <xf numFmtId="0" fontId="92" fillId="29" borderId="123" xfId="0" applyFont="1" applyFill="1" applyBorder="1" applyAlignment="1">
      <alignment horizontal="center" vertical="center"/>
    </xf>
    <xf numFmtId="0" fontId="92" fillId="67" borderId="46" xfId="0" applyFont="1" applyFill="1" applyBorder="1" applyAlignment="1">
      <alignment horizontal="center" vertical="center" wrapText="1"/>
    </xf>
    <xf numFmtId="0" fontId="92" fillId="67" borderId="26" xfId="0" applyFont="1" applyFill="1" applyBorder="1" applyAlignment="1">
      <alignment horizontal="center" vertical="center" wrapText="1"/>
    </xf>
    <xf numFmtId="0" fontId="0" fillId="65" borderId="0" xfId="0" applyFill="1" applyAlignment="1">
      <alignment horizontal="center" vertical="center"/>
    </xf>
    <xf numFmtId="0" fontId="92" fillId="29" borderId="111" xfId="0" applyFont="1" applyFill="1" applyBorder="1" applyAlignment="1">
      <alignment horizontal="center" vertical="center"/>
    </xf>
    <xf numFmtId="0" fontId="92" fillId="29" borderId="112" xfId="0" applyFont="1" applyFill="1" applyBorder="1" applyAlignment="1">
      <alignment horizontal="center" vertical="center"/>
    </xf>
    <xf numFmtId="0" fontId="92" fillId="29" borderId="118" xfId="0" applyFont="1" applyFill="1" applyBorder="1" applyAlignment="1">
      <alignment horizontal="center" vertical="center"/>
    </xf>
    <xf numFmtId="0" fontId="92" fillId="29" borderId="119" xfId="0" applyFont="1" applyFill="1" applyBorder="1" applyAlignment="1">
      <alignment horizontal="center" vertical="center"/>
    </xf>
    <xf numFmtId="0" fontId="0" fillId="65" borderId="0" xfId="0" applyFill="1" applyAlignment="1">
      <alignment horizontal="center" vertical="center" textRotation="90" wrapText="1"/>
    </xf>
    <xf numFmtId="0" fontId="0" fillId="65" borderId="0" xfId="0" applyFill="1" applyAlignment="1">
      <alignment horizontal="center" vertical="center" textRotation="90"/>
    </xf>
    <xf numFmtId="0" fontId="102" fillId="65" borderId="0" xfId="18" applyFont="1" applyFill="1" applyBorder="1" applyProtection="1">
      <alignment horizontal="center" vertical="center"/>
      <protection hidden="1"/>
    </xf>
    <xf numFmtId="0" fontId="102" fillId="65" borderId="0" xfId="0" applyFont="1" applyFill="1" applyAlignment="1" applyProtection="1">
      <alignment horizontal="center"/>
      <protection hidden="1"/>
    </xf>
    <xf numFmtId="0" fontId="29" fillId="0" borderId="0" xfId="0" applyFont="1" applyAlignment="1">
      <alignment horizontal="center"/>
    </xf>
    <xf numFmtId="0" fontId="76" fillId="8" borderId="69" xfId="0" applyFont="1" applyFill="1" applyBorder="1" applyAlignment="1" applyProtection="1">
      <alignment horizontal="center" vertical="center"/>
      <protection hidden="1"/>
    </xf>
    <xf numFmtId="0" fontId="76" fillId="8" borderId="70" xfId="0" applyFont="1" applyFill="1" applyBorder="1" applyAlignment="1" applyProtection="1">
      <alignment horizontal="center" vertical="center"/>
      <protection hidden="1"/>
    </xf>
    <xf numFmtId="0" fontId="76" fillId="8" borderId="71" xfId="0" applyFont="1" applyFill="1" applyBorder="1" applyAlignment="1" applyProtection="1">
      <alignment horizontal="center" vertical="center"/>
      <protection hidden="1"/>
    </xf>
    <xf numFmtId="0" fontId="76" fillId="8" borderId="72" xfId="0" applyFont="1" applyFill="1" applyBorder="1" applyAlignment="1" applyProtection="1">
      <alignment horizontal="center" vertical="center"/>
      <protection hidden="1"/>
    </xf>
    <xf numFmtId="0" fontId="76" fillId="8" borderId="0" xfId="0" applyFont="1" applyFill="1" applyAlignment="1" applyProtection="1">
      <alignment horizontal="center" vertical="center"/>
      <protection hidden="1"/>
    </xf>
    <xf numFmtId="0" fontId="76" fillId="8" borderId="73" xfId="0" applyFont="1" applyFill="1" applyBorder="1" applyAlignment="1" applyProtection="1">
      <alignment horizontal="center" vertical="center"/>
      <protection hidden="1"/>
    </xf>
    <xf numFmtId="0" fontId="58" fillId="4" borderId="72" xfId="0" applyFont="1" applyFill="1" applyBorder="1" applyAlignment="1">
      <alignment horizontal="center" vertical="center"/>
    </xf>
    <xf numFmtId="0" fontId="58" fillId="4" borderId="0" xfId="0" applyFont="1" applyFill="1" applyAlignment="1">
      <alignment horizontal="center" vertical="center"/>
    </xf>
    <xf numFmtId="0" fontId="58" fillId="4" borderId="73" xfId="0" applyFont="1" applyFill="1" applyBorder="1" applyAlignment="1">
      <alignment horizontal="center" vertical="center"/>
    </xf>
    <xf numFmtId="0" fontId="58" fillId="4" borderId="128" xfId="0" applyFont="1" applyFill="1" applyBorder="1" applyAlignment="1">
      <alignment horizontal="center" vertical="center"/>
    </xf>
    <xf numFmtId="0" fontId="58" fillId="4" borderId="129" xfId="0" applyFont="1" applyFill="1" applyBorder="1" applyAlignment="1">
      <alignment horizontal="center" vertical="center"/>
    </xf>
    <xf numFmtId="0" fontId="58" fillId="4" borderId="130" xfId="0" applyFont="1" applyFill="1" applyBorder="1" applyAlignment="1">
      <alignment horizontal="center" vertical="center"/>
    </xf>
    <xf numFmtId="0" fontId="4" fillId="3" borderId="36" xfId="21" applyFont="1" applyFill="1" applyBorder="1" applyProtection="1">
      <alignment horizontal="center" vertical="center"/>
      <protection hidden="1"/>
    </xf>
    <xf numFmtId="0" fontId="4" fillId="3" borderId="37" xfId="21" applyFont="1" applyFill="1" applyBorder="1" applyProtection="1">
      <alignment horizontal="center" vertical="center"/>
      <protection hidden="1"/>
    </xf>
    <xf numFmtId="0" fontId="4" fillId="3" borderId="76" xfId="21" applyFont="1" applyFill="1" applyBorder="1" applyProtection="1">
      <alignment horizontal="center" vertical="center"/>
      <protection hidden="1"/>
    </xf>
    <xf numFmtId="0" fontId="4" fillId="3" borderId="77" xfId="21" applyFont="1" applyFill="1" applyBorder="1" applyProtection="1">
      <alignment horizontal="center" vertical="center"/>
      <protection hidden="1"/>
    </xf>
    <xf numFmtId="0" fontId="118" fillId="70" borderId="83" xfId="0" applyFont="1" applyFill="1" applyBorder="1" applyAlignment="1">
      <alignment horizontal="center" vertical="center" wrapText="1"/>
    </xf>
    <xf numFmtId="0" fontId="117" fillId="56" borderId="83" xfId="0" applyFont="1" applyFill="1" applyBorder="1" applyAlignment="1">
      <alignment horizontal="center" vertical="center" wrapText="1"/>
    </xf>
    <xf numFmtId="0" fontId="0" fillId="13" borderId="0" xfId="0" applyFill="1"/>
    <xf numFmtId="0" fontId="0" fillId="13" borderId="0" xfId="0" applyFill="1" applyAlignment="1">
      <alignment horizontal="center" vertical="center"/>
    </xf>
    <xf numFmtId="0" fontId="116" fillId="13" borderId="0" xfId="0" applyFont="1" applyFill="1"/>
    <xf numFmtId="0" fontId="119" fillId="71" borderId="83" xfId="0" applyFont="1" applyFill="1" applyBorder="1" applyAlignment="1">
      <alignment horizontal="center" vertical="center"/>
    </xf>
    <xf numFmtId="0" fontId="120" fillId="58" borderId="83" xfId="13" applyFont="1" applyFill="1" applyBorder="1" applyAlignment="1" applyProtection="1">
      <alignment horizontal="center" vertical="center"/>
    </xf>
    <xf numFmtId="0" fontId="0" fillId="13" borderId="0" xfId="0" applyFill="1" applyAlignment="1">
      <alignment wrapText="1"/>
    </xf>
    <xf numFmtId="0" fontId="118" fillId="0" borderId="0" xfId="0" applyFont="1" applyFill="1" applyBorder="1" applyAlignment="1">
      <alignment horizontal="center" vertical="center" wrapText="1"/>
    </xf>
    <xf numFmtId="0" fontId="118" fillId="0" borderId="83" xfId="0" applyFont="1" applyFill="1" applyBorder="1" applyAlignment="1">
      <alignment horizontal="center" vertical="center" wrapText="1"/>
    </xf>
  </cellXfs>
  <cellStyles count="23">
    <cellStyle name="DL_H1" xfId="5"/>
    <cellStyle name="DL_H1 2" xfId="17"/>
    <cellStyle name="DL_H2" xfId="2"/>
    <cellStyle name="DL_H2 2" xfId="18"/>
    <cellStyle name="DL_H2 3" xfId="21"/>
    <cellStyle name="DL_H3" xfId="3"/>
    <cellStyle name="DL_H3 2" xfId="22"/>
    <cellStyle name="DL_H4" xfId="6"/>
    <cellStyle name="DL_H4 2" xfId="19"/>
    <cellStyle name="DL_UserData" xfId="4"/>
    <cellStyle name="Lien hypertexte" xfId="13" builtinId="8"/>
    <cellStyle name="Milliers" xfId="1" builtinId="3"/>
    <cellStyle name="Milliers 2" xfId="15"/>
    <cellStyle name="Normal" xfId="0" builtinId="0"/>
    <cellStyle name="Normal 10 2" xfId="10"/>
    <cellStyle name="Normal 11 2 7" xfId="16"/>
    <cellStyle name="Normal 15" xfId="7"/>
    <cellStyle name="Normal 15 2" xfId="8"/>
    <cellStyle name="Normal 2" xfId="11"/>
    <cellStyle name="Normal 3" xfId="14"/>
    <cellStyle name="Normal 7 2" xfId="9"/>
    <cellStyle name="Normal_Data" xfId="12"/>
    <cellStyle name="Pourcentage" xfId="20" builtinId="5"/>
  </cellStyles>
  <dxfs count="242">
    <dxf>
      <font>
        <b val="0"/>
        <condense val="0"/>
        <extend val="0"/>
        <sz val="11"/>
        <color indexed="8"/>
      </font>
      <fill>
        <patternFill patternType="solid">
          <fgColor indexed="34"/>
          <bgColor indexed="13"/>
        </patternFill>
      </fill>
    </dxf>
    <dxf>
      <font>
        <b val="0"/>
        <condense val="0"/>
        <extend val="0"/>
        <sz val="11"/>
        <color indexed="8"/>
      </font>
      <fill>
        <patternFill patternType="solid">
          <fgColor indexed="34"/>
          <bgColor indexed="13"/>
        </patternFill>
      </fill>
    </dxf>
    <dxf>
      <font>
        <b val="0"/>
        <condense val="0"/>
        <extend val="0"/>
        <sz val="11"/>
        <color indexed="8"/>
      </font>
      <fill>
        <patternFill patternType="solid">
          <fgColor indexed="34"/>
          <bgColor indexed="13"/>
        </patternFill>
      </fill>
    </dxf>
    <dxf>
      <font>
        <b val="0"/>
        <condense val="0"/>
        <extend val="0"/>
        <sz val="11"/>
        <color indexed="8"/>
      </font>
      <fill>
        <patternFill patternType="solid">
          <fgColor indexed="34"/>
          <bgColor indexed="13"/>
        </patternFill>
      </fill>
    </dxf>
    <dxf>
      <font>
        <b val="0"/>
        <condense val="0"/>
        <extend val="0"/>
        <sz val="11"/>
        <color indexed="8"/>
      </font>
      <fill>
        <patternFill patternType="solid">
          <fgColor indexed="34"/>
          <bgColor indexed="13"/>
        </patternFill>
      </fill>
    </dxf>
    <dxf>
      <font>
        <b val="0"/>
        <condense val="0"/>
        <extend val="0"/>
        <sz val="11"/>
        <color indexed="8"/>
      </font>
      <fill>
        <patternFill patternType="solid">
          <fgColor indexed="34"/>
          <bgColor indexed="13"/>
        </patternFill>
      </fill>
    </dxf>
    <dxf>
      <font>
        <b val="0"/>
        <condense val="0"/>
        <extend val="0"/>
        <sz val="11"/>
        <color indexed="8"/>
      </font>
      <fill>
        <patternFill patternType="solid">
          <fgColor indexed="34"/>
          <bgColor indexed="13"/>
        </patternFill>
      </fill>
    </dxf>
    <dxf>
      <font>
        <b val="0"/>
        <condense val="0"/>
        <extend val="0"/>
        <sz val="11"/>
        <color indexed="8"/>
      </font>
      <fill>
        <patternFill patternType="solid">
          <fgColor indexed="34"/>
          <bgColor indexed="13"/>
        </patternFill>
      </fill>
    </dxf>
    <dxf>
      <font>
        <b val="0"/>
        <condense val="0"/>
        <extend val="0"/>
        <sz val="11"/>
        <color indexed="8"/>
      </font>
      <fill>
        <patternFill patternType="solid">
          <fgColor indexed="34"/>
          <bgColor indexed="13"/>
        </patternFill>
      </fill>
    </dxf>
    <dxf>
      <font>
        <b val="0"/>
        <condense val="0"/>
        <extend val="0"/>
        <sz val="11"/>
        <color indexed="8"/>
      </font>
      <fill>
        <patternFill patternType="solid">
          <fgColor indexed="34"/>
          <bgColor indexed="13"/>
        </patternFill>
      </fill>
    </dxf>
    <dxf>
      <font>
        <b val="0"/>
        <condense val="0"/>
        <extend val="0"/>
        <sz val="11"/>
        <color indexed="8"/>
      </font>
      <fill>
        <patternFill patternType="solid">
          <fgColor indexed="34"/>
          <bgColor indexed="13"/>
        </patternFill>
      </fill>
    </dxf>
    <dxf>
      <font>
        <color theme="0" tint="-0.499984740745262"/>
      </font>
    </dxf>
    <dxf>
      <font>
        <color theme="0" tint="-0.499984740745262"/>
      </font>
      <fill>
        <patternFill>
          <bgColor theme="0" tint="-0.499984740745262"/>
        </patternFill>
      </fill>
    </dxf>
    <dxf>
      <fill>
        <patternFill>
          <bgColor rgb="FF00B050"/>
        </patternFill>
      </fill>
    </dxf>
    <dxf>
      <fill>
        <patternFill>
          <bgColor rgb="FFFFC000"/>
        </patternFill>
      </fill>
    </dxf>
    <dxf>
      <fill>
        <patternFill>
          <bgColor rgb="FFFFC000"/>
        </patternFill>
      </fill>
    </dxf>
    <dxf>
      <fill>
        <patternFill>
          <bgColor rgb="FF00B05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theme="1"/>
        </patternFill>
      </fill>
    </dxf>
    <dxf>
      <fill>
        <patternFill>
          <bgColor theme="1" tint="4.9989318521683403E-2"/>
        </patternFill>
      </fill>
    </dxf>
    <dxf>
      <font>
        <color auto="1"/>
      </font>
      <fill>
        <patternFill>
          <bgColor theme="1"/>
        </patternFill>
      </fill>
    </dxf>
    <dxf>
      <fill>
        <patternFill>
          <bgColor rgb="FFC00000"/>
        </patternFill>
      </fill>
    </dxf>
    <dxf>
      <fill>
        <patternFill>
          <bgColor rgb="FFFFC000"/>
        </patternFill>
      </fill>
    </dxf>
    <dxf>
      <fill>
        <patternFill>
          <bgColor rgb="FF00B050"/>
        </patternFill>
      </fill>
    </dxf>
    <dxf>
      <fill>
        <patternFill>
          <bgColor rgb="FF00B050"/>
        </patternFill>
      </fill>
    </dxf>
    <dxf>
      <font>
        <color auto="1"/>
      </font>
      <fill>
        <patternFill>
          <bgColor theme="1"/>
        </patternFill>
      </fill>
    </dxf>
    <dxf>
      <fill>
        <patternFill>
          <bgColor rgb="FFC00000"/>
        </patternFill>
      </fill>
    </dxf>
    <dxf>
      <fill>
        <patternFill>
          <bgColor rgb="FFFFC000"/>
        </patternFill>
      </fill>
    </dxf>
    <dxf>
      <fill>
        <patternFill>
          <bgColor rgb="FF00B050"/>
        </patternFill>
      </fill>
    </dxf>
    <dxf>
      <fill>
        <patternFill>
          <bgColor rgb="FF00B050"/>
        </patternFill>
      </fill>
    </dxf>
    <dxf>
      <fill>
        <patternFill>
          <bgColor theme="1"/>
        </patternFill>
      </fill>
    </dxf>
    <dxf>
      <fill>
        <patternFill>
          <bgColor theme="1" tint="4.9989318521683403E-2"/>
        </patternFill>
      </fill>
    </dxf>
    <dxf>
      <font>
        <color auto="1"/>
      </font>
      <fill>
        <patternFill>
          <bgColor theme="1"/>
        </patternFill>
      </fill>
    </dxf>
    <dxf>
      <fill>
        <patternFill>
          <bgColor rgb="FFC00000"/>
        </patternFill>
      </fill>
    </dxf>
    <dxf>
      <fill>
        <patternFill>
          <bgColor rgb="FFFFC000"/>
        </patternFill>
      </fill>
    </dxf>
    <dxf>
      <fill>
        <patternFill>
          <bgColor rgb="FF00B050"/>
        </patternFill>
      </fill>
    </dxf>
    <dxf>
      <fill>
        <patternFill>
          <bgColor rgb="FF00B050"/>
        </patternFill>
      </fill>
    </dxf>
    <dxf>
      <font>
        <color auto="1"/>
      </font>
      <fill>
        <patternFill>
          <bgColor theme="1"/>
        </patternFill>
      </fill>
    </dxf>
    <dxf>
      <fill>
        <patternFill>
          <bgColor rgb="FFC00000"/>
        </patternFill>
      </fill>
    </dxf>
    <dxf>
      <fill>
        <patternFill>
          <bgColor rgb="FFFFC000"/>
        </patternFill>
      </fill>
    </dxf>
    <dxf>
      <fill>
        <patternFill>
          <bgColor rgb="FF00B050"/>
        </patternFill>
      </fill>
    </dxf>
    <dxf>
      <fill>
        <patternFill>
          <bgColor rgb="FF00B050"/>
        </patternFill>
      </fill>
    </dxf>
    <dxf>
      <fill>
        <patternFill>
          <bgColor theme="1"/>
        </patternFill>
      </fill>
    </dxf>
    <dxf>
      <fill>
        <patternFill>
          <bgColor theme="1" tint="4.9989318521683403E-2"/>
        </patternFill>
      </fill>
    </dxf>
    <dxf>
      <font>
        <color auto="1"/>
      </font>
      <fill>
        <patternFill>
          <bgColor theme="1"/>
        </patternFill>
      </fill>
    </dxf>
    <dxf>
      <fill>
        <patternFill>
          <bgColor rgb="FFC00000"/>
        </patternFill>
      </fill>
    </dxf>
    <dxf>
      <fill>
        <patternFill>
          <bgColor rgb="FFFFC000"/>
        </patternFill>
      </fill>
    </dxf>
    <dxf>
      <fill>
        <patternFill>
          <bgColor rgb="FF00B050"/>
        </patternFill>
      </fill>
    </dxf>
    <dxf>
      <fill>
        <patternFill>
          <bgColor rgb="FF00B050"/>
        </patternFill>
      </fill>
    </dxf>
    <dxf>
      <font>
        <color auto="1"/>
      </font>
      <fill>
        <patternFill>
          <bgColor theme="1"/>
        </patternFill>
      </fill>
    </dxf>
    <dxf>
      <fill>
        <patternFill>
          <bgColor rgb="FFC00000"/>
        </patternFill>
      </fill>
    </dxf>
    <dxf>
      <fill>
        <patternFill>
          <bgColor rgb="FFFFC000"/>
        </patternFill>
      </fill>
    </dxf>
    <dxf>
      <fill>
        <patternFill>
          <bgColor rgb="FF00B050"/>
        </patternFill>
      </fill>
    </dxf>
    <dxf>
      <fill>
        <patternFill>
          <bgColor rgb="FF00B050"/>
        </patternFill>
      </fill>
    </dxf>
    <dxf>
      <fill>
        <patternFill>
          <bgColor theme="1"/>
        </patternFill>
      </fill>
    </dxf>
    <dxf>
      <fill>
        <patternFill>
          <bgColor theme="1" tint="4.9989318521683403E-2"/>
        </patternFill>
      </fill>
    </dxf>
    <dxf>
      <font>
        <color auto="1"/>
      </font>
      <fill>
        <patternFill>
          <bgColor theme="1"/>
        </patternFill>
      </fill>
    </dxf>
    <dxf>
      <fill>
        <patternFill>
          <bgColor rgb="FFC00000"/>
        </patternFill>
      </fill>
    </dxf>
    <dxf>
      <fill>
        <patternFill>
          <bgColor rgb="FFFFC000"/>
        </patternFill>
      </fill>
    </dxf>
    <dxf>
      <fill>
        <patternFill>
          <bgColor rgb="FF00B050"/>
        </patternFill>
      </fill>
    </dxf>
    <dxf>
      <fill>
        <patternFill>
          <bgColor rgb="FF00B050"/>
        </patternFill>
      </fill>
    </dxf>
    <dxf>
      <font>
        <color auto="1"/>
      </font>
      <fill>
        <patternFill>
          <bgColor theme="1"/>
        </patternFill>
      </fill>
    </dxf>
    <dxf>
      <fill>
        <patternFill>
          <bgColor rgb="FFC00000"/>
        </patternFill>
      </fill>
    </dxf>
    <dxf>
      <fill>
        <patternFill>
          <bgColor rgb="FFFFC000"/>
        </patternFill>
      </fill>
    </dxf>
    <dxf>
      <fill>
        <patternFill>
          <bgColor rgb="FF00B050"/>
        </patternFill>
      </fill>
    </dxf>
    <dxf>
      <fill>
        <patternFill>
          <bgColor rgb="FF00B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1"/>
        </patternFill>
      </fill>
    </dxf>
    <dxf>
      <fill>
        <patternFill>
          <bgColor theme="1" tint="4.9989318521683403E-2"/>
        </patternFill>
      </fill>
    </dxf>
    <dxf>
      <font>
        <color auto="1"/>
      </font>
      <fill>
        <patternFill>
          <bgColor theme="1"/>
        </patternFill>
      </fill>
    </dxf>
    <dxf>
      <fill>
        <patternFill>
          <bgColor rgb="FFC00000"/>
        </patternFill>
      </fill>
    </dxf>
    <dxf>
      <fill>
        <patternFill>
          <bgColor rgb="FFFFC000"/>
        </patternFill>
      </fill>
    </dxf>
    <dxf>
      <fill>
        <patternFill>
          <bgColor rgb="FF00B050"/>
        </patternFill>
      </fill>
    </dxf>
    <dxf>
      <fill>
        <patternFill>
          <bgColor rgb="FF00B050"/>
        </patternFill>
      </fill>
    </dxf>
    <dxf>
      <font>
        <color auto="1"/>
      </font>
      <fill>
        <patternFill>
          <bgColor theme="1"/>
        </patternFill>
      </fill>
    </dxf>
    <dxf>
      <fill>
        <patternFill>
          <bgColor rgb="FFC00000"/>
        </patternFill>
      </fill>
    </dxf>
    <dxf>
      <fill>
        <patternFill>
          <bgColor rgb="FFFFC000"/>
        </patternFill>
      </fill>
    </dxf>
    <dxf>
      <fill>
        <patternFill>
          <bgColor rgb="FF00B050"/>
        </patternFill>
      </fill>
    </dxf>
    <dxf>
      <fill>
        <patternFill>
          <bgColor rgb="FF00B050"/>
        </patternFill>
      </fill>
    </dxf>
    <dxf>
      <fill>
        <patternFill>
          <bgColor theme="1"/>
        </patternFill>
      </fill>
    </dxf>
    <dxf>
      <fill>
        <patternFill>
          <bgColor theme="1" tint="4.9989318521683403E-2"/>
        </patternFill>
      </fill>
    </dxf>
    <dxf>
      <font>
        <color auto="1"/>
      </font>
      <fill>
        <patternFill>
          <bgColor theme="1"/>
        </patternFill>
      </fill>
    </dxf>
    <dxf>
      <fill>
        <patternFill>
          <bgColor rgb="FFC00000"/>
        </patternFill>
      </fill>
    </dxf>
    <dxf>
      <fill>
        <patternFill>
          <bgColor rgb="FFFFC000"/>
        </patternFill>
      </fill>
    </dxf>
    <dxf>
      <fill>
        <patternFill>
          <bgColor rgb="FF00B050"/>
        </patternFill>
      </fill>
    </dxf>
    <dxf>
      <fill>
        <patternFill>
          <bgColor rgb="FF00B050"/>
        </patternFill>
      </fill>
    </dxf>
    <dxf>
      <font>
        <color auto="1"/>
      </font>
      <fill>
        <patternFill>
          <bgColor theme="1"/>
        </patternFill>
      </fill>
    </dxf>
    <dxf>
      <fill>
        <patternFill>
          <bgColor rgb="FFC00000"/>
        </patternFill>
      </fill>
    </dxf>
    <dxf>
      <fill>
        <patternFill>
          <bgColor rgb="FFFFC000"/>
        </patternFill>
      </fill>
    </dxf>
    <dxf>
      <fill>
        <patternFill>
          <bgColor rgb="FF00B050"/>
        </patternFill>
      </fill>
    </dxf>
    <dxf>
      <fill>
        <patternFill>
          <bgColor rgb="FF00B050"/>
        </patternFill>
      </fill>
    </dxf>
    <dxf>
      <fill>
        <patternFill>
          <bgColor theme="1"/>
        </patternFill>
      </fill>
    </dxf>
    <dxf>
      <fill>
        <patternFill>
          <bgColor theme="1" tint="4.9989318521683403E-2"/>
        </patternFill>
      </fill>
    </dxf>
    <dxf>
      <font>
        <color auto="1"/>
      </font>
      <fill>
        <patternFill>
          <bgColor theme="1"/>
        </patternFill>
      </fill>
    </dxf>
    <dxf>
      <fill>
        <patternFill>
          <bgColor rgb="FFC00000"/>
        </patternFill>
      </fill>
    </dxf>
    <dxf>
      <fill>
        <patternFill>
          <bgColor rgb="FFFFC000"/>
        </patternFill>
      </fill>
    </dxf>
    <dxf>
      <fill>
        <patternFill>
          <bgColor rgb="FF00B050"/>
        </patternFill>
      </fill>
    </dxf>
    <dxf>
      <fill>
        <patternFill>
          <bgColor rgb="FF00B050"/>
        </patternFill>
      </fill>
    </dxf>
    <dxf>
      <font>
        <color auto="1"/>
      </font>
      <fill>
        <patternFill>
          <bgColor theme="1"/>
        </patternFill>
      </fill>
    </dxf>
    <dxf>
      <fill>
        <patternFill>
          <bgColor rgb="FFC00000"/>
        </patternFill>
      </fill>
    </dxf>
    <dxf>
      <fill>
        <patternFill>
          <bgColor rgb="FFFFC000"/>
        </patternFill>
      </fill>
    </dxf>
    <dxf>
      <fill>
        <patternFill>
          <bgColor rgb="FF00B050"/>
        </patternFill>
      </fill>
    </dxf>
    <dxf>
      <fill>
        <patternFill>
          <bgColor rgb="FF00B050"/>
        </patternFill>
      </fill>
    </dxf>
    <dxf>
      <fill>
        <patternFill>
          <bgColor theme="1"/>
        </patternFill>
      </fill>
    </dxf>
    <dxf>
      <fill>
        <patternFill>
          <bgColor theme="1" tint="4.9989318521683403E-2"/>
        </patternFill>
      </fill>
    </dxf>
    <dxf>
      <font>
        <color auto="1"/>
      </font>
      <fill>
        <patternFill>
          <bgColor theme="1"/>
        </patternFill>
      </fill>
    </dxf>
    <dxf>
      <fill>
        <patternFill>
          <bgColor rgb="FFC00000"/>
        </patternFill>
      </fill>
    </dxf>
    <dxf>
      <fill>
        <patternFill>
          <bgColor rgb="FFFFC000"/>
        </patternFill>
      </fill>
    </dxf>
    <dxf>
      <fill>
        <patternFill>
          <bgColor rgb="FF00B050"/>
        </patternFill>
      </fill>
    </dxf>
    <dxf>
      <fill>
        <patternFill>
          <bgColor rgb="FF00B050"/>
        </patternFill>
      </fill>
    </dxf>
    <dxf>
      <font>
        <color auto="1"/>
      </font>
      <fill>
        <patternFill>
          <bgColor theme="1"/>
        </patternFill>
      </fill>
    </dxf>
    <dxf>
      <fill>
        <patternFill>
          <bgColor rgb="FFC00000"/>
        </patternFill>
      </fill>
    </dxf>
    <dxf>
      <fill>
        <patternFill>
          <bgColor rgb="FFFFC000"/>
        </patternFill>
      </fill>
    </dxf>
    <dxf>
      <fill>
        <patternFill>
          <bgColor rgb="FF00B050"/>
        </patternFill>
      </fill>
    </dxf>
    <dxf>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dxf>
    <dxf>
      <font>
        <b/>
        <i val="0"/>
      </font>
    </dxf>
    <dxf>
      <font>
        <b/>
        <i val="0"/>
      </font>
    </dxf>
    <dxf>
      <font>
        <b/>
        <i val="0"/>
      </font>
    </dxf>
    <dxf>
      <font>
        <b/>
        <i val="0"/>
      </font>
    </dxf>
    <dxf>
      <fill>
        <patternFill>
          <bgColor rgb="FFFF0000"/>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color theme="0"/>
      </font>
      <fill>
        <patternFill>
          <bgColor rgb="FFFF0000"/>
        </patternFill>
      </fill>
    </dxf>
    <dxf>
      <font>
        <b/>
        <i/>
        <color rgb="FFFF0000"/>
      </font>
      <fill>
        <patternFill>
          <bgColor theme="0"/>
        </patternFill>
      </fill>
    </dxf>
    <dxf>
      <font>
        <color theme="1"/>
      </font>
      <fill>
        <patternFill>
          <bgColor rgb="FFFF0000"/>
        </patternFill>
      </fill>
    </dxf>
    <dxf>
      <font>
        <color theme="1"/>
      </font>
      <fill>
        <patternFill>
          <bgColor rgb="FFFFC000"/>
        </patternFill>
      </fill>
    </dxf>
    <dxf>
      <font>
        <color theme="1"/>
      </font>
      <fill>
        <patternFill>
          <bgColor rgb="FFFFFF00"/>
        </patternFill>
      </fill>
    </dxf>
    <dxf>
      <font>
        <color theme="1"/>
      </font>
      <fill>
        <patternFill>
          <bgColor rgb="FF00B050"/>
        </patternFill>
      </fill>
    </dxf>
    <dxf>
      <font>
        <color rgb="FF92D050"/>
      </font>
      <fill>
        <patternFill>
          <bgColor rgb="FF92D050"/>
        </patternFill>
      </fill>
    </dxf>
    <dxf>
      <font>
        <color theme="1"/>
      </font>
      <fill>
        <patternFill>
          <bgColor rgb="FF92D050"/>
        </patternFill>
      </fill>
    </dxf>
    <dxf>
      <font>
        <color rgb="FF00B050"/>
      </font>
      <fill>
        <patternFill>
          <bgColor rgb="FF00B050"/>
        </patternFill>
      </fill>
    </dxf>
    <dxf>
      <font>
        <b/>
        <i/>
        <color rgb="FFFF0000"/>
      </font>
      <fill>
        <patternFill>
          <bgColor theme="0"/>
        </patternFill>
      </fill>
    </dxf>
    <dxf>
      <fill>
        <patternFill>
          <bgColor rgb="FFC00000"/>
        </patternFill>
      </fill>
    </dxf>
    <dxf>
      <fill>
        <patternFill>
          <bgColor rgb="FFFFC000"/>
        </patternFill>
      </fill>
    </dxf>
    <dxf>
      <fill>
        <patternFill>
          <bgColor rgb="FF00B050"/>
        </patternFill>
      </fill>
    </dxf>
    <dxf>
      <fill>
        <patternFill>
          <bgColor rgb="FF00B050"/>
        </patternFill>
      </fill>
    </dxf>
    <dxf>
      <font>
        <b/>
        <i/>
        <color theme="0"/>
      </font>
      <fill>
        <patternFill>
          <bgColor rgb="FFFF0000"/>
        </patternFill>
      </fill>
    </dxf>
    <dxf>
      <font>
        <color theme="1"/>
      </font>
      <fill>
        <patternFill>
          <bgColor rgb="FF00B050"/>
        </patternFill>
      </fill>
    </dxf>
    <dxf>
      <font>
        <color theme="1"/>
      </font>
      <fill>
        <patternFill>
          <bgColor rgb="FF92D050"/>
        </patternFill>
      </fill>
    </dxf>
    <dxf>
      <font>
        <b/>
        <i val="0"/>
        <color rgb="FF92D050"/>
      </font>
    </dxf>
    <dxf>
      <font>
        <b/>
        <i/>
        <color rgb="FFFF0000"/>
      </font>
      <fill>
        <patternFill>
          <bgColor theme="0"/>
        </patternFill>
      </fill>
    </dxf>
    <dxf>
      <fill>
        <patternFill>
          <bgColor rgb="FFFF0000"/>
        </patternFill>
      </fill>
    </dxf>
    <dxf>
      <fill>
        <patternFill>
          <bgColor rgb="FFFFC000"/>
        </patternFill>
      </fill>
    </dxf>
    <dxf>
      <fill>
        <patternFill>
          <bgColor rgb="FFFFFF00"/>
        </patternFill>
      </fill>
    </dxf>
    <dxf>
      <fill>
        <patternFill>
          <bgColor rgb="FF00B050"/>
        </patternFill>
      </fill>
    </dxf>
    <dxf>
      <font>
        <b val="0"/>
        <i val="0"/>
        <color rgb="FF00B050"/>
      </font>
      <fill>
        <patternFill>
          <bgColor rgb="FF00B050"/>
        </patternFill>
      </fill>
    </dxf>
    <dxf>
      <font>
        <b/>
        <i/>
        <color theme="0"/>
      </font>
      <fill>
        <patternFill>
          <bgColor rgb="FFFF0000"/>
        </patternFill>
      </fill>
    </dxf>
    <dxf>
      <font>
        <color rgb="FF00B050"/>
      </font>
      <fill>
        <patternFill>
          <bgColor rgb="FF00B050"/>
        </patternFill>
      </fill>
    </dxf>
    <dxf>
      <fill>
        <patternFill>
          <bgColor rgb="FF00B050"/>
        </patternFill>
      </fill>
    </dxf>
    <dxf>
      <font>
        <b/>
        <i val="0"/>
        <color rgb="FFFF0000"/>
      </font>
    </dxf>
    <dxf>
      <font>
        <b/>
        <i val="0"/>
        <color rgb="FFFFC000"/>
      </font>
    </dxf>
    <dxf>
      <fill>
        <patternFill>
          <bgColor rgb="FFFFC000"/>
        </patternFill>
      </fill>
    </dxf>
    <dxf>
      <fill>
        <patternFill>
          <bgColor rgb="FFFF0000"/>
        </patternFill>
      </fill>
    </dxf>
    <dxf>
      <fill>
        <patternFill>
          <bgColor rgb="FFFF0000"/>
        </patternFill>
      </fill>
    </dxf>
    <dxf>
      <fill>
        <patternFill>
          <bgColor theme="8" tint="0.39994506668294322"/>
        </patternFill>
      </fill>
    </dxf>
  </dxfs>
  <tableStyles count="0" defaultTableStyle="TableStyleMedium2" defaultPivotStyle="PivotStyleLight16"/>
  <colors>
    <mruColors>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chart1.xml><?xml version="1.0" encoding="utf-8"?>
<c:chartSpace xmlns:c="http://schemas.openxmlformats.org/drawingml/2006/chart" xmlns:a="http://schemas.openxmlformats.org/drawingml/2006/main" xmlns:r="http://schemas.openxmlformats.org/officeDocument/2006/relationships">
  <c:lang val="fr-CH"/>
  <c:roundedCorners val="1"/>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Balance</a:t>
            </a:r>
          </a:p>
        </c:rich>
      </c:tx>
      <c:layout/>
      <c:spPr>
        <a:noFill/>
        <a:ln>
          <a:noFill/>
        </a:ln>
        <a:effectLst/>
      </c:spPr>
    </c:title>
    <c:plotArea>
      <c:layout>
        <c:manualLayout>
          <c:layoutTarget val="inner"/>
          <c:xMode val="edge"/>
          <c:yMode val="edge"/>
          <c:x val="0.16508386519519441"/>
          <c:y val="3.8154129742514774E-2"/>
          <c:w val="0.91833659230591558"/>
          <c:h val="0.76216844218003565"/>
        </c:manualLayout>
      </c:layout>
      <c:scatterChart>
        <c:scatterStyle val="smoothMarker"/>
        <c:ser>
          <c:idx val="1"/>
          <c:order val="0"/>
          <c:tx>
            <c:strRef>
              <c:f>'Calcul ws'!$E$1</c:f>
              <c:strCache>
                <c:ptCount val="1"/>
                <c:pt idx="0">
                  <c:v>ÿ</c:v>
                </c:pt>
              </c:strCache>
            </c:strRef>
          </c:tx>
          <c:spPr>
            <a:ln w="9525" cap="rnd">
              <a:solidFill>
                <a:schemeClr val="accent4"/>
              </a:solidFill>
              <a:round/>
            </a:ln>
            <a:effectLst>
              <a:outerShdw blurRad="40000" dist="23000" dir="5400000" rotWithShape="0">
                <a:srgbClr val="000000">
                  <a:alpha val="35000"/>
                </a:srgbClr>
              </a:outerShdw>
            </a:effectLst>
          </c:spPr>
          <c:marker>
            <c:symbol val="none"/>
          </c:marker>
          <c:xVal>
            <c:numRef>
              <c:f>'Calcul ws'!$D$2:$D$999</c:f>
              <c:numCache>
                <c:formatCode>General</c:formatCode>
                <c:ptCount val="9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numCache>
            </c:numRef>
          </c:xVal>
          <c:yVal>
            <c:numRef>
              <c:f>'Calcul ws'!$E$2:$E$999</c:f>
              <c:numCache>
                <c:formatCode>0.000</c:formatCode>
                <c:ptCount val="9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numCache>
            </c:numRef>
          </c:yVal>
          <c:smooth val="1"/>
          <c:extLst xmlns:c16r2="http://schemas.microsoft.com/office/drawing/2015/06/chart">
            <c:ext xmlns:c16="http://schemas.microsoft.com/office/drawing/2014/chart" uri="{C3380CC4-5D6E-409C-BE32-E72D297353CC}">
              <c16:uniqueId val="{00000000-4093-4BD6-BD5B-EBA660F2351A}"/>
            </c:ext>
          </c:extLst>
        </c:ser>
        <c:ser>
          <c:idx val="0"/>
          <c:order val="1"/>
          <c:tx>
            <c:v>Trois points</c:v>
          </c:tx>
          <c:spPr>
            <a:ln w="25400" cap="rnd">
              <a:no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cap="rnd">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xVal>
            <c:numRef>
              <c:f>'Calcul ws'!$A$2:$A$4</c:f>
              <c:numCache>
                <c:formatCode>0</c:formatCode>
                <c:ptCount val="3"/>
                <c:pt idx="0">
                  <c:v>0</c:v>
                </c:pt>
                <c:pt idx="1">
                  <c:v>0</c:v>
                </c:pt>
                <c:pt idx="2">
                  <c:v>0</c:v>
                </c:pt>
              </c:numCache>
            </c:numRef>
          </c:xVal>
          <c:yVal>
            <c:numRef>
              <c:f>'Calcul ws'!$B$2:$B$4</c:f>
              <c:numCache>
                <c:formatCode>0.000</c:formatCode>
                <c:ptCount val="3"/>
                <c:pt idx="0">
                  <c:v>0</c:v>
                </c:pt>
                <c:pt idx="1">
                  <c:v>0</c:v>
                </c:pt>
                <c:pt idx="2">
                  <c:v>0</c:v>
                </c:pt>
              </c:numCache>
            </c:numRef>
          </c:yVal>
          <c:extLst xmlns:c16r2="http://schemas.microsoft.com/office/drawing/2015/06/chart">
            <c:ext xmlns:c16="http://schemas.microsoft.com/office/drawing/2014/chart" uri="{C3380CC4-5D6E-409C-BE32-E72D297353CC}">
              <c16:uniqueId val="{00000001-4093-4BD6-BD5B-EBA660F2351A}"/>
            </c:ext>
          </c:extLst>
        </c:ser>
        <c:dLbls/>
        <c:axId val="80956032"/>
        <c:axId val="80974208"/>
      </c:scatterChart>
      <c:valAx>
        <c:axId val="80956032"/>
        <c:scaling>
          <c:orientation val="minMax"/>
        </c:scaling>
        <c:axPos val="b"/>
        <c:majorGridlines>
          <c:spPr>
            <a:ln w="9525" cap="flat" cmpd="sng" algn="ctr">
              <a:solidFill>
                <a:schemeClr val="lt1">
                  <a:lumMod val="95000"/>
                  <a:alpha val="10000"/>
                </a:schemeClr>
              </a:solidFill>
              <a:round/>
            </a:ln>
            <a:effectLst/>
          </c:spPr>
        </c:majorGridlines>
        <c:numFmt formatCode="General" sourceLinked="1"/>
        <c:majorTickMark val="none"/>
        <c:tickLblPos val="nextTo"/>
        <c:spPr>
          <a:noFill/>
          <a:ln w="9525" cap="flat" cmpd="sng" algn="ctr">
            <a:solidFill>
              <a:schemeClr val="lt1">
                <a:lumMod val="50000"/>
              </a:schemeClr>
            </a:solidFill>
          </a:ln>
          <a:effectLst/>
        </c:spPr>
        <c:txPr>
          <a:bodyPr rot="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fr-FR"/>
          </a:p>
        </c:txPr>
        <c:crossAx val="80974208"/>
        <c:crosses val="autoZero"/>
        <c:crossBetween val="midCat"/>
      </c:valAx>
      <c:valAx>
        <c:axId val="80974208"/>
        <c:scaling>
          <c:orientation val="minMax"/>
        </c:scaling>
        <c:axPos val="l"/>
        <c:majorGridlines>
          <c:spPr>
            <a:ln w="9525" cap="flat" cmpd="sng" algn="ctr">
              <a:solidFill>
                <a:schemeClr val="lt1">
                  <a:lumMod val="95000"/>
                  <a:alpha val="10000"/>
                </a:schemeClr>
              </a:solidFill>
              <a:round/>
            </a:ln>
            <a:effectLst/>
          </c:spPr>
        </c:majorGridlines>
        <c:numFmt formatCode="0.000" sourceLinked="1"/>
        <c:majorTickMark val="none"/>
        <c:tickLblPos val="nextTo"/>
        <c:spPr>
          <a:noFill/>
          <a:ln w="9525" cap="flat" cmpd="sng" algn="ctr">
            <a:solidFill>
              <a:schemeClr val="lt1">
                <a:lumMod val="50000"/>
              </a:schemeClr>
            </a:solidFill>
          </a:ln>
          <a:effectLst/>
        </c:spPr>
        <c:txPr>
          <a:bodyPr rot="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fr-FR"/>
          </a:p>
        </c:txPr>
        <c:crossAx val="80956032"/>
        <c:crosses val="autoZero"/>
        <c:crossBetween val="midCat"/>
      </c:valAx>
      <c:spPr>
        <a:noFill/>
        <a:ln>
          <a:noFill/>
        </a:ln>
        <a:effectLst/>
      </c:spPr>
    </c:plotArea>
    <c:plotVisOnly val="1"/>
    <c:dispBlanksAs val="gap"/>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alignWithMargins="0"/>
    <c:pageMargins b="0.98425196899999956" l="0.78740157499999996" r="0.78740157499999996" t="0.98425196899999956" header="0.49212598450000788" footer="0.49212598450000788"/>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8.gif"/><Relationship Id="rId18" Type="http://schemas.openxmlformats.org/officeDocument/2006/relationships/image" Target="../media/image23.gif"/><Relationship Id="rId26" Type="http://schemas.openxmlformats.org/officeDocument/2006/relationships/image" Target="../media/image31.gif"/><Relationship Id="rId39" Type="http://schemas.openxmlformats.org/officeDocument/2006/relationships/image" Target="../media/image44.gif"/><Relationship Id="rId21" Type="http://schemas.openxmlformats.org/officeDocument/2006/relationships/image" Target="../media/image26.gif"/><Relationship Id="rId34" Type="http://schemas.openxmlformats.org/officeDocument/2006/relationships/image" Target="../media/image39.gif"/><Relationship Id="rId42" Type="http://schemas.openxmlformats.org/officeDocument/2006/relationships/image" Target="../media/image47.gif"/><Relationship Id="rId47" Type="http://schemas.openxmlformats.org/officeDocument/2006/relationships/image" Target="../media/image52.gif"/><Relationship Id="rId50" Type="http://schemas.openxmlformats.org/officeDocument/2006/relationships/image" Target="../media/image55.gif"/><Relationship Id="rId55" Type="http://schemas.openxmlformats.org/officeDocument/2006/relationships/image" Target="../media/image60.gif"/><Relationship Id="rId63" Type="http://schemas.openxmlformats.org/officeDocument/2006/relationships/image" Target="../media/image68.gif"/><Relationship Id="rId68" Type="http://schemas.openxmlformats.org/officeDocument/2006/relationships/image" Target="../media/image73.png"/><Relationship Id="rId7" Type="http://schemas.openxmlformats.org/officeDocument/2006/relationships/image" Target="../media/image12.gif"/><Relationship Id="rId71" Type="http://schemas.openxmlformats.org/officeDocument/2006/relationships/image" Target="file:///C:\Users\Jean-Luc\Desktop\VENTURI\PICTURES\HELMETS\Helmet_Motif_76.png" TargetMode="External"/><Relationship Id="rId2" Type="http://schemas.openxmlformats.org/officeDocument/2006/relationships/image" Target="../media/image7.jpeg"/><Relationship Id="rId16" Type="http://schemas.openxmlformats.org/officeDocument/2006/relationships/image" Target="../media/image21.gif"/><Relationship Id="rId29" Type="http://schemas.openxmlformats.org/officeDocument/2006/relationships/image" Target="../media/image34.gif"/><Relationship Id="rId11" Type="http://schemas.openxmlformats.org/officeDocument/2006/relationships/image" Target="../media/image16.gif"/><Relationship Id="rId24" Type="http://schemas.openxmlformats.org/officeDocument/2006/relationships/image" Target="../media/image29.gif"/><Relationship Id="rId32" Type="http://schemas.openxmlformats.org/officeDocument/2006/relationships/image" Target="../media/image37.gif"/><Relationship Id="rId37" Type="http://schemas.openxmlformats.org/officeDocument/2006/relationships/image" Target="../media/image42.gif"/><Relationship Id="rId40" Type="http://schemas.openxmlformats.org/officeDocument/2006/relationships/image" Target="../media/image45.gif"/><Relationship Id="rId45" Type="http://schemas.openxmlformats.org/officeDocument/2006/relationships/image" Target="../media/image50.gif"/><Relationship Id="rId53" Type="http://schemas.openxmlformats.org/officeDocument/2006/relationships/image" Target="../media/image58.gif"/><Relationship Id="rId58" Type="http://schemas.openxmlformats.org/officeDocument/2006/relationships/image" Target="../media/image63.gif"/><Relationship Id="rId66" Type="http://schemas.openxmlformats.org/officeDocument/2006/relationships/image" Target="../media/image71.gif"/><Relationship Id="rId5" Type="http://schemas.openxmlformats.org/officeDocument/2006/relationships/image" Target="../media/image10.jpeg"/><Relationship Id="rId15" Type="http://schemas.openxmlformats.org/officeDocument/2006/relationships/image" Target="../media/image20.gif"/><Relationship Id="rId23" Type="http://schemas.openxmlformats.org/officeDocument/2006/relationships/image" Target="../media/image28.gif"/><Relationship Id="rId28" Type="http://schemas.openxmlformats.org/officeDocument/2006/relationships/image" Target="../media/image33.gif"/><Relationship Id="rId36" Type="http://schemas.openxmlformats.org/officeDocument/2006/relationships/image" Target="../media/image41.gif"/><Relationship Id="rId49" Type="http://schemas.openxmlformats.org/officeDocument/2006/relationships/image" Target="../media/image54.gif"/><Relationship Id="rId57" Type="http://schemas.openxmlformats.org/officeDocument/2006/relationships/image" Target="../media/image62.gif"/><Relationship Id="rId61" Type="http://schemas.openxmlformats.org/officeDocument/2006/relationships/image" Target="../media/image66.gif"/><Relationship Id="rId10" Type="http://schemas.openxmlformats.org/officeDocument/2006/relationships/image" Target="../media/image15.gif"/><Relationship Id="rId19" Type="http://schemas.openxmlformats.org/officeDocument/2006/relationships/image" Target="../media/image24.gif"/><Relationship Id="rId31" Type="http://schemas.openxmlformats.org/officeDocument/2006/relationships/image" Target="../media/image36.gif"/><Relationship Id="rId44" Type="http://schemas.openxmlformats.org/officeDocument/2006/relationships/image" Target="../media/image49.gif"/><Relationship Id="rId52" Type="http://schemas.openxmlformats.org/officeDocument/2006/relationships/image" Target="../media/image57.gif"/><Relationship Id="rId60" Type="http://schemas.openxmlformats.org/officeDocument/2006/relationships/image" Target="../media/image65.gif"/><Relationship Id="rId65" Type="http://schemas.openxmlformats.org/officeDocument/2006/relationships/image" Target="../media/image70.gif"/><Relationship Id="rId73" Type="http://schemas.openxmlformats.org/officeDocument/2006/relationships/image" Target="../media/image76.gif"/><Relationship Id="rId4" Type="http://schemas.openxmlformats.org/officeDocument/2006/relationships/image" Target="../media/image9.jpeg"/><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gif"/><Relationship Id="rId27" Type="http://schemas.openxmlformats.org/officeDocument/2006/relationships/image" Target="../media/image32.gif"/><Relationship Id="rId30" Type="http://schemas.openxmlformats.org/officeDocument/2006/relationships/image" Target="../media/image35.gif"/><Relationship Id="rId35" Type="http://schemas.openxmlformats.org/officeDocument/2006/relationships/image" Target="../media/image40.gif"/><Relationship Id="rId43" Type="http://schemas.openxmlformats.org/officeDocument/2006/relationships/image" Target="../media/image48.gif"/><Relationship Id="rId48" Type="http://schemas.openxmlformats.org/officeDocument/2006/relationships/image" Target="../media/image53.gif"/><Relationship Id="rId56" Type="http://schemas.openxmlformats.org/officeDocument/2006/relationships/image" Target="../media/image61.gif"/><Relationship Id="rId64" Type="http://schemas.openxmlformats.org/officeDocument/2006/relationships/image" Target="../media/image69.gif"/><Relationship Id="rId69" Type="http://schemas.openxmlformats.org/officeDocument/2006/relationships/image" Target="file:///C:\Users\Jean-Luc\Desktop\VENTURI\PICTURES\HELMETS\Helmet_Neutral.png" TargetMode="External"/><Relationship Id="rId8" Type="http://schemas.openxmlformats.org/officeDocument/2006/relationships/image" Target="../media/image13.gif"/><Relationship Id="rId51" Type="http://schemas.openxmlformats.org/officeDocument/2006/relationships/image" Target="../media/image56.gif"/><Relationship Id="rId72" Type="http://schemas.openxmlformats.org/officeDocument/2006/relationships/image" Target="../media/image75.gif"/><Relationship Id="rId3" Type="http://schemas.openxmlformats.org/officeDocument/2006/relationships/image" Target="../media/image8.jpeg"/><Relationship Id="rId12" Type="http://schemas.openxmlformats.org/officeDocument/2006/relationships/image" Target="../media/image17.gif"/><Relationship Id="rId17" Type="http://schemas.openxmlformats.org/officeDocument/2006/relationships/image" Target="../media/image22.gif"/><Relationship Id="rId25" Type="http://schemas.openxmlformats.org/officeDocument/2006/relationships/image" Target="../media/image30.gif"/><Relationship Id="rId33" Type="http://schemas.openxmlformats.org/officeDocument/2006/relationships/image" Target="../media/image38.gif"/><Relationship Id="rId38" Type="http://schemas.openxmlformats.org/officeDocument/2006/relationships/image" Target="../media/image43.gif"/><Relationship Id="rId46" Type="http://schemas.openxmlformats.org/officeDocument/2006/relationships/image" Target="../media/image51.gif"/><Relationship Id="rId59" Type="http://schemas.openxmlformats.org/officeDocument/2006/relationships/image" Target="../media/image64.gif"/><Relationship Id="rId67" Type="http://schemas.openxmlformats.org/officeDocument/2006/relationships/image" Target="../media/image72.png"/><Relationship Id="rId20" Type="http://schemas.openxmlformats.org/officeDocument/2006/relationships/image" Target="../media/image25.gif"/><Relationship Id="rId41" Type="http://schemas.openxmlformats.org/officeDocument/2006/relationships/image" Target="../media/image46.gif"/><Relationship Id="rId54" Type="http://schemas.openxmlformats.org/officeDocument/2006/relationships/image" Target="../media/image59.gif"/><Relationship Id="rId62" Type="http://schemas.openxmlformats.org/officeDocument/2006/relationships/image" Target="../media/image67.gif"/><Relationship Id="rId70" Type="http://schemas.openxmlformats.org/officeDocument/2006/relationships/image" Target="../media/image74.png"/><Relationship Id="rId1" Type="http://schemas.openxmlformats.org/officeDocument/2006/relationships/chart" Target="../charts/chart1.xml"/><Relationship Id="rId6" Type="http://schemas.openxmlformats.org/officeDocument/2006/relationships/image" Target="../media/image11.png"/></Relationships>
</file>

<file path=xl/drawings/_rels/drawing3.xml.rels><?xml version="1.0" encoding="UTF-8" standalone="yes"?>
<Relationships xmlns="http://schemas.openxmlformats.org/package/2006/relationships"><Relationship Id="rId3" Type="http://schemas.openxmlformats.org/officeDocument/2006/relationships/image" Target="../media/image80.jpeg"/><Relationship Id="rId2" Type="http://schemas.openxmlformats.org/officeDocument/2006/relationships/image" Target="../media/image79.jpeg"/><Relationship Id="rId1" Type="http://schemas.openxmlformats.org/officeDocument/2006/relationships/image" Target="../media/image78.jpeg"/></Relationships>
</file>

<file path=xl/drawings/_rels/drawing4.xml.rels><?xml version="1.0" encoding="UTF-8" standalone="yes"?>
<Relationships xmlns="http://schemas.openxmlformats.org/package/2006/relationships"><Relationship Id="rId1" Type="http://schemas.openxmlformats.org/officeDocument/2006/relationships/image" Target="../media/image8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77.emf"/></Relationships>
</file>

<file path=xl/drawings/drawing1.xml><?xml version="1.0" encoding="utf-8"?>
<xdr:wsDr xmlns:xdr="http://schemas.openxmlformats.org/drawingml/2006/spreadsheetDrawing" xmlns:a="http://schemas.openxmlformats.org/drawingml/2006/main">
  <xdr:twoCellAnchor>
    <xdr:from>
      <xdr:col>1</xdr:col>
      <xdr:colOff>4638675</xdr:colOff>
      <xdr:row>5</xdr:row>
      <xdr:rowOff>76200</xdr:rowOff>
    </xdr:from>
    <xdr:to>
      <xdr:col>1</xdr:col>
      <xdr:colOff>6143625</xdr:colOff>
      <xdr:row>5</xdr:row>
      <xdr:rowOff>361950</xdr:rowOff>
    </xdr:to>
    <xdr:grpSp>
      <xdr:nvGrpSpPr>
        <xdr:cNvPr id="6" name="Groupe 5"/>
        <xdr:cNvGrpSpPr/>
      </xdr:nvGrpSpPr>
      <xdr:grpSpPr>
        <a:xfrm>
          <a:off x="5400675" y="2562225"/>
          <a:ext cx="1504950" cy="285750"/>
          <a:chOff x="4895850" y="2457450"/>
          <a:chExt cx="1504950" cy="285750"/>
        </a:xfrm>
      </xdr:grpSpPr>
      <xdr:pic>
        <xdr:nvPicPr>
          <xdr:cNvPr id="2" name="Image 1" descr="cc-logo.f0ab4ebe.png"/>
          <xdr:cNvPicPr>
            <a:picLocks noChangeAspect="1"/>
          </xdr:cNvPicPr>
        </xdr:nvPicPr>
        <xdr:blipFill>
          <a:blip xmlns:r="http://schemas.openxmlformats.org/officeDocument/2006/relationships" r:embed="rId1" cstate="print"/>
          <a:stretch>
            <a:fillRect/>
          </a:stretch>
        </xdr:blipFill>
        <xdr:spPr>
          <a:xfrm>
            <a:off x="4895850" y="2457450"/>
            <a:ext cx="285750" cy="285750"/>
          </a:xfrm>
          <a:prstGeom prst="rect">
            <a:avLst/>
          </a:prstGeom>
        </xdr:spPr>
      </xdr:pic>
      <xdr:pic>
        <xdr:nvPicPr>
          <xdr:cNvPr id="3" name="Image 2" descr="cc-by.21b728bb.png"/>
          <xdr:cNvPicPr>
            <a:picLocks noChangeAspect="1"/>
          </xdr:cNvPicPr>
        </xdr:nvPicPr>
        <xdr:blipFill>
          <a:blip xmlns:r="http://schemas.openxmlformats.org/officeDocument/2006/relationships" r:embed="rId2" cstate="print"/>
          <a:stretch>
            <a:fillRect/>
          </a:stretch>
        </xdr:blipFill>
        <xdr:spPr>
          <a:xfrm>
            <a:off x="5302250" y="2457450"/>
            <a:ext cx="285750" cy="285750"/>
          </a:xfrm>
          <a:prstGeom prst="rect">
            <a:avLst/>
          </a:prstGeom>
        </xdr:spPr>
      </xdr:pic>
      <xdr:pic>
        <xdr:nvPicPr>
          <xdr:cNvPr id="4" name="Image 3" descr="cc-nc.218f18fc.png"/>
          <xdr:cNvPicPr>
            <a:picLocks noChangeAspect="1"/>
          </xdr:cNvPicPr>
        </xdr:nvPicPr>
        <xdr:blipFill>
          <a:blip xmlns:r="http://schemas.openxmlformats.org/officeDocument/2006/relationships" r:embed="rId3" cstate="print"/>
          <a:stretch>
            <a:fillRect/>
          </a:stretch>
        </xdr:blipFill>
        <xdr:spPr>
          <a:xfrm>
            <a:off x="5708650" y="2457450"/>
            <a:ext cx="285750" cy="285750"/>
          </a:xfrm>
          <a:prstGeom prst="rect">
            <a:avLst/>
          </a:prstGeom>
        </xdr:spPr>
      </xdr:pic>
      <xdr:pic>
        <xdr:nvPicPr>
          <xdr:cNvPr id="5" name="Image 4" descr="cc-sa.d1572b71.png"/>
          <xdr:cNvPicPr>
            <a:picLocks noChangeAspect="1"/>
          </xdr:cNvPicPr>
        </xdr:nvPicPr>
        <xdr:blipFill>
          <a:blip xmlns:r="http://schemas.openxmlformats.org/officeDocument/2006/relationships" r:embed="rId4" cstate="print"/>
          <a:stretch>
            <a:fillRect/>
          </a:stretch>
        </xdr:blipFill>
        <xdr:spPr>
          <a:xfrm>
            <a:off x="6115050" y="2457450"/>
            <a:ext cx="285750" cy="28575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17</xdr:col>
      <xdr:colOff>38100</xdr:colOff>
      <xdr:row>9</xdr:row>
      <xdr:rowOff>47624</xdr:rowOff>
    </xdr:from>
    <xdr:to>
      <xdr:col>19</xdr:col>
      <xdr:colOff>990601</xdr:colOff>
      <xdr:row>19</xdr:row>
      <xdr:rowOff>0</xdr:rowOff>
    </xdr:to>
    <xdr:graphicFrame macro="">
      <xdr:nvGraphicFramePr>
        <xdr:cNvPr id="6" name="Chart 42">
          <a:extLst>
            <a:ext uri="{FF2B5EF4-FFF2-40B4-BE49-F238E27FC236}">
              <a16:creationId xmlns:a16="http://schemas.microsoft.com/office/drawing/2014/main" xmlns=""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76199</xdr:colOff>
      <xdr:row>10</xdr:row>
      <xdr:rowOff>19049</xdr:rowOff>
    </xdr:from>
    <xdr:to>
      <xdr:col>12</xdr:col>
      <xdr:colOff>575197</xdr:colOff>
      <xdr:row>17</xdr:row>
      <xdr:rowOff>181724</xdr:rowOff>
    </xdr:to>
    <xdr:pic>
      <xdr:nvPicPr>
        <xdr:cNvPr id="9" name="Image 8">
          <a:extLst>
            <a:ext uri="{FF2B5EF4-FFF2-40B4-BE49-F238E27FC236}">
              <a16:creationId xmlns:a16="http://schemas.microsoft.com/office/drawing/2014/main" xmlns="" id="{00000000-0008-0000-02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xmlns="" val="0"/>
            </a:ext>
          </a:extLst>
        </a:blip>
        <a:stretch>
          <a:fillRect/>
        </a:stretch>
      </xdr:blipFill>
      <xdr:spPr>
        <a:xfrm>
          <a:off x="7658099" y="1981199"/>
          <a:ext cx="1832498" cy="1620000"/>
        </a:xfrm>
        <a:prstGeom prst="rect">
          <a:avLst/>
        </a:prstGeom>
      </xdr:spPr>
    </xdr:pic>
    <xdr:clientData/>
  </xdr:twoCellAnchor>
  <xdr:twoCellAnchor editAs="oneCell">
    <xdr:from>
      <xdr:col>13</xdr:col>
      <xdr:colOff>38100</xdr:colOff>
      <xdr:row>37</xdr:row>
      <xdr:rowOff>47625</xdr:rowOff>
    </xdr:from>
    <xdr:to>
      <xdr:col>19</xdr:col>
      <xdr:colOff>1057275</xdr:colOff>
      <xdr:row>50</xdr:row>
      <xdr:rowOff>19050</xdr:rowOff>
    </xdr:to>
    <xdr:pic>
      <xdr:nvPicPr>
        <xdr:cNvPr id="3" name="Image 2">
          <a:extLst>
            <a:ext uri="{FF2B5EF4-FFF2-40B4-BE49-F238E27FC236}">
              <a16:creationId xmlns:a16="http://schemas.microsoft.com/office/drawing/2014/main" xmlns="" id="{00000000-0008-0000-02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xmlns="" val="0"/>
            </a:ext>
          </a:extLst>
        </a:blip>
        <a:stretch>
          <a:fillRect/>
        </a:stretch>
      </xdr:blipFill>
      <xdr:spPr>
        <a:xfrm>
          <a:off x="9658350" y="7315200"/>
          <a:ext cx="5457825" cy="2638425"/>
        </a:xfrm>
        <a:prstGeom prst="rect">
          <a:avLst/>
        </a:prstGeom>
      </xdr:spPr>
    </xdr:pic>
    <xdr:clientData/>
  </xdr:twoCellAnchor>
  <xdr:twoCellAnchor editAs="oneCell">
    <xdr:from>
      <xdr:col>8</xdr:col>
      <xdr:colOff>38100</xdr:colOff>
      <xdr:row>19</xdr:row>
      <xdr:rowOff>19050</xdr:rowOff>
    </xdr:from>
    <xdr:to>
      <xdr:col>12</xdr:col>
      <xdr:colOff>628650</xdr:colOff>
      <xdr:row>34</xdr:row>
      <xdr:rowOff>104775</xdr:rowOff>
    </xdr:to>
    <xdr:pic>
      <xdr:nvPicPr>
        <xdr:cNvPr id="5" name="Image 4">
          <a:extLst>
            <a:ext uri="{FF2B5EF4-FFF2-40B4-BE49-F238E27FC236}">
              <a16:creationId xmlns:a16="http://schemas.microsoft.com/office/drawing/2014/main" xmlns="" id="{00000000-0008-0000-02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xmlns="" val="0"/>
            </a:ext>
          </a:extLst>
        </a:blip>
        <a:stretch>
          <a:fillRect/>
        </a:stretch>
      </xdr:blipFill>
      <xdr:spPr>
        <a:xfrm>
          <a:off x="6400800" y="3819525"/>
          <a:ext cx="3162300" cy="2981325"/>
        </a:xfrm>
        <a:prstGeom prst="rect">
          <a:avLst/>
        </a:prstGeom>
      </xdr:spPr>
    </xdr:pic>
    <xdr:clientData/>
  </xdr:twoCellAnchor>
  <xdr:twoCellAnchor editAs="oneCell">
    <xdr:from>
      <xdr:col>14</xdr:col>
      <xdr:colOff>419099</xdr:colOff>
      <xdr:row>51</xdr:row>
      <xdr:rowOff>57150</xdr:rowOff>
    </xdr:from>
    <xdr:to>
      <xdr:col>19</xdr:col>
      <xdr:colOff>1066799</xdr:colOff>
      <xdr:row>73</xdr:row>
      <xdr:rowOff>188275</xdr:rowOff>
    </xdr:to>
    <xdr:pic>
      <xdr:nvPicPr>
        <xdr:cNvPr id="10" name="Image 9">
          <a:extLst>
            <a:ext uri="{FF2B5EF4-FFF2-40B4-BE49-F238E27FC236}">
              <a16:creationId xmlns:a16="http://schemas.microsoft.com/office/drawing/2014/main" xmlns="" id="{00000000-0008-0000-02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xmlns="" val="0"/>
            </a:ext>
          </a:extLst>
        </a:blip>
        <a:stretch>
          <a:fillRect/>
        </a:stretch>
      </xdr:blipFill>
      <xdr:spPr>
        <a:xfrm>
          <a:off x="10734674" y="10182225"/>
          <a:ext cx="4391025" cy="3960175"/>
        </a:xfrm>
        <a:prstGeom prst="rect">
          <a:avLst/>
        </a:prstGeom>
      </xdr:spPr>
    </xdr:pic>
    <xdr:clientData/>
  </xdr:twoCellAnchor>
  <xdr:twoCellAnchor editAs="oneCell">
    <xdr:from>
      <xdr:col>10</xdr:col>
      <xdr:colOff>28575</xdr:colOff>
      <xdr:row>45</xdr:row>
      <xdr:rowOff>200024</xdr:rowOff>
    </xdr:from>
    <xdr:to>
      <xdr:col>12</xdr:col>
      <xdr:colOff>54126</xdr:colOff>
      <xdr:row>50</xdr:row>
      <xdr:rowOff>4646</xdr:rowOff>
    </xdr:to>
    <xdr:pic>
      <xdr:nvPicPr>
        <xdr:cNvPr id="12" name="Image 11">
          <a:extLst>
            <a:ext uri="{FF2B5EF4-FFF2-40B4-BE49-F238E27FC236}">
              <a16:creationId xmlns:a16="http://schemas.microsoft.com/office/drawing/2014/main" xmlns="" id="{00000000-0008-0000-0200-00000C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xmlns="" val="0"/>
            </a:ext>
          </a:extLst>
        </a:blip>
        <a:stretch>
          <a:fillRect/>
        </a:stretch>
      </xdr:blipFill>
      <xdr:spPr>
        <a:xfrm>
          <a:off x="7610475" y="8953499"/>
          <a:ext cx="1359051" cy="962025"/>
        </a:xfrm>
        <a:prstGeom prst="rect">
          <a:avLst/>
        </a:prstGeom>
      </xdr:spPr>
    </xdr:pic>
    <xdr:clientData/>
  </xdr:twoCellAnchor>
  <xdr:twoCellAnchor>
    <xdr:from>
      <xdr:col>1</xdr:col>
      <xdr:colOff>9525</xdr:colOff>
      <xdr:row>69</xdr:row>
      <xdr:rowOff>47625</xdr:rowOff>
    </xdr:from>
    <xdr:to>
      <xdr:col>7</xdr:col>
      <xdr:colOff>638175</xdr:colOff>
      <xdr:row>77</xdr:row>
      <xdr:rowOff>104775</xdr:rowOff>
    </xdr:to>
    <xdr:sp macro="" textlink="">
      <xdr:nvSpPr>
        <xdr:cNvPr id="2" name="ZoneTexte 1">
          <a:extLst>
            <a:ext uri="{FF2B5EF4-FFF2-40B4-BE49-F238E27FC236}">
              <a16:creationId xmlns:a16="http://schemas.microsoft.com/office/drawing/2014/main" xmlns="" id="{00000000-0008-0000-0200-000002000000}"/>
            </a:ext>
          </a:extLst>
        </xdr:cNvPr>
        <xdr:cNvSpPr txBox="1"/>
      </xdr:nvSpPr>
      <xdr:spPr>
        <a:xfrm>
          <a:off x="1104900" y="13239750"/>
          <a:ext cx="5229225" cy="1581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b="1"/>
            <a:t>Commentaire</a:t>
          </a:r>
          <a:r>
            <a:rPr lang="fr-FR" sz="1100" b="1" baseline="0"/>
            <a:t> d'après course</a:t>
          </a:r>
          <a:r>
            <a:rPr lang="fr-FR" sz="1100" baseline="0"/>
            <a:t>: </a:t>
          </a:r>
        </a:p>
        <a:p>
          <a:r>
            <a:rPr lang="fr-FR" sz="1100" baseline="0"/>
            <a:t>vérification consommation :</a:t>
          </a:r>
        </a:p>
        <a:p>
          <a:r>
            <a:rPr lang="fr-FR" sz="1100" baseline="0"/>
            <a:t>vérification usure des pneus</a:t>
          </a:r>
        </a:p>
        <a:p>
          <a:r>
            <a:rPr lang="fr-FR" sz="1100" baseline="0"/>
            <a:t>vérification nombre de tour:</a:t>
          </a:r>
        </a:p>
        <a:p>
          <a:r>
            <a:rPr lang="fr-FR" sz="1100" baseline="0"/>
            <a:t>vérification usure des piéces</a:t>
          </a:r>
          <a:endParaRPr lang="fr-FR" sz="1100"/>
        </a:p>
      </xdr:txBody>
    </xdr:sp>
    <xdr:clientData/>
  </xdr:twoCellAnchor>
  <xdr:twoCellAnchor editAs="oneCell">
    <xdr:from>
      <xdr:col>1</xdr:col>
      <xdr:colOff>0</xdr:colOff>
      <xdr:row>99</xdr:row>
      <xdr:rowOff>0</xdr:rowOff>
    </xdr:from>
    <xdr:to>
      <xdr:col>2</xdr:col>
      <xdr:colOff>710775</xdr:colOff>
      <xdr:row>99</xdr:row>
      <xdr:rowOff>1368000</xdr:rowOff>
    </xdr:to>
    <xdr:pic>
      <xdr:nvPicPr>
        <xdr:cNvPr id="151" name="Image 150" descr="track_a1ring_au.gif">
          <a:extLst>
            <a:ext uri="{FF2B5EF4-FFF2-40B4-BE49-F238E27FC236}">
              <a16:creationId xmlns:a16="http://schemas.microsoft.com/office/drawing/2014/main" xmlns="" id="{00000000-0008-0000-0200-000097000000}"/>
            </a:ext>
          </a:extLst>
        </xdr:cNvPr>
        <xdr:cNvPicPr>
          <a:picLocks noChangeAspect="1"/>
        </xdr:cNvPicPr>
      </xdr:nvPicPr>
      <xdr:blipFill>
        <a:blip xmlns:r="http://schemas.openxmlformats.org/officeDocument/2006/relationships" r:embed="rId7" cstate="print"/>
        <a:stretch>
          <a:fillRect/>
        </a:stretch>
      </xdr:blipFill>
      <xdr:spPr>
        <a:xfrm>
          <a:off x="1085850" y="18907125"/>
          <a:ext cx="1368000" cy="1368000"/>
        </a:xfrm>
        <a:prstGeom prst="rect">
          <a:avLst/>
        </a:prstGeom>
      </xdr:spPr>
    </xdr:pic>
    <xdr:clientData/>
  </xdr:twoCellAnchor>
  <xdr:twoCellAnchor editAs="oneCell">
    <xdr:from>
      <xdr:col>1</xdr:col>
      <xdr:colOff>0</xdr:colOff>
      <xdr:row>100</xdr:row>
      <xdr:rowOff>0</xdr:rowOff>
    </xdr:from>
    <xdr:to>
      <xdr:col>2</xdr:col>
      <xdr:colOff>710775</xdr:colOff>
      <xdr:row>100</xdr:row>
      <xdr:rowOff>1368000</xdr:rowOff>
    </xdr:to>
    <xdr:pic>
      <xdr:nvPicPr>
        <xdr:cNvPr id="153" name="Image 152" descr="track_adelaide_aus.gif">
          <a:extLst>
            <a:ext uri="{FF2B5EF4-FFF2-40B4-BE49-F238E27FC236}">
              <a16:creationId xmlns:a16="http://schemas.microsoft.com/office/drawing/2014/main" xmlns="" id="{00000000-0008-0000-0200-000099000000}"/>
            </a:ext>
          </a:extLst>
        </xdr:cNvPr>
        <xdr:cNvPicPr>
          <a:picLocks noChangeAspect="1"/>
        </xdr:cNvPicPr>
      </xdr:nvPicPr>
      <xdr:blipFill>
        <a:blip xmlns:r="http://schemas.openxmlformats.org/officeDocument/2006/relationships" r:embed="rId8" cstate="print"/>
        <a:stretch>
          <a:fillRect/>
        </a:stretch>
      </xdr:blipFill>
      <xdr:spPr>
        <a:xfrm>
          <a:off x="1085850" y="20288250"/>
          <a:ext cx="1368000" cy="1368000"/>
        </a:xfrm>
        <a:prstGeom prst="rect">
          <a:avLst/>
        </a:prstGeom>
      </xdr:spPr>
    </xdr:pic>
    <xdr:clientData/>
  </xdr:twoCellAnchor>
  <xdr:twoCellAnchor editAs="oneCell">
    <xdr:from>
      <xdr:col>1</xdr:col>
      <xdr:colOff>0</xdr:colOff>
      <xdr:row>101</xdr:row>
      <xdr:rowOff>0</xdr:rowOff>
    </xdr:from>
    <xdr:to>
      <xdr:col>2</xdr:col>
      <xdr:colOff>710775</xdr:colOff>
      <xdr:row>101</xdr:row>
      <xdr:rowOff>1368000</xdr:rowOff>
    </xdr:to>
    <xdr:pic>
      <xdr:nvPicPr>
        <xdr:cNvPr id="155" name="Image 154" descr="track_ahvenisto_fin.gif">
          <a:extLst>
            <a:ext uri="{FF2B5EF4-FFF2-40B4-BE49-F238E27FC236}">
              <a16:creationId xmlns:a16="http://schemas.microsoft.com/office/drawing/2014/main" xmlns="" id="{00000000-0008-0000-0200-00009B000000}"/>
            </a:ext>
          </a:extLst>
        </xdr:cNvPr>
        <xdr:cNvPicPr>
          <a:picLocks noChangeAspect="1"/>
        </xdr:cNvPicPr>
      </xdr:nvPicPr>
      <xdr:blipFill>
        <a:blip xmlns:r="http://schemas.openxmlformats.org/officeDocument/2006/relationships" r:embed="rId9" cstate="print"/>
        <a:stretch>
          <a:fillRect/>
        </a:stretch>
      </xdr:blipFill>
      <xdr:spPr>
        <a:xfrm>
          <a:off x="1085850" y="21669375"/>
          <a:ext cx="1368000" cy="1368000"/>
        </a:xfrm>
        <a:prstGeom prst="rect">
          <a:avLst/>
        </a:prstGeom>
      </xdr:spPr>
    </xdr:pic>
    <xdr:clientData/>
  </xdr:twoCellAnchor>
  <xdr:twoCellAnchor editAs="oneCell">
    <xdr:from>
      <xdr:col>1</xdr:col>
      <xdr:colOff>0</xdr:colOff>
      <xdr:row>102</xdr:row>
      <xdr:rowOff>0</xdr:rowOff>
    </xdr:from>
    <xdr:to>
      <xdr:col>2</xdr:col>
      <xdr:colOff>710775</xdr:colOff>
      <xdr:row>102</xdr:row>
      <xdr:rowOff>1368000</xdr:rowOff>
    </xdr:to>
    <xdr:pic>
      <xdr:nvPicPr>
        <xdr:cNvPr id="156" name="Image 155" descr="track_anderstorp_sw.gif">
          <a:extLst>
            <a:ext uri="{FF2B5EF4-FFF2-40B4-BE49-F238E27FC236}">
              <a16:creationId xmlns:a16="http://schemas.microsoft.com/office/drawing/2014/main" xmlns="" id="{00000000-0008-0000-0200-00009C000000}"/>
            </a:ext>
          </a:extLst>
        </xdr:cNvPr>
        <xdr:cNvPicPr>
          <a:picLocks noChangeAspect="1"/>
        </xdr:cNvPicPr>
      </xdr:nvPicPr>
      <xdr:blipFill>
        <a:blip xmlns:r="http://schemas.openxmlformats.org/officeDocument/2006/relationships" r:embed="rId10" cstate="print"/>
        <a:stretch>
          <a:fillRect/>
        </a:stretch>
      </xdr:blipFill>
      <xdr:spPr>
        <a:xfrm>
          <a:off x="1085850" y="23050500"/>
          <a:ext cx="1368000" cy="1368000"/>
        </a:xfrm>
        <a:prstGeom prst="rect">
          <a:avLst/>
        </a:prstGeom>
      </xdr:spPr>
    </xdr:pic>
    <xdr:clientData/>
  </xdr:twoCellAnchor>
  <xdr:twoCellAnchor editAs="oneCell">
    <xdr:from>
      <xdr:col>1</xdr:col>
      <xdr:colOff>0</xdr:colOff>
      <xdr:row>103</xdr:row>
      <xdr:rowOff>0</xdr:rowOff>
    </xdr:from>
    <xdr:to>
      <xdr:col>2</xdr:col>
      <xdr:colOff>710775</xdr:colOff>
      <xdr:row>103</xdr:row>
      <xdr:rowOff>1368000</xdr:rowOff>
    </xdr:to>
    <xdr:pic>
      <xdr:nvPicPr>
        <xdr:cNvPr id="157" name="Image 156" descr="track_austin_us.gif">
          <a:extLst>
            <a:ext uri="{FF2B5EF4-FFF2-40B4-BE49-F238E27FC236}">
              <a16:creationId xmlns:a16="http://schemas.microsoft.com/office/drawing/2014/main" xmlns="" id="{00000000-0008-0000-0200-00009D000000}"/>
            </a:ext>
          </a:extLst>
        </xdr:cNvPr>
        <xdr:cNvPicPr>
          <a:picLocks noChangeAspect="1"/>
        </xdr:cNvPicPr>
      </xdr:nvPicPr>
      <xdr:blipFill>
        <a:blip xmlns:r="http://schemas.openxmlformats.org/officeDocument/2006/relationships" r:embed="rId11" cstate="print"/>
        <a:stretch>
          <a:fillRect/>
        </a:stretch>
      </xdr:blipFill>
      <xdr:spPr>
        <a:xfrm>
          <a:off x="1085850" y="24431625"/>
          <a:ext cx="1368000" cy="1368000"/>
        </a:xfrm>
        <a:prstGeom prst="rect">
          <a:avLst/>
        </a:prstGeom>
      </xdr:spPr>
    </xdr:pic>
    <xdr:clientData/>
  </xdr:twoCellAnchor>
  <xdr:twoCellAnchor editAs="oneCell">
    <xdr:from>
      <xdr:col>1</xdr:col>
      <xdr:colOff>0</xdr:colOff>
      <xdr:row>104</xdr:row>
      <xdr:rowOff>0</xdr:rowOff>
    </xdr:from>
    <xdr:to>
      <xdr:col>2</xdr:col>
      <xdr:colOff>710775</xdr:colOff>
      <xdr:row>104</xdr:row>
      <xdr:rowOff>1368000</xdr:rowOff>
    </xdr:to>
    <xdr:pic>
      <xdr:nvPicPr>
        <xdr:cNvPr id="158" name="Image 157" descr="track_avus_ge.gif">
          <a:extLst>
            <a:ext uri="{FF2B5EF4-FFF2-40B4-BE49-F238E27FC236}">
              <a16:creationId xmlns:a16="http://schemas.microsoft.com/office/drawing/2014/main" xmlns="" id="{00000000-0008-0000-0200-00009E000000}"/>
            </a:ext>
          </a:extLst>
        </xdr:cNvPr>
        <xdr:cNvPicPr>
          <a:picLocks noChangeAspect="1"/>
        </xdr:cNvPicPr>
      </xdr:nvPicPr>
      <xdr:blipFill>
        <a:blip xmlns:r="http://schemas.openxmlformats.org/officeDocument/2006/relationships" r:embed="rId12" cstate="print"/>
        <a:stretch>
          <a:fillRect/>
        </a:stretch>
      </xdr:blipFill>
      <xdr:spPr>
        <a:xfrm>
          <a:off x="1085850" y="25812750"/>
          <a:ext cx="1368000" cy="1368000"/>
        </a:xfrm>
        <a:prstGeom prst="rect">
          <a:avLst/>
        </a:prstGeom>
      </xdr:spPr>
    </xdr:pic>
    <xdr:clientData/>
  </xdr:twoCellAnchor>
  <xdr:twoCellAnchor editAs="oneCell">
    <xdr:from>
      <xdr:col>1</xdr:col>
      <xdr:colOff>0</xdr:colOff>
      <xdr:row>105</xdr:row>
      <xdr:rowOff>0</xdr:rowOff>
    </xdr:from>
    <xdr:to>
      <xdr:col>2</xdr:col>
      <xdr:colOff>710775</xdr:colOff>
      <xdr:row>105</xdr:row>
      <xdr:rowOff>1368000</xdr:rowOff>
    </xdr:to>
    <xdr:pic>
      <xdr:nvPicPr>
        <xdr:cNvPr id="159" name="Image 158" descr="track_baku_az.gif">
          <a:extLst>
            <a:ext uri="{FF2B5EF4-FFF2-40B4-BE49-F238E27FC236}">
              <a16:creationId xmlns:a16="http://schemas.microsoft.com/office/drawing/2014/main" xmlns="" id="{00000000-0008-0000-0200-00009F000000}"/>
            </a:ext>
          </a:extLst>
        </xdr:cNvPr>
        <xdr:cNvPicPr>
          <a:picLocks noChangeAspect="1"/>
        </xdr:cNvPicPr>
      </xdr:nvPicPr>
      <xdr:blipFill>
        <a:blip xmlns:r="http://schemas.openxmlformats.org/officeDocument/2006/relationships" r:embed="rId13" cstate="print"/>
        <a:stretch>
          <a:fillRect/>
        </a:stretch>
      </xdr:blipFill>
      <xdr:spPr>
        <a:xfrm>
          <a:off x="1085850" y="27193875"/>
          <a:ext cx="1368000" cy="1368000"/>
        </a:xfrm>
        <a:prstGeom prst="rect">
          <a:avLst/>
        </a:prstGeom>
      </xdr:spPr>
    </xdr:pic>
    <xdr:clientData/>
  </xdr:twoCellAnchor>
  <xdr:twoCellAnchor editAs="oneCell">
    <xdr:from>
      <xdr:col>1</xdr:col>
      <xdr:colOff>0</xdr:colOff>
      <xdr:row>106</xdr:row>
      <xdr:rowOff>0</xdr:rowOff>
    </xdr:from>
    <xdr:to>
      <xdr:col>2</xdr:col>
      <xdr:colOff>710775</xdr:colOff>
      <xdr:row>106</xdr:row>
      <xdr:rowOff>1368000</xdr:rowOff>
    </xdr:to>
    <xdr:pic>
      <xdr:nvPicPr>
        <xdr:cNvPr id="160" name="Image 159" descr="track_catalunya_sp.gif">
          <a:extLst>
            <a:ext uri="{FF2B5EF4-FFF2-40B4-BE49-F238E27FC236}">
              <a16:creationId xmlns:a16="http://schemas.microsoft.com/office/drawing/2014/main" xmlns="" id="{00000000-0008-0000-0200-0000A0000000}"/>
            </a:ext>
          </a:extLst>
        </xdr:cNvPr>
        <xdr:cNvPicPr>
          <a:picLocks noChangeAspect="1"/>
        </xdr:cNvPicPr>
      </xdr:nvPicPr>
      <xdr:blipFill>
        <a:blip xmlns:r="http://schemas.openxmlformats.org/officeDocument/2006/relationships" r:embed="rId14" cstate="print"/>
        <a:stretch>
          <a:fillRect/>
        </a:stretch>
      </xdr:blipFill>
      <xdr:spPr>
        <a:xfrm>
          <a:off x="1085850" y="28575000"/>
          <a:ext cx="1368000" cy="1368000"/>
        </a:xfrm>
        <a:prstGeom prst="rect">
          <a:avLst/>
        </a:prstGeom>
      </xdr:spPr>
    </xdr:pic>
    <xdr:clientData/>
  </xdr:twoCellAnchor>
  <xdr:twoCellAnchor editAs="oneCell">
    <xdr:from>
      <xdr:col>1</xdr:col>
      <xdr:colOff>0</xdr:colOff>
      <xdr:row>107</xdr:row>
      <xdr:rowOff>0</xdr:rowOff>
    </xdr:from>
    <xdr:to>
      <xdr:col>2</xdr:col>
      <xdr:colOff>710775</xdr:colOff>
      <xdr:row>107</xdr:row>
      <xdr:rowOff>1368000</xdr:rowOff>
    </xdr:to>
    <xdr:pic>
      <xdr:nvPicPr>
        <xdr:cNvPr id="161" name="Image 160" descr="track_brandshatch_uk.gif">
          <a:extLst>
            <a:ext uri="{FF2B5EF4-FFF2-40B4-BE49-F238E27FC236}">
              <a16:creationId xmlns:a16="http://schemas.microsoft.com/office/drawing/2014/main" xmlns="" id="{00000000-0008-0000-0200-0000A1000000}"/>
            </a:ext>
          </a:extLst>
        </xdr:cNvPr>
        <xdr:cNvPicPr>
          <a:picLocks noChangeAspect="1"/>
        </xdr:cNvPicPr>
      </xdr:nvPicPr>
      <xdr:blipFill>
        <a:blip xmlns:r="http://schemas.openxmlformats.org/officeDocument/2006/relationships" r:embed="rId15" cstate="print"/>
        <a:stretch>
          <a:fillRect/>
        </a:stretch>
      </xdr:blipFill>
      <xdr:spPr>
        <a:xfrm>
          <a:off x="1085850" y="29956125"/>
          <a:ext cx="1368000" cy="1368000"/>
        </a:xfrm>
        <a:prstGeom prst="rect">
          <a:avLst/>
        </a:prstGeom>
      </xdr:spPr>
    </xdr:pic>
    <xdr:clientData/>
  </xdr:twoCellAnchor>
  <xdr:twoCellAnchor editAs="oneCell">
    <xdr:from>
      <xdr:col>1</xdr:col>
      <xdr:colOff>0</xdr:colOff>
      <xdr:row>108</xdr:row>
      <xdr:rowOff>0</xdr:rowOff>
    </xdr:from>
    <xdr:to>
      <xdr:col>2</xdr:col>
      <xdr:colOff>710775</xdr:colOff>
      <xdr:row>108</xdr:row>
      <xdr:rowOff>1368000</xdr:rowOff>
    </xdr:to>
    <xdr:pic>
      <xdr:nvPicPr>
        <xdr:cNvPr id="162" name="Image 161" descr="track_brasilia_br.gif">
          <a:extLst>
            <a:ext uri="{FF2B5EF4-FFF2-40B4-BE49-F238E27FC236}">
              <a16:creationId xmlns:a16="http://schemas.microsoft.com/office/drawing/2014/main" xmlns="" id="{00000000-0008-0000-0200-0000A2000000}"/>
            </a:ext>
          </a:extLst>
        </xdr:cNvPr>
        <xdr:cNvPicPr>
          <a:picLocks noChangeAspect="1"/>
        </xdr:cNvPicPr>
      </xdr:nvPicPr>
      <xdr:blipFill>
        <a:blip xmlns:r="http://schemas.openxmlformats.org/officeDocument/2006/relationships" r:embed="rId16" cstate="print"/>
        <a:stretch>
          <a:fillRect/>
        </a:stretch>
      </xdr:blipFill>
      <xdr:spPr>
        <a:xfrm>
          <a:off x="1085850" y="31337250"/>
          <a:ext cx="1368000" cy="1368000"/>
        </a:xfrm>
        <a:prstGeom prst="rect">
          <a:avLst/>
        </a:prstGeom>
      </xdr:spPr>
    </xdr:pic>
    <xdr:clientData/>
  </xdr:twoCellAnchor>
  <xdr:twoCellAnchor editAs="oneCell">
    <xdr:from>
      <xdr:col>1</xdr:col>
      <xdr:colOff>0</xdr:colOff>
      <xdr:row>109</xdr:row>
      <xdr:rowOff>0</xdr:rowOff>
    </xdr:from>
    <xdr:to>
      <xdr:col>2</xdr:col>
      <xdr:colOff>710775</xdr:colOff>
      <xdr:row>109</xdr:row>
      <xdr:rowOff>1368000</xdr:rowOff>
    </xdr:to>
    <xdr:pic>
      <xdr:nvPicPr>
        <xdr:cNvPr id="163" name="Image 162" descr="track_bremgarten_sw.gif">
          <a:extLst>
            <a:ext uri="{FF2B5EF4-FFF2-40B4-BE49-F238E27FC236}">
              <a16:creationId xmlns:a16="http://schemas.microsoft.com/office/drawing/2014/main" xmlns="" id="{00000000-0008-0000-0200-0000A3000000}"/>
            </a:ext>
          </a:extLst>
        </xdr:cNvPr>
        <xdr:cNvPicPr>
          <a:picLocks noChangeAspect="1"/>
        </xdr:cNvPicPr>
      </xdr:nvPicPr>
      <xdr:blipFill>
        <a:blip xmlns:r="http://schemas.openxmlformats.org/officeDocument/2006/relationships" r:embed="rId17" cstate="print"/>
        <a:stretch>
          <a:fillRect/>
        </a:stretch>
      </xdr:blipFill>
      <xdr:spPr>
        <a:xfrm>
          <a:off x="1085850" y="32718375"/>
          <a:ext cx="1368000" cy="1368000"/>
        </a:xfrm>
        <a:prstGeom prst="rect">
          <a:avLst/>
        </a:prstGeom>
      </xdr:spPr>
    </xdr:pic>
    <xdr:clientData/>
  </xdr:twoCellAnchor>
  <xdr:twoCellAnchor editAs="oneCell">
    <xdr:from>
      <xdr:col>1</xdr:col>
      <xdr:colOff>0</xdr:colOff>
      <xdr:row>110</xdr:row>
      <xdr:rowOff>0</xdr:rowOff>
    </xdr:from>
    <xdr:to>
      <xdr:col>2</xdr:col>
      <xdr:colOff>710775</xdr:colOff>
      <xdr:row>110</xdr:row>
      <xdr:rowOff>1368000</xdr:rowOff>
    </xdr:to>
    <xdr:pic>
      <xdr:nvPicPr>
        <xdr:cNvPr id="164" name="Image 163" descr="track_brno_cz.gif">
          <a:extLst>
            <a:ext uri="{FF2B5EF4-FFF2-40B4-BE49-F238E27FC236}">
              <a16:creationId xmlns:a16="http://schemas.microsoft.com/office/drawing/2014/main" xmlns="" id="{00000000-0008-0000-0200-0000A4000000}"/>
            </a:ext>
          </a:extLst>
        </xdr:cNvPr>
        <xdr:cNvPicPr>
          <a:picLocks noChangeAspect="1"/>
        </xdr:cNvPicPr>
      </xdr:nvPicPr>
      <xdr:blipFill>
        <a:blip xmlns:r="http://schemas.openxmlformats.org/officeDocument/2006/relationships" r:embed="rId18" cstate="print"/>
        <a:stretch>
          <a:fillRect/>
        </a:stretch>
      </xdr:blipFill>
      <xdr:spPr>
        <a:xfrm>
          <a:off x="1085850" y="34099500"/>
          <a:ext cx="1368000" cy="1368000"/>
        </a:xfrm>
        <a:prstGeom prst="rect">
          <a:avLst/>
        </a:prstGeom>
      </xdr:spPr>
    </xdr:pic>
    <xdr:clientData/>
  </xdr:twoCellAnchor>
  <xdr:twoCellAnchor editAs="oneCell">
    <xdr:from>
      <xdr:col>1</xdr:col>
      <xdr:colOff>0</xdr:colOff>
      <xdr:row>111</xdr:row>
      <xdr:rowOff>0</xdr:rowOff>
    </xdr:from>
    <xdr:to>
      <xdr:col>2</xdr:col>
      <xdr:colOff>710775</xdr:colOff>
      <xdr:row>111</xdr:row>
      <xdr:rowOff>1368000</xdr:rowOff>
    </xdr:to>
    <xdr:pic>
      <xdr:nvPicPr>
        <xdr:cNvPr id="165" name="Image 164" descr="track_bucharestring_rom.gif">
          <a:extLst>
            <a:ext uri="{FF2B5EF4-FFF2-40B4-BE49-F238E27FC236}">
              <a16:creationId xmlns:a16="http://schemas.microsoft.com/office/drawing/2014/main" xmlns="" id="{00000000-0008-0000-0200-0000A5000000}"/>
            </a:ext>
          </a:extLst>
        </xdr:cNvPr>
        <xdr:cNvPicPr>
          <a:picLocks noChangeAspect="1"/>
        </xdr:cNvPicPr>
      </xdr:nvPicPr>
      <xdr:blipFill>
        <a:blip xmlns:r="http://schemas.openxmlformats.org/officeDocument/2006/relationships" r:embed="rId19" cstate="print"/>
        <a:stretch>
          <a:fillRect/>
        </a:stretch>
      </xdr:blipFill>
      <xdr:spPr>
        <a:xfrm>
          <a:off x="1085850" y="35480625"/>
          <a:ext cx="1368000" cy="1368000"/>
        </a:xfrm>
        <a:prstGeom prst="rect">
          <a:avLst/>
        </a:prstGeom>
      </xdr:spPr>
    </xdr:pic>
    <xdr:clientData/>
  </xdr:twoCellAnchor>
  <xdr:twoCellAnchor editAs="oneCell">
    <xdr:from>
      <xdr:col>1</xdr:col>
      <xdr:colOff>0</xdr:colOff>
      <xdr:row>112</xdr:row>
      <xdr:rowOff>0</xdr:rowOff>
    </xdr:from>
    <xdr:to>
      <xdr:col>2</xdr:col>
      <xdr:colOff>710775</xdr:colOff>
      <xdr:row>112</xdr:row>
      <xdr:rowOff>1368000</xdr:rowOff>
    </xdr:to>
    <xdr:pic>
      <xdr:nvPicPr>
        <xdr:cNvPr id="166" name="Image 165" descr="track_buenos_arg.gif">
          <a:extLst>
            <a:ext uri="{FF2B5EF4-FFF2-40B4-BE49-F238E27FC236}">
              <a16:creationId xmlns:a16="http://schemas.microsoft.com/office/drawing/2014/main" xmlns="" id="{00000000-0008-0000-0200-0000A6000000}"/>
            </a:ext>
          </a:extLst>
        </xdr:cNvPr>
        <xdr:cNvPicPr>
          <a:picLocks noChangeAspect="1"/>
        </xdr:cNvPicPr>
      </xdr:nvPicPr>
      <xdr:blipFill>
        <a:blip xmlns:r="http://schemas.openxmlformats.org/officeDocument/2006/relationships" r:embed="rId20" cstate="print"/>
        <a:stretch>
          <a:fillRect/>
        </a:stretch>
      </xdr:blipFill>
      <xdr:spPr>
        <a:xfrm>
          <a:off x="1085850" y="36861750"/>
          <a:ext cx="1368000" cy="1368000"/>
        </a:xfrm>
        <a:prstGeom prst="rect">
          <a:avLst/>
        </a:prstGeom>
      </xdr:spPr>
    </xdr:pic>
    <xdr:clientData/>
  </xdr:twoCellAnchor>
  <xdr:twoCellAnchor editAs="oneCell">
    <xdr:from>
      <xdr:col>1</xdr:col>
      <xdr:colOff>0</xdr:colOff>
      <xdr:row>113</xdr:row>
      <xdr:rowOff>0</xdr:rowOff>
    </xdr:from>
    <xdr:to>
      <xdr:col>2</xdr:col>
      <xdr:colOff>710775</xdr:colOff>
      <xdr:row>113</xdr:row>
      <xdr:rowOff>1368000</xdr:rowOff>
    </xdr:to>
    <xdr:pic>
      <xdr:nvPicPr>
        <xdr:cNvPr id="167" name="Image 166" descr="track_estoril_prt.gif">
          <a:extLst>
            <a:ext uri="{FF2B5EF4-FFF2-40B4-BE49-F238E27FC236}">
              <a16:creationId xmlns:a16="http://schemas.microsoft.com/office/drawing/2014/main" xmlns="" id="{00000000-0008-0000-0200-0000A7000000}"/>
            </a:ext>
          </a:extLst>
        </xdr:cNvPr>
        <xdr:cNvPicPr>
          <a:picLocks noChangeAspect="1"/>
        </xdr:cNvPicPr>
      </xdr:nvPicPr>
      <xdr:blipFill>
        <a:blip xmlns:r="http://schemas.openxmlformats.org/officeDocument/2006/relationships" r:embed="rId21" cstate="print"/>
        <a:stretch>
          <a:fillRect/>
        </a:stretch>
      </xdr:blipFill>
      <xdr:spPr>
        <a:xfrm>
          <a:off x="1085850" y="38242875"/>
          <a:ext cx="1368000" cy="1368000"/>
        </a:xfrm>
        <a:prstGeom prst="rect">
          <a:avLst/>
        </a:prstGeom>
      </xdr:spPr>
    </xdr:pic>
    <xdr:clientData/>
  </xdr:twoCellAnchor>
  <xdr:twoCellAnchor editAs="oneCell">
    <xdr:from>
      <xdr:col>1</xdr:col>
      <xdr:colOff>0</xdr:colOff>
      <xdr:row>114</xdr:row>
      <xdr:rowOff>0</xdr:rowOff>
    </xdr:from>
    <xdr:to>
      <xdr:col>2</xdr:col>
      <xdr:colOff>710775</xdr:colOff>
      <xdr:row>114</xdr:row>
      <xdr:rowOff>1368000</xdr:rowOff>
    </xdr:to>
    <xdr:pic>
      <xdr:nvPicPr>
        <xdr:cNvPr id="168" name="Image 167" descr="track_fiorano_it.gif">
          <a:extLst>
            <a:ext uri="{FF2B5EF4-FFF2-40B4-BE49-F238E27FC236}">
              <a16:creationId xmlns:a16="http://schemas.microsoft.com/office/drawing/2014/main" xmlns="" id="{00000000-0008-0000-0200-0000A8000000}"/>
            </a:ext>
          </a:extLst>
        </xdr:cNvPr>
        <xdr:cNvPicPr>
          <a:picLocks noChangeAspect="1"/>
        </xdr:cNvPicPr>
      </xdr:nvPicPr>
      <xdr:blipFill>
        <a:blip xmlns:r="http://schemas.openxmlformats.org/officeDocument/2006/relationships" r:embed="rId22" cstate="print"/>
        <a:stretch>
          <a:fillRect/>
        </a:stretch>
      </xdr:blipFill>
      <xdr:spPr>
        <a:xfrm>
          <a:off x="1085850" y="39624000"/>
          <a:ext cx="1368000" cy="1368000"/>
        </a:xfrm>
        <a:prstGeom prst="rect">
          <a:avLst/>
        </a:prstGeom>
      </xdr:spPr>
    </xdr:pic>
    <xdr:clientData/>
  </xdr:twoCellAnchor>
  <xdr:twoCellAnchor editAs="oneCell">
    <xdr:from>
      <xdr:col>1</xdr:col>
      <xdr:colOff>0</xdr:colOff>
      <xdr:row>115</xdr:row>
      <xdr:rowOff>0</xdr:rowOff>
    </xdr:from>
    <xdr:to>
      <xdr:col>2</xdr:col>
      <xdr:colOff>710775</xdr:colOff>
      <xdr:row>115</xdr:row>
      <xdr:rowOff>1368000</xdr:rowOff>
    </xdr:to>
    <xdr:pic>
      <xdr:nvPicPr>
        <xdr:cNvPr id="169" name="Image 168" descr="track_fuji_jp.gif">
          <a:extLst>
            <a:ext uri="{FF2B5EF4-FFF2-40B4-BE49-F238E27FC236}">
              <a16:creationId xmlns:a16="http://schemas.microsoft.com/office/drawing/2014/main" xmlns="" id="{00000000-0008-0000-0200-0000A9000000}"/>
            </a:ext>
          </a:extLst>
        </xdr:cNvPr>
        <xdr:cNvPicPr>
          <a:picLocks noChangeAspect="1"/>
        </xdr:cNvPicPr>
      </xdr:nvPicPr>
      <xdr:blipFill>
        <a:blip xmlns:r="http://schemas.openxmlformats.org/officeDocument/2006/relationships" r:embed="rId23" cstate="print"/>
        <a:stretch>
          <a:fillRect/>
        </a:stretch>
      </xdr:blipFill>
      <xdr:spPr>
        <a:xfrm>
          <a:off x="1085850" y="41005125"/>
          <a:ext cx="1368000" cy="1368000"/>
        </a:xfrm>
        <a:prstGeom prst="rect">
          <a:avLst/>
        </a:prstGeom>
      </xdr:spPr>
    </xdr:pic>
    <xdr:clientData/>
  </xdr:twoCellAnchor>
  <xdr:twoCellAnchor editAs="oneCell">
    <xdr:from>
      <xdr:col>1</xdr:col>
      <xdr:colOff>0</xdr:colOff>
      <xdr:row>116</xdr:row>
      <xdr:rowOff>0</xdr:rowOff>
    </xdr:from>
    <xdr:to>
      <xdr:col>2</xdr:col>
      <xdr:colOff>710775</xdr:colOff>
      <xdr:row>116</xdr:row>
      <xdr:rowOff>1368000</xdr:rowOff>
    </xdr:to>
    <xdr:pic>
      <xdr:nvPicPr>
        <xdr:cNvPr id="170" name="Image 169" descr="track_grobnik_cr.gif">
          <a:extLst>
            <a:ext uri="{FF2B5EF4-FFF2-40B4-BE49-F238E27FC236}">
              <a16:creationId xmlns:a16="http://schemas.microsoft.com/office/drawing/2014/main" xmlns="" id="{00000000-0008-0000-0200-0000AA000000}"/>
            </a:ext>
          </a:extLst>
        </xdr:cNvPr>
        <xdr:cNvPicPr>
          <a:picLocks noChangeAspect="1"/>
        </xdr:cNvPicPr>
      </xdr:nvPicPr>
      <xdr:blipFill>
        <a:blip xmlns:r="http://schemas.openxmlformats.org/officeDocument/2006/relationships" r:embed="rId24" cstate="print"/>
        <a:stretch>
          <a:fillRect/>
        </a:stretch>
      </xdr:blipFill>
      <xdr:spPr>
        <a:xfrm>
          <a:off x="1085850" y="42386250"/>
          <a:ext cx="1368000" cy="1368000"/>
        </a:xfrm>
        <a:prstGeom prst="rect">
          <a:avLst/>
        </a:prstGeom>
      </xdr:spPr>
    </xdr:pic>
    <xdr:clientData/>
  </xdr:twoCellAnchor>
  <xdr:twoCellAnchor editAs="oneCell">
    <xdr:from>
      <xdr:col>1</xdr:col>
      <xdr:colOff>0</xdr:colOff>
      <xdr:row>117</xdr:row>
      <xdr:rowOff>0</xdr:rowOff>
    </xdr:from>
    <xdr:to>
      <xdr:col>2</xdr:col>
      <xdr:colOff>710775</xdr:colOff>
      <xdr:row>117</xdr:row>
      <xdr:rowOff>1368000</xdr:rowOff>
    </xdr:to>
    <xdr:pic>
      <xdr:nvPicPr>
        <xdr:cNvPr id="171" name="Image 170" descr="track_hockenheim_ge.gif">
          <a:extLst>
            <a:ext uri="{FF2B5EF4-FFF2-40B4-BE49-F238E27FC236}">
              <a16:creationId xmlns:a16="http://schemas.microsoft.com/office/drawing/2014/main" xmlns="" id="{00000000-0008-0000-0200-0000AB000000}"/>
            </a:ext>
          </a:extLst>
        </xdr:cNvPr>
        <xdr:cNvPicPr>
          <a:picLocks noChangeAspect="1"/>
        </xdr:cNvPicPr>
      </xdr:nvPicPr>
      <xdr:blipFill>
        <a:blip xmlns:r="http://schemas.openxmlformats.org/officeDocument/2006/relationships" r:embed="rId25" cstate="print"/>
        <a:stretch>
          <a:fillRect/>
        </a:stretch>
      </xdr:blipFill>
      <xdr:spPr>
        <a:xfrm>
          <a:off x="1085850" y="43767375"/>
          <a:ext cx="1368000" cy="1368000"/>
        </a:xfrm>
        <a:prstGeom prst="rect">
          <a:avLst/>
        </a:prstGeom>
      </xdr:spPr>
    </xdr:pic>
    <xdr:clientData/>
  </xdr:twoCellAnchor>
  <xdr:twoCellAnchor editAs="oneCell">
    <xdr:from>
      <xdr:col>1</xdr:col>
      <xdr:colOff>0</xdr:colOff>
      <xdr:row>118</xdr:row>
      <xdr:rowOff>0</xdr:rowOff>
    </xdr:from>
    <xdr:to>
      <xdr:col>2</xdr:col>
      <xdr:colOff>710775</xdr:colOff>
      <xdr:row>118</xdr:row>
      <xdr:rowOff>1368000</xdr:rowOff>
    </xdr:to>
    <xdr:pic>
      <xdr:nvPicPr>
        <xdr:cNvPr id="172" name="Image 171" descr="track_hungaroring_hun.gif">
          <a:extLst>
            <a:ext uri="{FF2B5EF4-FFF2-40B4-BE49-F238E27FC236}">
              <a16:creationId xmlns:a16="http://schemas.microsoft.com/office/drawing/2014/main" xmlns="" id="{00000000-0008-0000-0200-0000AC000000}"/>
            </a:ext>
          </a:extLst>
        </xdr:cNvPr>
        <xdr:cNvPicPr>
          <a:picLocks noChangeAspect="1"/>
        </xdr:cNvPicPr>
      </xdr:nvPicPr>
      <xdr:blipFill>
        <a:blip xmlns:r="http://schemas.openxmlformats.org/officeDocument/2006/relationships" r:embed="rId26" cstate="print"/>
        <a:stretch>
          <a:fillRect/>
        </a:stretch>
      </xdr:blipFill>
      <xdr:spPr>
        <a:xfrm>
          <a:off x="1085850" y="45148500"/>
          <a:ext cx="1368000" cy="1368000"/>
        </a:xfrm>
        <a:prstGeom prst="rect">
          <a:avLst/>
        </a:prstGeom>
      </xdr:spPr>
    </xdr:pic>
    <xdr:clientData/>
  </xdr:twoCellAnchor>
  <xdr:twoCellAnchor editAs="oneCell">
    <xdr:from>
      <xdr:col>1</xdr:col>
      <xdr:colOff>0</xdr:colOff>
      <xdr:row>119</xdr:row>
      <xdr:rowOff>0</xdr:rowOff>
    </xdr:from>
    <xdr:to>
      <xdr:col>2</xdr:col>
      <xdr:colOff>710775</xdr:colOff>
      <xdr:row>119</xdr:row>
      <xdr:rowOff>1368000</xdr:rowOff>
    </xdr:to>
    <xdr:pic>
      <xdr:nvPicPr>
        <xdr:cNvPr id="173" name="Image 172" descr="track_imola_sm.gif">
          <a:extLst>
            <a:ext uri="{FF2B5EF4-FFF2-40B4-BE49-F238E27FC236}">
              <a16:creationId xmlns:a16="http://schemas.microsoft.com/office/drawing/2014/main" xmlns="" id="{00000000-0008-0000-0200-0000AD000000}"/>
            </a:ext>
          </a:extLst>
        </xdr:cNvPr>
        <xdr:cNvPicPr>
          <a:picLocks noChangeAspect="1"/>
        </xdr:cNvPicPr>
      </xdr:nvPicPr>
      <xdr:blipFill>
        <a:blip xmlns:r="http://schemas.openxmlformats.org/officeDocument/2006/relationships" r:embed="rId27" cstate="print"/>
        <a:stretch>
          <a:fillRect/>
        </a:stretch>
      </xdr:blipFill>
      <xdr:spPr>
        <a:xfrm>
          <a:off x="1085850" y="46529625"/>
          <a:ext cx="1368000" cy="1368000"/>
        </a:xfrm>
        <a:prstGeom prst="rect">
          <a:avLst/>
        </a:prstGeom>
      </xdr:spPr>
    </xdr:pic>
    <xdr:clientData/>
  </xdr:twoCellAnchor>
  <xdr:twoCellAnchor editAs="oneCell">
    <xdr:from>
      <xdr:col>1</xdr:col>
      <xdr:colOff>0</xdr:colOff>
      <xdr:row>120</xdr:row>
      <xdr:rowOff>0</xdr:rowOff>
    </xdr:from>
    <xdr:to>
      <xdr:col>2</xdr:col>
      <xdr:colOff>710775</xdr:colOff>
      <xdr:row>120</xdr:row>
      <xdr:rowOff>1368000</xdr:rowOff>
    </xdr:to>
    <xdr:pic>
      <xdr:nvPicPr>
        <xdr:cNvPr id="174" name="Image 173" descr="track_indianapolis_usa.gif">
          <a:extLst>
            <a:ext uri="{FF2B5EF4-FFF2-40B4-BE49-F238E27FC236}">
              <a16:creationId xmlns:a16="http://schemas.microsoft.com/office/drawing/2014/main" xmlns="" id="{00000000-0008-0000-0200-0000AE000000}"/>
            </a:ext>
          </a:extLst>
        </xdr:cNvPr>
        <xdr:cNvPicPr>
          <a:picLocks noChangeAspect="1"/>
        </xdr:cNvPicPr>
      </xdr:nvPicPr>
      <xdr:blipFill>
        <a:blip xmlns:r="http://schemas.openxmlformats.org/officeDocument/2006/relationships" r:embed="rId28" cstate="print"/>
        <a:stretch>
          <a:fillRect/>
        </a:stretch>
      </xdr:blipFill>
      <xdr:spPr>
        <a:xfrm>
          <a:off x="1085850" y="47910750"/>
          <a:ext cx="1368000" cy="1368000"/>
        </a:xfrm>
        <a:prstGeom prst="rect">
          <a:avLst/>
        </a:prstGeom>
      </xdr:spPr>
    </xdr:pic>
    <xdr:clientData/>
  </xdr:twoCellAnchor>
  <xdr:twoCellAnchor editAs="oneCell">
    <xdr:from>
      <xdr:col>1</xdr:col>
      <xdr:colOff>0</xdr:colOff>
      <xdr:row>121</xdr:row>
      <xdr:rowOff>0</xdr:rowOff>
    </xdr:from>
    <xdr:to>
      <xdr:col>2</xdr:col>
      <xdr:colOff>710775</xdr:colOff>
      <xdr:row>121</xdr:row>
      <xdr:rowOff>1368000</xdr:rowOff>
    </xdr:to>
    <xdr:pic>
      <xdr:nvPicPr>
        <xdr:cNvPr id="175" name="Image 174" descr="track_indianapolisoval_usa.gif">
          <a:extLst>
            <a:ext uri="{FF2B5EF4-FFF2-40B4-BE49-F238E27FC236}">
              <a16:creationId xmlns:a16="http://schemas.microsoft.com/office/drawing/2014/main" xmlns="" id="{00000000-0008-0000-0200-0000AF000000}"/>
            </a:ext>
          </a:extLst>
        </xdr:cNvPr>
        <xdr:cNvPicPr>
          <a:picLocks noChangeAspect="1"/>
        </xdr:cNvPicPr>
      </xdr:nvPicPr>
      <xdr:blipFill>
        <a:blip xmlns:r="http://schemas.openxmlformats.org/officeDocument/2006/relationships" r:embed="rId29" cstate="print"/>
        <a:stretch>
          <a:fillRect/>
        </a:stretch>
      </xdr:blipFill>
      <xdr:spPr>
        <a:xfrm>
          <a:off x="1085850" y="49291875"/>
          <a:ext cx="1368000" cy="1368000"/>
        </a:xfrm>
        <a:prstGeom prst="rect">
          <a:avLst/>
        </a:prstGeom>
      </xdr:spPr>
    </xdr:pic>
    <xdr:clientData/>
  </xdr:twoCellAnchor>
  <xdr:twoCellAnchor editAs="oneCell">
    <xdr:from>
      <xdr:col>1</xdr:col>
      <xdr:colOff>0</xdr:colOff>
      <xdr:row>122</xdr:row>
      <xdr:rowOff>0</xdr:rowOff>
    </xdr:from>
    <xdr:to>
      <xdr:col>2</xdr:col>
      <xdr:colOff>710775</xdr:colOff>
      <xdr:row>122</xdr:row>
      <xdr:rowOff>1368000</xdr:rowOff>
    </xdr:to>
    <xdr:pic>
      <xdr:nvPicPr>
        <xdr:cNvPr id="176" name="Image 175" descr="track_interlagos_br.gif">
          <a:extLst>
            <a:ext uri="{FF2B5EF4-FFF2-40B4-BE49-F238E27FC236}">
              <a16:creationId xmlns:a16="http://schemas.microsoft.com/office/drawing/2014/main" xmlns="" id="{00000000-0008-0000-0200-0000B0000000}"/>
            </a:ext>
          </a:extLst>
        </xdr:cNvPr>
        <xdr:cNvPicPr>
          <a:picLocks noChangeAspect="1"/>
        </xdr:cNvPicPr>
      </xdr:nvPicPr>
      <xdr:blipFill>
        <a:blip xmlns:r="http://schemas.openxmlformats.org/officeDocument/2006/relationships" r:embed="rId30" cstate="print"/>
        <a:stretch>
          <a:fillRect/>
        </a:stretch>
      </xdr:blipFill>
      <xdr:spPr>
        <a:xfrm>
          <a:off x="1085850" y="50673000"/>
          <a:ext cx="1368000" cy="1368000"/>
        </a:xfrm>
        <a:prstGeom prst="rect">
          <a:avLst/>
        </a:prstGeom>
      </xdr:spPr>
    </xdr:pic>
    <xdr:clientData/>
  </xdr:twoCellAnchor>
  <xdr:twoCellAnchor editAs="oneCell">
    <xdr:from>
      <xdr:col>1</xdr:col>
      <xdr:colOff>0</xdr:colOff>
      <xdr:row>123</xdr:row>
      <xdr:rowOff>0</xdr:rowOff>
    </xdr:from>
    <xdr:to>
      <xdr:col>2</xdr:col>
      <xdr:colOff>710775</xdr:colOff>
      <xdr:row>123</xdr:row>
      <xdr:rowOff>1368000</xdr:rowOff>
    </xdr:to>
    <xdr:pic>
      <xdr:nvPicPr>
        <xdr:cNvPr id="177" name="Image 176" descr="track_irungattukottai_ind.gif">
          <a:extLst>
            <a:ext uri="{FF2B5EF4-FFF2-40B4-BE49-F238E27FC236}">
              <a16:creationId xmlns:a16="http://schemas.microsoft.com/office/drawing/2014/main" xmlns="" id="{00000000-0008-0000-0200-0000B1000000}"/>
            </a:ext>
          </a:extLst>
        </xdr:cNvPr>
        <xdr:cNvPicPr>
          <a:picLocks noChangeAspect="1"/>
        </xdr:cNvPicPr>
      </xdr:nvPicPr>
      <xdr:blipFill>
        <a:blip xmlns:r="http://schemas.openxmlformats.org/officeDocument/2006/relationships" r:embed="rId31" cstate="print"/>
        <a:stretch>
          <a:fillRect/>
        </a:stretch>
      </xdr:blipFill>
      <xdr:spPr>
        <a:xfrm>
          <a:off x="1085850" y="52054125"/>
          <a:ext cx="1368000" cy="1368000"/>
        </a:xfrm>
        <a:prstGeom prst="rect">
          <a:avLst/>
        </a:prstGeom>
      </xdr:spPr>
    </xdr:pic>
    <xdr:clientData/>
  </xdr:twoCellAnchor>
  <xdr:twoCellAnchor editAs="oneCell">
    <xdr:from>
      <xdr:col>1</xdr:col>
      <xdr:colOff>0</xdr:colOff>
      <xdr:row>124</xdr:row>
      <xdr:rowOff>0</xdr:rowOff>
    </xdr:from>
    <xdr:to>
      <xdr:col>2</xdr:col>
      <xdr:colOff>710775</xdr:colOff>
      <xdr:row>124</xdr:row>
      <xdr:rowOff>1368000</xdr:rowOff>
    </xdr:to>
    <xdr:pic>
      <xdr:nvPicPr>
        <xdr:cNvPr id="178" name="Image 177" descr="track_istanbul_tu.gif">
          <a:extLst>
            <a:ext uri="{FF2B5EF4-FFF2-40B4-BE49-F238E27FC236}">
              <a16:creationId xmlns:a16="http://schemas.microsoft.com/office/drawing/2014/main" xmlns="" id="{00000000-0008-0000-0200-0000B2000000}"/>
            </a:ext>
          </a:extLst>
        </xdr:cNvPr>
        <xdr:cNvPicPr>
          <a:picLocks noChangeAspect="1"/>
        </xdr:cNvPicPr>
      </xdr:nvPicPr>
      <xdr:blipFill>
        <a:blip xmlns:r="http://schemas.openxmlformats.org/officeDocument/2006/relationships" r:embed="rId32" cstate="print"/>
        <a:stretch>
          <a:fillRect/>
        </a:stretch>
      </xdr:blipFill>
      <xdr:spPr>
        <a:xfrm>
          <a:off x="1085850" y="53435250"/>
          <a:ext cx="1368000" cy="1368000"/>
        </a:xfrm>
        <a:prstGeom prst="rect">
          <a:avLst/>
        </a:prstGeom>
      </xdr:spPr>
    </xdr:pic>
    <xdr:clientData/>
  </xdr:twoCellAnchor>
  <xdr:twoCellAnchor editAs="oneCell">
    <xdr:from>
      <xdr:col>1</xdr:col>
      <xdr:colOff>0</xdr:colOff>
      <xdr:row>126</xdr:row>
      <xdr:rowOff>0</xdr:rowOff>
    </xdr:from>
    <xdr:to>
      <xdr:col>2</xdr:col>
      <xdr:colOff>710775</xdr:colOff>
      <xdr:row>126</xdr:row>
      <xdr:rowOff>1368000</xdr:rowOff>
    </xdr:to>
    <xdr:pic>
      <xdr:nvPicPr>
        <xdr:cNvPr id="179" name="Image 178" descr="track_jerez_sp.gif">
          <a:extLst>
            <a:ext uri="{FF2B5EF4-FFF2-40B4-BE49-F238E27FC236}">
              <a16:creationId xmlns:a16="http://schemas.microsoft.com/office/drawing/2014/main" xmlns="" id="{00000000-0008-0000-0200-0000B3000000}"/>
            </a:ext>
          </a:extLst>
        </xdr:cNvPr>
        <xdr:cNvPicPr>
          <a:picLocks noChangeAspect="1"/>
        </xdr:cNvPicPr>
      </xdr:nvPicPr>
      <xdr:blipFill>
        <a:blip xmlns:r="http://schemas.openxmlformats.org/officeDocument/2006/relationships" r:embed="rId33" cstate="print"/>
        <a:stretch>
          <a:fillRect/>
        </a:stretch>
      </xdr:blipFill>
      <xdr:spPr>
        <a:xfrm>
          <a:off x="1085850" y="54816375"/>
          <a:ext cx="1368000" cy="1368000"/>
        </a:xfrm>
        <a:prstGeom prst="rect">
          <a:avLst/>
        </a:prstGeom>
      </xdr:spPr>
    </xdr:pic>
    <xdr:clientData/>
  </xdr:twoCellAnchor>
  <xdr:twoCellAnchor editAs="oneCell">
    <xdr:from>
      <xdr:col>1</xdr:col>
      <xdr:colOff>0</xdr:colOff>
      <xdr:row>127</xdr:row>
      <xdr:rowOff>0</xdr:rowOff>
    </xdr:from>
    <xdr:to>
      <xdr:col>2</xdr:col>
      <xdr:colOff>710775</xdr:colOff>
      <xdr:row>127</xdr:row>
      <xdr:rowOff>1368000</xdr:rowOff>
    </xdr:to>
    <xdr:pic>
      <xdr:nvPicPr>
        <xdr:cNvPr id="180" name="Image 179" descr="track_jyllandsringen_dk.gif">
          <a:extLst>
            <a:ext uri="{FF2B5EF4-FFF2-40B4-BE49-F238E27FC236}">
              <a16:creationId xmlns:a16="http://schemas.microsoft.com/office/drawing/2014/main" xmlns="" id="{00000000-0008-0000-0200-0000B4000000}"/>
            </a:ext>
          </a:extLst>
        </xdr:cNvPr>
        <xdr:cNvPicPr>
          <a:picLocks noChangeAspect="1"/>
        </xdr:cNvPicPr>
      </xdr:nvPicPr>
      <xdr:blipFill>
        <a:blip xmlns:r="http://schemas.openxmlformats.org/officeDocument/2006/relationships" r:embed="rId34" cstate="print"/>
        <a:stretch>
          <a:fillRect/>
        </a:stretch>
      </xdr:blipFill>
      <xdr:spPr>
        <a:xfrm>
          <a:off x="1085850" y="56197500"/>
          <a:ext cx="1368000" cy="1368000"/>
        </a:xfrm>
        <a:prstGeom prst="rect">
          <a:avLst/>
        </a:prstGeom>
      </xdr:spPr>
    </xdr:pic>
    <xdr:clientData/>
  </xdr:twoCellAnchor>
  <xdr:twoCellAnchor editAs="oneCell">
    <xdr:from>
      <xdr:col>1</xdr:col>
      <xdr:colOff>0</xdr:colOff>
      <xdr:row>128</xdr:row>
      <xdr:rowOff>0</xdr:rowOff>
    </xdr:from>
    <xdr:to>
      <xdr:col>2</xdr:col>
      <xdr:colOff>710775</xdr:colOff>
      <xdr:row>128</xdr:row>
      <xdr:rowOff>1368000</xdr:rowOff>
    </xdr:to>
    <xdr:pic>
      <xdr:nvPicPr>
        <xdr:cNvPr id="181" name="Image 180" descr="track_kaunas_lit.gif">
          <a:extLst>
            <a:ext uri="{FF2B5EF4-FFF2-40B4-BE49-F238E27FC236}">
              <a16:creationId xmlns:a16="http://schemas.microsoft.com/office/drawing/2014/main" xmlns="" id="{00000000-0008-0000-0200-0000B5000000}"/>
            </a:ext>
          </a:extLst>
        </xdr:cNvPr>
        <xdr:cNvPicPr>
          <a:picLocks noChangeAspect="1"/>
        </xdr:cNvPicPr>
      </xdr:nvPicPr>
      <xdr:blipFill>
        <a:blip xmlns:r="http://schemas.openxmlformats.org/officeDocument/2006/relationships" r:embed="rId35" cstate="print"/>
        <a:stretch>
          <a:fillRect/>
        </a:stretch>
      </xdr:blipFill>
      <xdr:spPr>
        <a:xfrm>
          <a:off x="1085850" y="57578625"/>
          <a:ext cx="1368000" cy="1368000"/>
        </a:xfrm>
        <a:prstGeom prst="rect">
          <a:avLst/>
        </a:prstGeom>
      </xdr:spPr>
    </xdr:pic>
    <xdr:clientData/>
  </xdr:twoCellAnchor>
  <xdr:twoCellAnchor editAs="oneCell">
    <xdr:from>
      <xdr:col>1</xdr:col>
      <xdr:colOff>0</xdr:colOff>
      <xdr:row>129</xdr:row>
      <xdr:rowOff>0</xdr:rowOff>
    </xdr:from>
    <xdr:to>
      <xdr:col>2</xdr:col>
      <xdr:colOff>710775</xdr:colOff>
      <xdr:row>129</xdr:row>
      <xdr:rowOff>1368000</xdr:rowOff>
    </xdr:to>
    <xdr:pic>
      <xdr:nvPicPr>
        <xdr:cNvPr id="182" name="Image 181" descr="track_kyalami_sa.gif">
          <a:extLst>
            <a:ext uri="{FF2B5EF4-FFF2-40B4-BE49-F238E27FC236}">
              <a16:creationId xmlns:a16="http://schemas.microsoft.com/office/drawing/2014/main" xmlns="" id="{00000000-0008-0000-0200-0000B6000000}"/>
            </a:ext>
          </a:extLst>
        </xdr:cNvPr>
        <xdr:cNvPicPr>
          <a:picLocks noChangeAspect="1"/>
        </xdr:cNvPicPr>
      </xdr:nvPicPr>
      <xdr:blipFill>
        <a:blip xmlns:r="http://schemas.openxmlformats.org/officeDocument/2006/relationships" r:embed="rId36" cstate="print"/>
        <a:stretch>
          <a:fillRect/>
        </a:stretch>
      </xdr:blipFill>
      <xdr:spPr>
        <a:xfrm>
          <a:off x="1085850" y="58959750"/>
          <a:ext cx="1368000" cy="1368000"/>
        </a:xfrm>
        <a:prstGeom prst="rect">
          <a:avLst/>
        </a:prstGeom>
      </xdr:spPr>
    </xdr:pic>
    <xdr:clientData/>
  </xdr:twoCellAnchor>
  <xdr:twoCellAnchor editAs="oneCell">
    <xdr:from>
      <xdr:col>1</xdr:col>
      <xdr:colOff>0</xdr:colOff>
      <xdr:row>130</xdr:row>
      <xdr:rowOff>0</xdr:rowOff>
    </xdr:from>
    <xdr:to>
      <xdr:col>2</xdr:col>
      <xdr:colOff>710775</xdr:colOff>
      <xdr:row>130</xdr:row>
      <xdr:rowOff>1368000</xdr:rowOff>
    </xdr:to>
    <xdr:pic>
      <xdr:nvPicPr>
        <xdr:cNvPr id="183" name="Image 182" descr="track_lagunaseca_usa.gif">
          <a:extLst>
            <a:ext uri="{FF2B5EF4-FFF2-40B4-BE49-F238E27FC236}">
              <a16:creationId xmlns:a16="http://schemas.microsoft.com/office/drawing/2014/main" xmlns="" id="{00000000-0008-0000-0200-0000B7000000}"/>
            </a:ext>
          </a:extLst>
        </xdr:cNvPr>
        <xdr:cNvPicPr>
          <a:picLocks noChangeAspect="1"/>
        </xdr:cNvPicPr>
      </xdr:nvPicPr>
      <xdr:blipFill>
        <a:blip xmlns:r="http://schemas.openxmlformats.org/officeDocument/2006/relationships" r:embed="rId37" cstate="print"/>
        <a:stretch>
          <a:fillRect/>
        </a:stretch>
      </xdr:blipFill>
      <xdr:spPr>
        <a:xfrm>
          <a:off x="1085850" y="60340875"/>
          <a:ext cx="1368000" cy="1368000"/>
        </a:xfrm>
        <a:prstGeom prst="rect">
          <a:avLst/>
        </a:prstGeom>
      </xdr:spPr>
    </xdr:pic>
    <xdr:clientData/>
  </xdr:twoCellAnchor>
  <xdr:twoCellAnchor editAs="oneCell">
    <xdr:from>
      <xdr:col>1</xdr:col>
      <xdr:colOff>0</xdr:colOff>
      <xdr:row>131</xdr:row>
      <xdr:rowOff>0</xdr:rowOff>
    </xdr:from>
    <xdr:to>
      <xdr:col>2</xdr:col>
      <xdr:colOff>710775</xdr:colOff>
      <xdr:row>131</xdr:row>
      <xdr:rowOff>1368000</xdr:rowOff>
    </xdr:to>
    <xdr:pic>
      <xdr:nvPicPr>
        <xdr:cNvPr id="184" name="Image 183" descr="track_magnycourse_fr.gif">
          <a:extLst>
            <a:ext uri="{FF2B5EF4-FFF2-40B4-BE49-F238E27FC236}">
              <a16:creationId xmlns:a16="http://schemas.microsoft.com/office/drawing/2014/main" xmlns="" id="{00000000-0008-0000-0200-0000B8000000}"/>
            </a:ext>
          </a:extLst>
        </xdr:cNvPr>
        <xdr:cNvPicPr>
          <a:picLocks noChangeAspect="1"/>
        </xdr:cNvPicPr>
      </xdr:nvPicPr>
      <xdr:blipFill>
        <a:blip xmlns:r="http://schemas.openxmlformats.org/officeDocument/2006/relationships" r:embed="rId38" cstate="print"/>
        <a:stretch>
          <a:fillRect/>
        </a:stretch>
      </xdr:blipFill>
      <xdr:spPr>
        <a:xfrm>
          <a:off x="1085850" y="61722000"/>
          <a:ext cx="1368000" cy="1368000"/>
        </a:xfrm>
        <a:prstGeom prst="rect">
          <a:avLst/>
        </a:prstGeom>
      </xdr:spPr>
    </xdr:pic>
    <xdr:clientData/>
  </xdr:twoCellAnchor>
  <xdr:twoCellAnchor editAs="oneCell">
    <xdr:from>
      <xdr:col>1</xdr:col>
      <xdr:colOff>0</xdr:colOff>
      <xdr:row>132</xdr:row>
      <xdr:rowOff>0</xdr:rowOff>
    </xdr:from>
    <xdr:to>
      <xdr:col>2</xdr:col>
      <xdr:colOff>710775</xdr:colOff>
      <xdr:row>132</xdr:row>
      <xdr:rowOff>1368000</xdr:rowOff>
    </xdr:to>
    <xdr:pic>
      <xdr:nvPicPr>
        <xdr:cNvPr id="185" name="Image 184" descr="track_melbourne_aus.gif">
          <a:extLst>
            <a:ext uri="{FF2B5EF4-FFF2-40B4-BE49-F238E27FC236}">
              <a16:creationId xmlns:a16="http://schemas.microsoft.com/office/drawing/2014/main" xmlns="" id="{00000000-0008-0000-0200-0000B9000000}"/>
            </a:ext>
          </a:extLst>
        </xdr:cNvPr>
        <xdr:cNvPicPr>
          <a:picLocks noChangeAspect="1"/>
        </xdr:cNvPicPr>
      </xdr:nvPicPr>
      <xdr:blipFill>
        <a:blip xmlns:r="http://schemas.openxmlformats.org/officeDocument/2006/relationships" r:embed="rId39" cstate="print"/>
        <a:stretch>
          <a:fillRect/>
        </a:stretch>
      </xdr:blipFill>
      <xdr:spPr>
        <a:xfrm>
          <a:off x="1085850" y="63103125"/>
          <a:ext cx="1368000" cy="1368000"/>
        </a:xfrm>
        <a:prstGeom prst="rect">
          <a:avLst/>
        </a:prstGeom>
      </xdr:spPr>
    </xdr:pic>
    <xdr:clientData/>
  </xdr:twoCellAnchor>
  <xdr:twoCellAnchor editAs="oneCell">
    <xdr:from>
      <xdr:col>1</xdr:col>
      <xdr:colOff>0</xdr:colOff>
      <xdr:row>133</xdr:row>
      <xdr:rowOff>0</xdr:rowOff>
    </xdr:from>
    <xdr:to>
      <xdr:col>2</xdr:col>
      <xdr:colOff>710775</xdr:colOff>
      <xdr:row>133</xdr:row>
      <xdr:rowOff>1368000</xdr:rowOff>
    </xdr:to>
    <xdr:pic>
      <xdr:nvPicPr>
        <xdr:cNvPr id="186" name="Image 185" descr="track_mexicocity_mex.gif">
          <a:extLst>
            <a:ext uri="{FF2B5EF4-FFF2-40B4-BE49-F238E27FC236}">
              <a16:creationId xmlns:a16="http://schemas.microsoft.com/office/drawing/2014/main" xmlns="" id="{00000000-0008-0000-0200-0000BA000000}"/>
            </a:ext>
          </a:extLst>
        </xdr:cNvPr>
        <xdr:cNvPicPr>
          <a:picLocks noChangeAspect="1"/>
        </xdr:cNvPicPr>
      </xdr:nvPicPr>
      <xdr:blipFill>
        <a:blip xmlns:r="http://schemas.openxmlformats.org/officeDocument/2006/relationships" r:embed="rId40" cstate="print"/>
        <a:stretch>
          <a:fillRect/>
        </a:stretch>
      </xdr:blipFill>
      <xdr:spPr>
        <a:xfrm>
          <a:off x="1085850" y="64484250"/>
          <a:ext cx="1368000" cy="1368000"/>
        </a:xfrm>
        <a:prstGeom prst="rect">
          <a:avLst/>
        </a:prstGeom>
      </xdr:spPr>
    </xdr:pic>
    <xdr:clientData/>
  </xdr:twoCellAnchor>
  <xdr:twoCellAnchor editAs="oneCell">
    <xdr:from>
      <xdr:col>1</xdr:col>
      <xdr:colOff>0</xdr:colOff>
      <xdr:row>135</xdr:row>
      <xdr:rowOff>0</xdr:rowOff>
    </xdr:from>
    <xdr:to>
      <xdr:col>2</xdr:col>
      <xdr:colOff>710775</xdr:colOff>
      <xdr:row>135</xdr:row>
      <xdr:rowOff>1368000</xdr:rowOff>
    </xdr:to>
    <xdr:pic>
      <xdr:nvPicPr>
        <xdr:cNvPr id="187" name="Image 186" descr="track_monaco_mn.gif">
          <a:extLst>
            <a:ext uri="{FF2B5EF4-FFF2-40B4-BE49-F238E27FC236}">
              <a16:creationId xmlns:a16="http://schemas.microsoft.com/office/drawing/2014/main" xmlns="" id="{00000000-0008-0000-0200-0000BB000000}"/>
            </a:ext>
          </a:extLst>
        </xdr:cNvPr>
        <xdr:cNvPicPr>
          <a:picLocks noChangeAspect="1"/>
        </xdr:cNvPicPr>
      </xdr:nvPicPr>
      <xdr:blipFill>
        <a:blip xmlns:r="http://schemas.openxmlformats.org/officeDocument/2006/relationships" r:embed="rId41" cstate="print"/>
        <a:stretch>
          <a:fillRect/>
        </a:stretch>
      </xdr:blipFill>
      <xdr:spPr>
        <a:xfrm>
          <a:off x="1085850" y="65865375"/>
          <a:ext cx="1368000" cy="1368000"/>
        </a:xfrm>
        <a:prstGeom prst="rect">
          <a:avLst/>
        </a:prstGeom>
      </xdr:spPr>
    </xdr:pic>
    <xdr:clientData/>
  </xdr:twoCellAnchor>
  <xdr:twoCellAnchor editAs="oneCell">
    <xdr:from>
      <xdr:col>1</xdr:col>
      <xdr:colOff>0</xdr:colOff>
      <xdr:row>136</xdr:row>
      <xdr:rowOff>0</xdr:rowOff>
    </xdr:from>
    <xdr:to>
      <xdr:col>2</xdr:col>
      <xdr:colOff>710775</xdr:colOff>
      <xdr:row>136</xdr:row>
      <xdr:rowOff>1368000</xdr:rowOff>
    </xdr:to>
    <xdr:pic>
      <xdr:nvPicPr>
        <xdr:cNvPr id="188" name="Image 187" descr="track_montreal_can.gif">
          <a:extLst>
            <a:ext uri="{FF2B5EF4-FFF2-40B4-BE49-F238E27FC236}">
              <a16:creationId xmlns:a16="http://schemas.microsoft.com/office/drawing/2014/main" xmlns="" id="{00000000-0008-0000-0200-0000BC000000}"/>
            </a:ext>
          </a:extLst>
        </xdr:cNvPr>
        <xdr:cNvPicPr>
          <a:picLocks noChangeAspect="1"/>
        </xdr:cNvPicPr>
      </xdr:nvPicPr>
      <xdr:blipFill>
        <a:blip xmlns:r="http://schemas.openxmlformats.org/officeDocument/2006/relationships" r:embed="rId42" cstate="print"/>
        <a:stretch>
          <a:fillRect/>
        </a:stretch>
      </xdr:blipFill>
      <xdr:spPr>
        <a:xfrm>
          <a:off x="1085850" y="67246500"/>
          <a:ext cx="1368000" cy="1368000"/>
        </a:xfrm>
        <a:prstGeom prst="rect">
          <a:avLst/>
        </a:prstGeom>
      </xdr:spPr>
    </xdr:pic>
    <xdr:clientData/>
  </xdr:twoCellAnchor>
  <xdr:twoCellAnchor editAs="oneCell">
    <xdr:from>
      <xdr:col>1</xdr:col>
      <xdr:colOff>0</xdr:colOff>
      <xdr:row>137</xdr:row>
      <xdr:rowOff>0</xdr:rowOff>
    </xdr:from>
    <xdr:to>
      <xdr:col>2</xdr:col>
      <xdr:colOff>710775</xdr:colOff>
      <xdr:row>137</xdr:row>
      <xdr:rowOff>1368000</xdr:rowOff>
    </xdr:to>
    <xdr:pic>
      <xdr:nvPicPr>
        <xdr:cNvPr id="189" name="Image 188" descr="track_monza_it.gif">
          <a:extLst>
            <a:ext uri="{FF2B5EF4-FFF2-40B4-BE49-F238E27FC236}">
              <a16:creationId xmlns:a16="http://schemas.microsoft.com/office/drawing/2014/main" xmlns="" id="{00000000-0008-0000-0200-0000BD000000}"/>
            </a:ext>
          </a:extLst>
        </xdr:cNvPr>
        <xdr:cNvPicPr>
          <a:picLocks noChangeAspect="1"/>
        </xdr:cNvPicPr>
      </xdr:nvPicPr>
      <xdr:blipFill>
        <a:blip xmlns:r="http://schemas.openxmlformats.org/officeDocument/2006/relationships" r:embed="rId43" cstate="print"/>
        <a:stretch>
          <a:fillRect/>
        </a:stretch>
      </xdr:blipFill>
      <xdr:spPr>
        <a:xfrm>
          <a:off x="1085850" y="68627625"/>
          <a:ext cx="1368000" cy="1368000"/>
        </a:xfrm>
        <a:prstGeom prst="rect">
          <a:avLst/>
        </a:prstGeom>
      </xdr:spPr>
    </xdr:pic>
    <xdr:clientData/>
  </xdr:twoCellAnchor>
  <xdr:twoCellAnchor editAs="oneCell">
    <xdr:from>
      <xdr:col>1</xdr:col>
      <xdr:colOff>0</xdr:colOff>
      <xdr:row>138</xdr:row>
      <xdr:rowOff>0</xdr:rowOff>
    </xdr:from>
    <xdr:to>
      <xdr:col>2</xdr:col>
      <xdr:colOff>710775</xdr:colOff>
      <xdr:row>138</xdr:row>
      <xdr:rowOff>1368000</xdr:rowOff>
    </xdr:to>
    <xdr:pic>
      <xdr:nvPicPr>
        <xdr:cNvPr id="190" name="Image 189" descr="track_mugelo_it.gif">
          <a:extLst>
            <a:ext uri="{FF2B5EF4-FFF2-40B4-BE49-F238E27FC236}">
              <a16:creationId xmlns:a16="http://schemas.microsoft.com/office/drawing/2014/main" xmlns="" id="{00000000-0008-0000-0200-0000BE000000}"/>
            </a:ext>
          </a:extLst>
        </xdr:cNvPr>
        <xdr:cNvPicPr>
          <a:picLocks noChangeAspect="1"/>
        </xdr:cNvPicPr>
      </xdr:nvPicPr>
      <xdr:blipFill>
        <a:blip xmlns:r="http://schemas.openxmlformats.org/officeDocument/2006/relationships" r:embed="rId44" cstate="print"/>
        <a:stretch>
          <a:fillRect/>
        </a:stretch>
      </xdr:blipFill>
      <xdr:spPr>
        <a:xfrm>
          <a:off x="1085850" y="70008750"/>
          <a:ext cx="1368000" cy="1368000"/>
        </a:xfrm>
        <a:prstGeom prst="rect">
          <a:avLst/>
        </a:prstGeom>
      </xdr:spPr>
    </xdr:pic>
    <xdr:clientData/>
  </xdr:twoCellAnchor>
  <xdr:twoCellAnchor editAs="oneCell">
    <xdr:from>
      <xdr:col>1</xdr:col>
      <xdr:colOff>0</xdr:colOff>
      <xdr:row>139</xdr:row>
      <xdr:rowOff>0</xdr:rowOff>
    </xdr:from>
    <xdr:to>
      <xdr:col>2</xdr:col>
      <xdr:colOff>710775</xdr:colOff>
      <xdr:row>139</xdr:row>
      <xdr:rowOff>1368000</xdr:rowOff>
    </xdr:to>
    <xdr:pic>
      <xdr:nvPicPr>
        <xdr:cNvPr id="191" name="Image 190" descr="track_newdelhi_in.gif">
          <a:extLst>
            <a:ext uri="{FF2B5EF4-FFF2-40B4-BE49-F238E27FC236}">
              <a16:creationId xmlns:a16="http://schemas.microsoft.com/office/drawing/2014/main" xmlns="" id="{00000000-0008-0000-0200-0000BF000000}"/>
            </a:ext>
          </a:extLst>
        </xdr:cNvPr>
        <xdr:cNvPicPr>
          <a:picLocks noChangeAspect="1"/>
        </xdr:cNvPicPr>
      </xdr:nvPicPr>
      <xdr:blipFill>
        <a:blip xmlns:r="http://schemas.openxmlformats.org/officeDocument/2006/relationships" r:embed="rId45" cstate="print"/>
        <a:stretch>
          <a:fillRect/>
        </a:stretch>
      </xdr:blipFill>
      <xdr:spPr>
        <a:xfrm>
          <a:off x="1085850" y="71389875"/>
          <a:ext cx="1368000" cy="1368000"/>
        </a:xfrm>
        <a:prstGeom prst="rect">
          <a:avLst/>
        </a:prstGeom>
      </xdr:spPr>
    </xdr:pic>
    <xdr:clientData/>
  </xdr:twoCellAnchor>
  <xdr:twoCellAnchor editAs="oneCell">
    <xdr:from>
      <xdr:col>1</xdr:col>
      <xdr:colOff>0</xdr:colOff>
      <xdr:row>140</xdr:row>
      <xdr:rowOff>0</xdr:rowOff>
    </xdr:from>
    <xdr:to>
      <xdr:col>2</xdr:col>
      <xdr:colOff>710775</xdr:colOff>
      <xdr:row>140</xdr:row>
      <xdr:rowOff>1368000</xdr:rowOff>
    </xdr:to>
    <xdr:pic>
      <xdr:nvPicPr>
        <xdr:cNvPr id="192" name="Image 191" descr="track_nurnburgring_ge.gif">
          <a:extLst>
            <a:ext uri="{FF2B5EF4-FFF2-40B4-BE49-F238E27FC236}">
              <a16:creationId xmlns:a16="http://schemas.microsoft.com/office/drawing/2014/main" xmlns="" id="{00000000-0008-0000-0200-0000C0000000}"/>
            </a:ext>
          </a:extLst>
        </xdr:cNvPr>
        <xdr:cNvPicPr>
          <a:picLocks noChangeAspect="1"/>
        </xdr:cNvPicPr>
      </xdr:nvPicPr>
      <xdr:blipFill>
        <a:blip xmlns:r="http://schemas.openxmlformats.org/officeDocument/2006/relationships" r:embed="rId46" cstate="print"/>
        <a:stretch>
          <a:fillRect/>
        </a:stretch>
      </xdr:blipFill>
      <xdr:spPr>
        <a:xfrm>
          <a:off x="1085850" y="72771000"/>
          <a:ext cx="1368000" cy="1368000"/>
        </a:xfrm>
        <a:prstGeom prst="rect">
          <a:avLst/>
        </a:prstGeom>
      </xdr:spPr>
    </xdr:pic>
    <xdr:clientData/>
  </xdr:twoCellAnchor>
  <xdr:twoCellAnchor editAs="oneCell">
    <xdr:from>
      <xdr:col>1</xdr:col>
      <xdr:colOff>0</xdr:colOff>
      <xdr:row>141</xdr:row>
      <xdr:rowOff>0</xdr:rowOff>
    </xdr:from>
    <xdr:to>
      <xdr:col>2</xdr:col>
      <xdr:colOff>710775</xdr:colOff>
      <xdr:row>141</xdr:row>
      <xdr:rowOff>1368000</xdr:rowOff>
    </xdr:to>
    <xdr:pic>
      <xdr:nvPicPr>
        <xdr:cNvPr id="193" name="Image 192" descr="track_oesterreichring_au.gif">
          <a:extLst>
            <a:ext uri="{FF2B5EF4-FFF2-40B4-BE49-F238E27FC236}">
              <a16:creationId xmlns:a16="http://schemas.microsoft.com/office/drawing/2014/main" xmlns="" id="{00000000-0008-0000-0200-0000C1000000}"/>
            </a:ext>
          </a:extLst>
        </xdr:cNvPr>
        <xdr:cNvPicPr>
          <a:picLocks noChangeAspect="1"/>
        </xdr:cNvPicPr>
      </xdr:nvPicPr>
      <xdr:blipFill>
        <a:blip xmlns:r="http://schemas.openxmlformats.org/officeDocument/2006/relationships" r:embed="rId47" cstate="print"/>
        <a:stretch>
          <a:fillRect/>
        </a:stretch>
      </xdr:blipFill>
      <xdr:spPr>
        <a:xfrm>
          <a:off x="1085850" y="74152125"/>
          <a:ext cx="1368000" cy="1368000"/>
        </a:xfrm>
        <a:prstGeom prst="rect">
          <a:avLst/>
        </a:prstGeom>
      </xdr:spPr>
    </xdr:pic>
    <xdr:clientData/>
  </xdr:twoCellAnchor>
  <xdr:twoCellAnchor editAs="oneCell">
    <xdr:from>
      <xdr:col>1</xdr:col>
      <xdr:colOff>0</xdr:colOff>
      <xdr:row>142</xdr:row>
      <xdr:rowOff>0</xdr:rowOff>
    </xdr:from>
    <xdr:to>
      <xdr:col>2</xdr:col>
      <xdr:colOff>710775</xdr:colOff>
      <xdr:row>142</xdr:row>
      <xdr:rowOff>1368000</xdr:rowOff>
    </xdr:to>
    <xdr:pic>
      <xdr:nvPicPr>
        <xdr:cNvPr id="194" name="Image 193" descr="track_paulricard_fr.gif">
          <a:extLst>
            <a:ext uri="{FF2B5EF4-FFF2-40B4-BE49-F238E27FC236}">
              <a16:creationId xmlns:a16="http://schemas.microsoft.com/office/drawing/2014/main" xmlns="" id="{00000000-0008-0000-0200-0000C2000000}"/>
            </a:ext>
          </a:extLst>
        </xdr:cNvPr>
        <xdr:cNvPicPr>
          <a:picLocks noChangeAspect="1"/>
        </xdr:cNvPicPr>
      </xdr:nvPicPr>
      <xdr:blipFill>
        <a:blip xmlns:r="http://schemas.openxmlformats.org/officeDocument/2006/relationships" r:embed="rId48" cstate="print"/>
        <a:stretch>
          <a:fillRect/>
        </a:stretch>
      </xdr:blipFill>
      <xdr:spPr>
        <a:xfrm>
          <a:off x="1085850" y="75533250"/>
          <a:ext cx="1368000" cy="1368000"/>
        </a:xfrm>
        <a:prstGeom prst="rect">
          <a:avLst/>
        </a:prstGeom>
      </xdr:spPr>
    </xdr:pic>
    <xdr:clientData/>
  </xdr:twoCellAnchor>
  <xdr:twoCellAnchor editAs="oneCell">
    <xdr:from>
      <xdr:col>1</xdr:col>
      <xdr:colOff>0</xdr:colOff>
      <xdr:row>143</xdr:row>
      <xdr:rowOff>0</xdr:rowOff>
    </xdr:from>
    <xdr:to>
      <xdr:col>2</xdr:col>
      <xdr:colOff>710775</xdr:colOff>
      <xdr:row>143</xdr:row>
      <xdr:rowOff>1368000</xdr:rowOff>
    </xdr:to>
    <xdr:pic>
      <xdr:nvPicPr>
        <xdr:cNvPr id="195" name="Image 194" descr="track_portimao_por.gif">
          <a:extLst>
            <a:ext uri="{FF2B5EF4-FFF2-40B4-BE49-F238E27FC236}">
              <a16:creationId xmlns:a16="http://schemas.microsoft.com/office/drawing/2014/main" xmlns="" id="{00000000-0008-0000-0200-0000C3000000}"/>
            </a:ext>
          </a:extLst>
        </xdr:cNvPr>
        <xdr:cNvPicPr>
          <a:picLocks noChangeAspect="1"/>
        </xdr:cNvPicPr>
      </xdr:nvPicPr>
      <xdr:blipFill>
        <a:blip xmlns:r="http://schemas.openxmlformats.org/officeDocument/2006/relationships" r:embed="rId49" cstate="print"/>
        <a:stretch>
          <a:fillRect/>
        </a:stretch>
      </xdr:blipFill>
      <xdr:spPr>
        <a:xfrm>
          <a:off x="1085850" y="76914375"/>
          <a:ext cx="1368000" cy="1368000"/>
        </a:xfrm>
        <a:prstGeom prst="rect">
          <a:avLst/>
        </a:prstGeom>
      </xdr:spPr>
    </xdr:pic>
    <xdr:clientData/>
  </xdr:twoCellAnchor>
  <xdr:twoCellAnchor editAs="oneCell">
    <xdr:from>
      <xdr:col>1</xdr:col>
      <xdr:colOff>0</xdr:colOff>
      <xdr:row>144</xdr:row>
      <xdr:rowOff>0</xdr:rowOff>
    </xdr:from>
    <xdr:to>
      <xdr:col>2</xdr:col>
      <xdr:colOff>710775</xdr:colOff>
      <xdr:row>144</xdr:row>
      <xdr:rowOff>1368000</xdr:rowOff>
    </xdr:to>
    <xdr:pic>
      <xdr:nvPicPr>
        <xdr:cNvPr id="196" name="Image 195" descr="track_poznan_po.gif">
          <a:extLst>
            <a:ext uri="{FF2B5EF4-FFF2-40B4-BE49-F238E27FC236}">
              <a16:creationId xmlns:a16="http://schemas.microsoft.com/office/drawing/2014/main" xmlns="" id="{00000000-0008-0000-0200-0000C4000000}"/>
            </a:ext>
          </a:extLst>
        </xdr:cNvPr>
        <xdr:cNvPicPr>
          <a:picLocks noChangeAspect="1"/>
        </xdr:cNvPicPr>
      </xdr:nvPicPr>
      <xdr:blipFill>
        <a:blip xmlns:r="http://schemas.openxmlformats.org/officeDocument/2006/relationships" r:embed="rId50" cstate="print"/>
        <a:stretch>
          <a:fillRect/>
        </a:stretch>
      </xdr:blipFill>
      <xdr:spPr>
        <a:xfrm>
          <a:off x="1085850" y="78295500"/>
          <a:ext cx="1368000" cy="1368000"/>
        </a:xfrm>
        <a:prstGeom prst="rect">
          <a:avLst/>
        </a:prstGeom>
      </xdr:spPr>
    </xdr:pic>
    <xdr:clientData/>
  </xdr:twoCellAnchor>
  <xdr:twoCellAnchor editAs="oneCell">
    <xdr:from>
      <xdr:col>1</xdr:col>
      <xdr:colOff>0</xdr:colOff>
      <xdr:row>145</xdr:row>
      <xdr:rowOff>0</xdr:rowOff>
    </xdr:from>
    <xdr:to>
      <xdr:col>2</xdr:col>
      <xdr:colOff>710775</xdr:colOff>
      <xdr:row>145</xdr:row>
      <xdr:rowOff>1368000</xdr:rowOff>
    </xdr:to>
    <xdr:pic>
      <xdr:nvPicPr>
        <xdr:cNvPr id="197" name="Image 196" descr="track_rafaela_arg.gif">
          <a:extLst>
            <a:ext uri="{FF2B5EF4-FFF2-40B4-BE49-F238E27FC236}">
              <a16:creationId xmlns:a16="http://schemas.microsoft.com/office/drawing/2014/main" xmlns="" id="{00000000-0008-0000-0200-0000C5000000}"/>
            </a:ext>
          </a:extLst>
        </xdr:cNvPr>
        <xdr:cNvPicPr>
          <a:picLocks noChangeAspect="1"/>
        </xdr:cNvPicPr>
      </xdr:nvPicPr>
      <xdr:blipFill>
        <a:blip xmlns:r="http://schemas.openxmlformats.org/officeDocument/2006/relationships" r:embed="rId51" cstate="print"/>
        <a:stretch>
          <a:fillRect/>
        </a:stretch>
      </xdr:blipFill>
      <xdr:spPr>
        <a:xfrm>
          <a:off x="1085850" y="79676625"/>
          <a:ext cx="1368000" cy="1368000"/>
        </a:xfrm>
        <a:prstGeom prst="rect">
          <a:avLst/>
        </a:prstGeom>
      </xdr:spPr>
    </xdr:pic>
    <xdr:clientData/>
  </xdr:twoCellAnchor>
  <xdr:twoCellAnchor editAs="oneCell">
    <xdr:from>
      <xdr:col>1</xdr:col>
      <xdr:colOff>0</xdr:colOff>
      <xdr:row>146</xdr:row>
      <xdr:rowOff>0</xdr:rowOff>
    </xdr:from>
    <xdr:to>
      <xdr:col>2</xdr:col>
      <xdr:colOff>710775</xdr:colOff>
      <xdr:row>146</xdr:row>
      <xdr:rowOff>1368000</xdr:rowOff>
    </xdr:to>
    <xdr:pic>
      <xdr:nvPicPr>
        <xdr:cNvPr id="198" name="Image 197" descr="track_sakhir_bhr.gif">
          <a:extLst>
            <a:ext uri="{FF2B5EF4-FFF2-40B4-BE49-F238E27FC236}">
              <a16:creationId xmlns:a16="http://schemas.microsoft.com/office/drawing/2014/main" xmlns="" id="{00000000-0008-0000-0200-0000C6000000}"/>
            </a:ext>
          </a:extLst>
        </xdr:cNvPr>
        <xdr:cNvPicPr>
          <a:picLocks noChangeAspect="1"/>
        </xdr:cNvPicPr>
      </xdr:nvPicPr>
      <xdr:blipFill>
        <a:blip xmlns:r="http://schemas.openxmlformats.org/officeDocument/2006/relationships" r:embed="rId52" cstate="print"/>
        <a:stretch>
          <a:fillRect/>
        </a:stretch>
      </xdr:blipFill>
      <xdr:spPr>
        <a:xfrm>
          <a:off x="1085850" y="81057750"/>
          <a:ext cx="1368000" cy="1368000"/>
        </a:xfrm>
        <a:prstGeom prst="rect">
          <a:avLst/>
        </a:prstGeom>
      </xdr:spPr>
    </xdr:pic>
    <xdr:clientData/>
  </xdr:twoCellAnchor>
  <xdr:twoCellAnchor editAs="oneCell">
    <xdr:from>
      <xdr:col>1</xdr:col>
      <xdr:colOff>0</xdr:colOff>
      <xdr:row>147</xdr:row>
      <xdr:rowOff>0</xdr:rowOff>
    </xdr:from>
    <xdr:to>
      <xdr:col>2</xdr:col>
      <xdr:colOff>710775</xdr:colOff>
      <xdr:row>147</xdr:row>
      <xdr:rowOff>1368000</xdr:rowOff>
    </xdr:to>
    <xdr:pic>
      <xdr:nvPicPr>
        <xdr:cNvPr id="199" name="Image 198" descr="track_sepang_ml.gif">
          <a:extLst>
            <a:ext uri="{FF2B5EF4-FFF2-40B4-BE49-F238E27FC236}">
              <a16:creationId xmlns:a16="http://schemas.microsoft.com/office/drawing/2014/main" xmlns="" id="{00000000-0008-0000-0200-0000C7000000}"/>
            </a:ext>
          </a:extLst>
        </xdr:cNvPr>
        <xdr:cNvPicPr>
          <a:picLocks noChangeAspect="1"/>
        </xdr:cNvPicPr>
      </xdr:nvPicPr>
      <xdr:blipFill>
        <a:blip xmlns:r="http://schemas.openxmlformats.org/officeDocument/2006/relationships" r:embed="rId53" cstate="print"/>
        <a:stretch>
          <a:fillRect/>
        </a:stretch>
      </xdr:blipFill>
      <xdr:spPr>
        <a:xfrm>
          <a:off x="1085850" y="82438875"/>
          <a:ext cx="1368000" cy="1368000"/>
        </a:xfrm>
        <a:prstGeom prst="rect">
          <a:avLst/>
        </a:prstGeom>
      </xdr:spPr>
    </xdr:pic>
    <xdr:clientData/>
  </xdr:twoCellAnchor>
  <xdr:twoCellAnchor editAs="oneCell">
    <xdr:from>
      <xdr:col>1</xdr:col>
      <xdr:colOff>0</xdr:colOff>
      <xdr:row>148</xdr:row>
      <xdr:rowOff>0</xdr:rowOff>
    </xdr:from>
    <xdr:to>
      <xdr:col>2</xdr:col>
      <xdr:colOff>710775</xdr:colOff>
      <xdr:row>148</xdr:row>
      <xdr:rowOff>1368000</xdr:rowOff>
    </xdr:to>
    <xdr:pic>
      <xdr:nvPicPr>
        <xdr:cNvPr id="200" name="Image 199" descr="track_serres_gr.gif">
          <a:extLst>
            <a:ext uri="{FF2B5EF4-FFF2-40B4-BE49-F238E27FC236}">
              <a16:creationId xmlns:a16="http://schemas.microsoft.com/office/drawing/2014/main" xmlns="" id="{00000000-0008-0000-0200-0000C8000000}"/>
            </a:ext>
          </a:extLst>
        </xdr:cNvPr>
        <xdr:cNvPicPr>
          <a:picLocks noChangeAspect="1"/>
        </xdr:cNvPicPr>
      </xdr:nvPicPr>
      <xdr:blipFill>
        <a:blip xmlns:r="http://schemas.openxmlformats.org/officeDocument/2006/relationships" r:embed="rId54" cstate="print"/>
        <a:stretch>
          <a:fillRect/>
        </a:stretch>
      </xdr:blipFill>
      <xdr:spPr>
        <a:xfrm>
          <a:off x="1085850" y="83820000"/>
          <a:ext cx="1368000" cy="1368000"/>
        </a:xfrm>
        <a:prstGeom prst="rect">
          <a:avLst/>
        </a:prstGeom>
      </xdr:spPr>
    </xdr:pic>
    <xdr:clientData/>
  </xdr:twoCellAnchor>
  <xdr:twoCellAnchor editAs="oneCell">
    <xdr:from>
      <xdr:col>1</xdr:col>
      <xdr:colOff>0</xdr:colOff>
      <xdr:row>149</xdr:row>
      <xdr:rowOff>0</xdr:rowOff>
    </xdr:from>
    <xdr:to>
      <xdr:col>2</xdr:col>
      <xdr:colOff>710775</xdr:colOff>
      <xdr:row>149</xdr:row>
      <xdr:rowOff>1368000</xdr:rowOff>
    </xdr:to>
    <xdr:pic>
      <xdr:nvPicPr>
        <xdr:cNvPr id="201" name="Image 200" descr="track_shanghai_chi.gif">
          <a:extLst>
            <a:ext uri="{FF2B5EF4-FFF2-40B4-BE49-F238E27FC236}">
              <a16:creationId xmlns:a16="http://schemas.microsoft.com/office/drawing/2014/main" xmlns="" id="{00000000-0008-0000-0200-0000C9000000}"/>
            </a:ext>
          </a:extLst>
        </xdr:cNvPr>
        <xdr:cNvPicPr>
          <a:picLocks noChangeAspect="1"/>
        </xdr:cNvPicPr>
      </xdr:nvPicPr>
      <xdr:blipFill>
        <a:blip xmlns:r="http://schemas.openxmlformats.org/officeDocument/2006/relationships" r:embed="rId55" cstate="print"/>
        <a:stretch>
          <a:fillRect/>
        </a:stretch>
      </xdr:blipFill>
      <xdr:spPr>
        <a:xfrm>
          <a:off x="1085850" y="85201125"/>
          <a:ext cx="1368000" cy="1368000"/>
        </a:xfrm>
        <a:prstGeom prst="rect">
          <a:avLst/>
        </a:prstGeom>
      </xdr:spPr>
    </xdr:pic>
    <xdr:clientData/>
  </xdr:twoCellAnchor>
  <xdr:twoCellAnchor editAs="oneCell">
    <xdr:from>
      <xdr:col>1</xdr:col>
      <xdr:colOff>0</xdr:colOff>
      <xdr:row>150</xdr:row>
      <xdr:rowOff>0</xdr:rowOff>
    </xdr:from>
    <xdr:to>
      <xdr:col>2</xdr:col>
      <xdr:colOff>710775</xdr:colOff>
      <xdr:row>150</xdr:row>
      <xdr:rowOff>1368000</xdr:rowOff>
    </xdr:to>
    <xdr:pic>
      <xdr:nvPicPr>
        <xdr:cNvPr id="202" name="Image 201" descr="track_silverstone_uk.gif">
          <a:extLst>
            <a:ext uri="{FF2B5EF4-FFF2-40B4-BE49-F238E27FC236}">
              <a16:creationId xmlns:a16="http://schemas.microsoft.com/office/drawing/2014/main" xmlns="" id="{00000000-0008-0000-0200-0000CA000000}"/>
            </a:ext>
          </a:extLst>
        </xdr:cNvPr>
        <xdr:cNvPicPr>
          <a:picLocks noChangeAspect="1"/>
        </xdr:cNvPicPr>
      </xdr:nvPicPr>
      <xdr:blipFill>
        <a:blip xmlns:r="http://schemas.openxmlformats.org/officeDocument/2006/relationships" r:embed="rId56" cstate="print"/>
        <a:stretch>
          <a:fillRect/>
        </a:stretch>
      </xdr:blipFill>
      <xdr:spPr>
        <a:xfrm>
          <a:off x="1085850" y="86582250"/>
          <a:ext cx="1368000" cy="1368000"/>
        </a:xfrm>
        <a:prstGeom prst="rect">
          <a:avLst/>
        </a:prstGeom>
      </xdr:spPr>
    </xdr:pic>
    <xdr:clientData/>
  </xdr:twoCellAnchor>
  <xdr:twoCellAnchor editAs="oneCell">
    <xdr:from>
      <xdr:col>1</xdr:col>
      <xdr:colOff>0</xdr:colOff>
      <xdr:row>151</xdr:row>
      <xdr:rowOff>0</xdr:rowOff>
    </xdr:from>
    <xdr:to>
      <xdr:col>2</xdr:col>
      <xdr:colOff>710775</xdr:colOff>
      <xdr:row>151</xdr:row>
      <xdr:rowOff>1368000</xdr:rowOff>
    </xdr:to>
    <xdr:pic>
      <xdr:nvPicPr>
        <xdr:cNvPr id="203" name="Image 202" descr="track_singapore_sgp.gif">
          <a:extLst>
            <a:ext uri="{FF2B5EF4-FFF2-40B4-BE49-F238E27FC236}">
              <a16:creationId xmlns:a16="http://schemas.microsoft.com/office/drawing/2014/main" xmlns="" id="{00000000-0008-0000-0200-0000CB000000}"/>
            </a:ext>
          </a:extLst>
        </xdr:cNvPr>
        <xdr:cNvPicPr>
          <a:picLocks noChangeAspect="1"/>
        </xdr:cNvPicPr>
      </xdr:nvPicPr>
      <xdr:blipFill>
        <a:blip xmlns:r="http://schemas.openxmlformats.org/officeDocument/2006/relationships" r:embed="rId57" cstate="print"/>
        <a:stretch>
          <a:fillRect/>
        </a:stretch>
      </xdr:blipFill>
      <xdr:spPr>
        <a:xfrm>
          <a:off x="1085850" y="87963375"/>
          <a:ext cx="1368000" cy="1368000"/>
        </a:xfrm>
        <a:prstGeom prst="rect">
          <a:avLst/>
        </a:prstGeom>
      </xdr:spPr>
    </xdr:pic>
    <xdr:clientData/>
  </xdr:twoCellAnchor>
  <xdr:twoCellAnchor editAs="oneCell">
    <xdr:from>
      <xdr:col>1</xdr:col>
      <xdr:colOff>0</xdr:colOff>
      <xdr:row>152</xdr:row>
      <xdr:rowOff>0</xdr:rowOff>
    </xdr:from>
    <xdr:to>
      <xdr:col>2</xdr:col>
      <xdr:colOff>710775</xdr:colOff>
      <xdr:row>152</xdr:row>
      <xdr:rowOff>1368000</xdr:rowOff>
    </xdr:to>
    <xdr:pic>
      <xdr:nvPicPr>
        <xdr:cNvPr id="204" name="Image 203" descr="track_slovakiaring_slo.gif">
          <a:extLst>
            <a:ext uri="{FF2B5EF4-FFF2-40B4-BE49-F238E27FC236}">
              <a16:creationId xmlns:a16="http://schemas.microsoft.com/office/drawing/2014/main" xmlns="" id="{00000000-0008-0000-0200-0000CC000000}"/>
            </a:ext>
          </a:extLst>
        </xdr:cNvPr>
        <xdr:cNvPicPr>
          <a:picLocks noChangeAspect="1"/>
        </xdr:cNvPicPr>
      </xdr:nvPicPr>
      <xdr:blipFill>
        <a:blip xmlns:r="http://schemas.openxmlformats.org/officeDocument/2006/relationships" r:embed="rId58" cstate="print"/>
        <a:stretch>
          <a:fillRect/>
        </a:stretch>
      </xdr:blipFill>
      <xdr:spPr>
        <a:xfrm>
          <a:off x="1085850" y="89344500"/>
          <a:ext cx="1368000" cy="1368000"/>
        </a:xfrm>
        <a:prstGeom prst="rect">
          <a:avLst/>
        </a:prstGeom>
      </xdr:spPr>
    </xdr:pic>
    <xdr:clientData/>
  </xdr:twoCellAnchor>
  <xdr:twoCellAnchor editAs="oneCell">
    <xdr:from>
      <xdr:col>1</xdr:col>
      <xdr:colOff>0</xdr:colOff>
      <xdr:row>153</xdr:row>
      <xdr:rowOff>0</xdr:rowOff>
    </xdr:from>
    <xdr:to>
      <xdr:col>2</xdr:col>
      <xdr:colOff>710775</xdr:colOff>
      <xdr:row>153</xdr:row>
      <xdr:rowOff>1368000</xdr:rowOff>
    </xdr:to>
    <xdr:pic>
      <xdr:nvPicPr>
        <xdr:cNvPr id="206" name="Image 205" descr="track_sochi_rus.gif">
          <a:extLst>
            <a:ext uri="{FF2B5EF4-FFF2-40B4-BE49-F238E27FC236}">
              <a16:creationId xmlns:a16="http://schemas.microsoft.com/office/drawing/2014/main" xmlns="" id="{00000000-0008-0000-0200-0000CE000000}"/>
            </a:ext>
          </a:extLst>
        </xdr:cNvPr>
        <xdr:cNvPicPr>
          <a:picLocks noChangeAspect="1"/>
        </xdr:cNvPicPr>
      </xdr:nvPicPr>
      <xdr:blipFill>
        <a:blip xmlns:r="http://schemas.openxmlformats.org/officeDocument/2006/relationships" r:embed="rId59" cstate="print"/>
        <a:stretch>
          <a:fillRect/>
        </a:stretch>
      </xdr:blipFill>
      <xdr:spPr>
        <a:xfrm>
          <a:off x="1085850" y="90725625"/>
          <a:ext cx="1368000" cy="1368000"/>
        </a:xfrm>
        <a:prstGeom prst="rect">
          <a:avLst/>
        </a:prstGeom>
      </xdr:spPr>
    </xdr:pic>
    <xdr:clientData/>
  </xdr:twoCellAnchor>
  <xdr:twoCellAnchor editAs="oneCell">
    <xdr:from>
      <xdr:col>1</xdr:col>
      <xdr:colOff>0</xdr:colOff>
      <xdr:row>154</xdr:row>
      <xdr:rowOff>0</xdr:rowOff>
    </xdr:from>
    <xdr:to>
      <xdr:col>2</xdr:col>
      <xdr:colOff>710775</xdr:colOff>
      <xdr:row>154</xdr:row>
      <xdr:rowOff>1368000</xdr:rowOff>
    </xdr:to>
    <xdr:pic>
      <xdr:nvPicPr>
        <xdr:cNvPr id="207" name="Image 206" descr="track_spa_be.gif">
          <a:extLst>
            <a:ext uri="{FF2B5EF4-FFF2-40B4-BE49-F238E27FC236}">
              <a16:creationId xmlns:a16="http://schemas.microsoft.com/office/drawing/2014/main" xmlns="" id="{00000000-0008-0000-0200-0000CF000000}"/>
            </a:ext>
          </a:extLst>
        </xdr:cNvPr>
        <xdr:cNvPicPr>
          <a:picLocks noChangeAspect="1"/>
        </xdr:cNvPicPr>
      </xdr:nvPicPr>
      <xdr:blipFill>
        <a:blip xmlns:r="http://schemas.openxmlformats.org/officeDocument/2006/relationships" r:embed="rId60" cstate="print"/>
        <a:stretch>
          <a:fillRect/>
        </a:stretch>
      </xdr:blipFill>
      <xdr:spPr>
        <a:xfrm>
          <a:off x="1085850" y="92106750"/>
          <a:ext cx="1368000" cy="1368000"/>
        </a:xfrm>
        <a:prstGeom prst="rect">
          <a:avLst/>
        </a:prstGeom>
      </xdr:spPr>
    </xdr:pic>
    <xdr:clientData/>
  </xdr:twoCellAnchor>
  <xdr:twoCellAnchor editAs="oneCell">
    <xdr:from>
      <xdr:col>1</xdr:col>
      <xdr:colOff>0</xdr:colOff>
      <xdr:row>155</xdr:row>
      <xdr:rowOff>0</xdr:rowOff>
    </xdr:from>
    <xdr:to>
      <xdr:col>2</xdr:col>
      <xdr:colOff>710775</xdr:colOff>
      <xdr:row>155</xdr:row>
      <xdr:rowOff>1368000</xdr:rowOff>
    </xdr:to>
    <xdr:pic>
      <xdr:nvPicPr>
        <xdr:cNvPr id="209" name="Image 208" descr="track_suzuka_jp.gif">
          <a:extLst>
            <a:ext uri="{FF2B5EF4-FFF2-40B4-BE49-F238E27FC236}">
              <a16:creationId xmlns:a16="http://schemas.microsoft.com/office/drawing/2014/main" xmlns="" id="{00000000-0008-0000-0200-0000D1000000}"/>
            </a:ext>
          </a:extLst>
        </xdr:cNvPr>
        <xdr:cNvPicPr>
          <a:picLocks noChangeAspect="1"/>
        </xdr:cNvPicPr>
      </xdr:nvPicPr>
      <xdr:blipFill>
        <a:blip xmlns:r="http://schemas.openxmlformats.org/officeDocument/2006/relationships" r:embed="rId61" cstate="print"/>
        <a:stretch>
          <a:fillRect/>
        </a:stretch>
      </xdr:blipFill>
      <xdr:spPr>
        <a:xfrm>
          <a:off x="1085850" y="93487875"/>
          <a:ext cx="1368000" cy="1368000"/>
        </a:xfrm>
        <a:prstGeom prst="rect">
          <a:avLst/>
        </a:prstGeom>
      </xdr:spPr>
    </xdr:pic>
    <xdr:clientData/>
  </xdr:twoCellAnchor>
  <xdr:twoCellAnchor editAs="oneCell">
    <xdr:from>
      <xdr:col>1</xdr:col>
      <xdr:colOff>0</xdr:colOff>
      <xdr:row>156</xdr:row>
      <xdr:rowOff>0</xdr:rowOff>
    </xdr:from>
    <xdr:to>
      <xdr:col>2</xdr:col>
      <xdr:colOff>710775</xdr:colOff>
      <xdr:row>156</xdr:row>
      <xdr:rowOff>1368000</xdr:rowOff>
    </xdr:to>
    <xdr:pic>
      <xdr:nvPicPr>
        <xdr:cNvPr id="210" name="Image 209" descr="track_valencia_sp.gif">
          <a:extLst>
            <a:ext uri="{FF2B5EF4-FFF2-40B4-BE49-F238E27FC236}">
              <a16:creationId xmlns:a16="http://schemas.microsoft.com/office/drawing/2014/main" xmlns="" id="{00000000-0008-0000-0200-0000D2000000}"/>
            </a:ext>
          </a:extLst>
        </xdr:cNvPr>
        <xdr:cNvPicPr>
          <a:picLocks noChangeAspect="1"/>
        </xdr:cNvPicPr>
      </xdr:nvPicPr>
      <xdr:blipFill>
        <a:blip xmlns:r="http://schemas.openxmlformats.org/officeDocument/2006/relationships" r:embed="rId62" cstate="print"/>
        <a:stretch>
          <a:fillRect/>
        </a:stretch>
      </xdr:blipFill>
      <xdr:spPr>
        <a:xfrm>
          <a:off x="1085850" y="94869000"/>
          <a:ext cx="1368000" cy="1368000"/>
        </a:xfrm>
        <a:prstGeom prst="rect">
          <a:avLst/>
        </a:prstGeom>
      </xdr:spPr>
    </xdr:pic>
    <xdr:clientData/>
  </xdr:twoCellAnchor>
  <xdr:twoCellAnchor editAs="oneCell">
    <xdr:from>
      <xdr:col>1</xdr:col>
      <xdr:colOff>0</xdr:colOff>
      <xdr:row>157</xdr:row>
      <xdr:rowOff>0</xdr:rowOff>
    </xdr:from>
    <xdr:to>
      <xdr:col>2</xdr:col>
      <xdr:colOff>710775</xdr:colOff>
      <xdr:row>157</xdr:row>
      <xdr:rowOff>1368000</xdr:rowOff>
    </xdr:to>
    <xdr:pic>
      <xdr:nvPicPr>
        <xdr:cNvPr id="211" name="Image 210" descr="track_yasmarina_are.gif">
          <a:extLst>
            <a:ext uri="{FF2B5EF4-FFF2-40B4-BE49-F238E27FC236}">
              <a16:creationId xmlns:a16="http://schemas.microsoft.com/office/drawing/2014/main" xmlns="" id="{00000000-0008-0000-0200-0000D3000000}"/>
            </a:ext>
          </a:extLst>
        </xdr:cNvPr>
        <xdr:cNvPicPr>
          <a:picLocks noChangeAspect="1"/>
        </xdr:cNvPicPr>
      </xdr:nvPicPr>
      <xdr:blipFill>
        <a:blip xmlns:r="http://schemas.openxmlformats.org/officeDocument/2006/relationships" r:embed="rId63" cstate="print"/>
        <a:stretch>
          <a:fillRect/>
        </a:stretch>
      </xdr:blipFill>
      <xdr:spPr>
        <a:xfrm>
          <a:off x="1085850" y="96250125"/>
          <a:ext cx="1368000" cy="1368000"/>
        </a:xfrm>
        <a:prstGeom prst="rect">
          <a:avLst/>
        </a:prstGeom>
      </xdr:spPr>
    </xdr:pic>
    <xdr:clientData/>
  </xdr:twoCellAnchor>
  <xdr:twoCellAnchor editAs="oneCell">
    <xdr:from>
      <xdr:col>1</xdr:col>
      <xdr:colOff>0</xdr:colOff>
      <xdr:row>158</xdr:row>
      <xdr:rowOff>0</xdr:rowOff>
    </xdr:from>
    <xdr:to>
      <xdr:col>2</xdr:col>
      <xdr:colOff>710775</xdr:colOff>
      <xdr:row>158</xdr:row>
      <xdr:rowOff>1368000</xdr:rowOff>
    </xdr:to>
    <xdr:pic>
      <xdr:nvPicPr>
        <xdr:cNvPr id="212" name="Image 211" descr="track_yeongam_kr.gif">
          <a:extLst>
            <a:ext uri="{FF2B5EF4-FFF2-40B4-BE49-F238E27FC236}">
              <a16:creationId xmlns:a16="http://schemas.microsoft.com/office/drawing/2014/main" xmlns="" id="{00000000-0008-0000-0200-0000D4000000}"/>
            </a:ext>
          </a:extLst>
        </xdr:cNvPr>
        <xdr:cNvPicPr>
          <a:picLocks noChangeAspect="1"/>
        </xdr:cNvPicPr>
      </xdr:nvPicPr>
      <xdr:blipFill>
        <a:blip xmlns:r="http://schemas.openxmlformats.org/officeDocument/2006/relationships" r:embed="rId64" cstate="print"/>
        <a:stretch>
          <a:fillRect/>
        </a:stretch>
      </xdr:blipFill>
      <xdr:spPr>
        <a:xfrm>
          <a:off x="1085850" y="97631250"/>
          <a:ext cx="1368000" cy="1368000"/>
        </a:xfrm>
        <a:prstGeom prst="rect">
          <a:avLst/>
        </a:prstGeom>
      </xdr:spPr>
    </xdr:pic>
    <xdr:clientData/>
  </xdr:twoCellAnchor>
  <xdr:twoCellAnchor editAs="oneCell">
    <xdr:from>
      <xdr:col>1</xdr:col>
      <xdr:colOff>0</xdr:colOff>
      <xdr:row>159</xdr:row>
      <xdr:rowOff>0</xdr:rowOff>
    </xdr:from>
    <xdr:to>
      <xdr:col>2</xdr:col>
      <xdr:colOff>710775</xdr:colOff>
      <xdr:row>159</xdr:row>
      <xdr:rowOff>1368000</xdr:rowOff>
    </xdr:to>
    <xdr:pic>
      <xdr:nvPicPr>
        <xdr:cNvPr id="214" name="Image 213" descr="track_zandvoort_nl.gif">
          <a:extLst>
            <a:ext uri="{FF2B5EF4-FFF2-40B4-BE49-F238E27FC236}">
              <a16:creationId xmlns:a16="http://schemas.microsoft.com/office/drawing/2014/main" xmlns="" id="{00000000-0008-0000-0200-0000D6000000}"/>
            </a:ext>
          </a:extLst>
        </xdr:cNvPr>
        <xdr:cNvPicPr>
          <a:picLocks noChangeAspect="1"/>
        </xdr:cNvPicPr>
      </xdr:nvPicPr>
      <xdr:blipFill>
        <a:blip xmlns:r="http://schemas.openxmlformats.org/officeDocument/2006/relationships" r:embed="rId65" cstate="print"/>
        <a:stretch>
          <a:fillRect/>
        </a:stretch>
      </xdr:blipFill>
      <xdr:spPr>
        <a:xfrm>
          <a:off x="1085850" y="99012375"/>
          <a:ext cx="1368000" cy="1368000"/>
        </a:xfrm>
        <a:prstGeom prst="rect">
          <a:avLst/>
        </a:prstGeom>
      </xdr:spPr>
    </xdr:pic>
    <xdr:clientData/>
  </xdr:twoCellAnchor>
  <xdr:twoCellAnchor editAs="oneCell">
    <xdr:from>
      <xdr:col>1</xdr:col>
      <xdr:colOff>0</xdr:colOff>
      <xdr:row>160</xdr:row>
      <xdr:rowOff>0</xdr:rowOff>
    </xdr:from>
    <xdr:to>
      <xdr:col>2</xdr:col>
      <xdr:colOff>710775</xdr:colOff>
      <xdr:row>160</xdr:row>
      <xdr:rowOff>1368000</xdr:rowOff>
    </xdr:to>
    <xdr:pic>
      <xdr:nvPicPr>
        <xdr:cNvPr id="215" name="Image 214" descr="track_zolder_be.gif">
          <a:extLst>
            <a:ext uri="{FF2B5EF4-FFF2-40B4-BE49-F238E27FC236}">
              <a16:creationId xmlns:a16="http://schemas.microsoft.com/office/drawing/2014/main" xmlns="" id="{00000000-0008-0000-0200-0000D7000000}"/>
            </a:ext>
          </a:extLst>
        </xdr:cNvPr>
        <xdr:cNvPicPr>
          <a:picLocks noChangeAspect="1"/>
        </xdr:cNvPicPr>
      </xdr:nvPicPr>
      <xdr:blipFill>
        <a:blip xmlns:r="http://schemas.openxmlformats.org/officeDocument/2006/relationships" r:embed="rId66" cstate="print"/>
        <a:stretch>
          <a:fillRect/>
        </a:stretch>
      </xdr:blipFill>
      <xdr:spPr>
        <a:xfrm>
          <a:off x="1085850" y="100393500"/>
          <a:ext cx="1368000" cy="1368000"/>
        </a:xfrm>
        <a:prstGeom prst="rect">
          <a:avLst/>
        </a:prstGeom>
      </xdr:spPr>
    </xdr:pic>
    <xdr:clientData/>
  </xdr:twoCellAnchor>
  <xdr:twoCellAnchor editAs="oneCell">
    <xdr:from>
      <xdr:col>9</xdr:col>
      <xdr:colOff>114300</xdr:colOff>
      <xdr:row>71</xdr:row>
      <xdr:rowOff>9525</xdr:rowOff>
    </xdr:from>
    <xdr:to>
      <xdr:col>13</xdr:col>
      <xdr:colOff>9525</xdr:colOff>
      <xdr:row>78</xdr:row>
      <xdr:rowOff>123825</xdr:rowOff>
    </xdr:to>
    <xdr:pic>
      <xdr:nvPicPr>
        <xdr:cNvPr id="75" name="Image 74" descr="ventur13_a_ouest.png">
          <a:extLst>
            <a:ext uri="{FF2B5EF4-FFF2-40B4-BE49-F238E27FC236}">
              <a16:creationId xmlns:a16="http://schemas.microsoft.com/office/drawing/2014/main" xmlns="" id="{00000000-0008-0000-0200-00004B000000}"/>
            </a:ext>
          </a:extLst>
        </xdr:cNvPr>
        <xdr:cNvPicPr>
          <a:picLocks noChangeAspect="1"/>
        </xdr:cNvPicPr>
      </xdr:nvPicPr>
      <xdr:blipFill>
        <a:blip xmlns:r="http://schemas.openxmlformats.org/officeDocument/2006/relationships" r:embed="rId67" cstate="print"/>
        <a:srcRect r="-394" b="4402"/>
        <a:stretch>
          <a:fillRect/>
        </a:stretch>
      </xdr:blipFill>
      <xdr:spPr>
        <a:xfrm>
          <a:off x="7143750" y="13582650"/>
          <a:ext cx="2505075" cy="1447800"/>
        </a:xfrm>
        <a:prstGeom prst="rect">
          <a:avLst/>
        </a:prstGeom>
      </xdr:spPr>
    </xdr:pic>
    <xdr:clientData/>
  </xdr:twoCellAnchor>
  <xdr:twoCellAnchor editAs="oneCell">
    <xdr:from>
      <xdr:col>2</xdr:col>
      <xdr:colOff>171450</xdr:colOff>
      <xdr:row>5</xdr:row>
      <xdr:rowOff>171450</xdr:rowOff>
    </xdr:from>
    <xdr:to>
      <xdr:col>3</xdr:col>
      <xdr:colOff>866775</xdr:colOff>
      <xdr:row>12</xdr:row>
      <xdr:rowOff>190500</xdr:rowOff>
    </xdr:to>
    <xdr:pic>
      <xdr:nvPicPr>
        <xdr:cNvPr id="74" name="Helmet_Neutral.png" descr="C:\Users\Jean-Luc\Desktop\VENTURI\PICTURES\HELMETS\Helmet_Neutral.png">
          <a:extLst>
            <a:ext uri="{FF2B5EF4-FFF2-40B4-BE49-F238E27FC236}">
              <a16:creationId xmlns:a16="http://schemas.microsoft.com/office/drawing/2014/main" xmlns="" id="{00000000-0008-0000-0200-00004A000000}"/>
            </a:ext>
          </a:extLst>
        </xdr:cNvPr>
        <xdr:cNvPicPr>
          <a:picLocks/>
        </xdr:cNvPicPr>
      </xdr:nvPicPr>
      <xdr:blipFill>
        <a:blip xmlns:r="http://schemas.openxmlformats.org/officeDocument/2006/relationships" r:embed="rId68" r:link="rId69" cstate="print"/>
        <a:stretch>
          <a:fillRect/>
        </a:stretch>
      </xdr:blipFill>
      <xdr:spPr>
        <a:xfrm>
          <a:off x="1924050" y="1171575"/>
          <a:ext cx="1466850" cy="1362075"/>
        </a:xfrm>
        <a:prstGeom prst="rect">
          <a:avLst/>
        </a:prstGeom>
      </xdr:spPr>
    </xdr:pic>
    <xdr:clientData/>
  </xdr:twoCellAnchor>
  <xdr:twoCellAnchor editAs="oneCell">
    <xdr:from>
      <xdr:col>2</xdr:col>
      <xdr:colOff>152400</xdr:colOff>
      <xdr:row>5</xdr:row>
      <xdr:rowOff>161924</xdr:rowOff>
    </xdr:from>
    <xdr:to>
      <xdr:col>3</xdr:col>
      <xdr:colOff>892875</xdr:colOff>
      <xdr:row>13</xdr:row>
      <xdr:rowOff>35624</xdr:rowOff>
    </xdr:to>
    <xdr:pic>
      <xdr:nvPicPr>
        <xdr:cNvPr id="76" name="Helmet_Motif_76.png" descr="Casque">
          <a:extLst>
            <a:ext uri="{FF2B5EF4-FFF2-40B4-BE49-F238E27FC236}">
              <a16:creationId xmlns:a16="http://schemas.microsoft.com/office/drawing/2014/main" xmlns="" id="{00000000-0008-0000-0200-00004C000000}"/>
            </a:ext>
          </a:extLst>
        </xdr:cNvPr>
        <xdr:cNvPicPr preferRelativeResize="0">
          <a:picLocks/>
        </xdr:cNvPicPr>
      </xdr:nvPicPr>
      <xdr:blipFill>
        <a:blip xmlns:r="http://schemas.openxmlformats.org/officeDocument/2006/relationships" r:embed="rId70" r:link="rId71" cstate="print"/>
        <a:stretch>
          <a:fillRect/>
        </a:stretch>
      </xdr:blipFill>
      <xdr:spPr>
        <a:xfrm>
          <a:off x="1905000" y="1162049"/>
          <a:ext cx="1512000" cy="1512000"/>
        </a:xfrm>
        <a:prstGeom prst="rect">
          <a:avLst/>
        </a:prstGeom>
      </xdr:spPr>
    </xdr:pic>
    <xdr:clientData fLocksWithSheet="0"/>
  </xdr:twoCellAnchor>
  <xdr:twoCellAnchor editAs="oneCell">
    <xdr:from>
      <xdr:col>1</xdr:col>
      <xdr:colOff>0</xdr:colOff>
      <xdr:row>125</xdr:row>
      <xdr:rowOff>0</xdr:rowOff>
    </xdr:from>
    <xdr:to>
      <xdr:col>2</xdr:col>
      <xdr:colOff>710775</xdr:colOff>
      <xdr:row>125</xdr:row>
      <xdr:rowOff>1368000</xdr:rowOff>
    </xdr:to>
    <xdr:pic>
      <xdr:nvPicPr>
        <xdr:cNvPr id="72" name="Image 71" descr="track_jeddah_sa.gif">
          <a:extLst>
            <a:ext uri="{FF2B5EF4-FFF2-40B4-BE49-F238E27FC236}">
              <a16:creationId xmlns:a16="http://schemas.microsoft.com/office/drawing/2014/main" xmlns="" id="{00000000-0008-0000-0200-000048000000}"/>
            </a:ext>
          </a:extLst>
        </xdr:cNvPr>
        <xdr:cNvPicPr>
          <a:picLocks noChangeAspect="1"/>
        </xdr:cNvPicPr>
      </xdr:nvPicPr>
      <xdr:blipFill>
        <a:blip xmlns:r="http://schemas.openxmlformats.org/officeDocument/2006/relationships" r:embed="rId72" cstate="print"/>
        <a:stretch>
          <a:fillRect/>
        </a:stretch>
      </xdr:blipFill>
      <xdr:spPr>
        <a:xfrm>
          <a:off x="1095375" y="54816375"/>
          <a:ext cx="1368000" cy="1368000"/>
        </a:xfrm>
        <a:prstGeom prst="rect">
          <a:avLst/>
        </a:prstGeom>
      </xdr:spPr>
    </xdr:pic>
    <xdr:clientData/>
  </xdr:twoCellAnchor>
  <xdr:twoCellAnchor editAs="oneCell">
    <xdr:from>
      <xdr:col>1</xdr:col>
      <xdr:colOff>0</xdr:colOff>
      <xdr:row>134</xdr:row>
      <xdr:rowOff>0</xdr:rowOff>
    </xdr:from>
    <xdr:to>
      <xdr:col>2</xdr:col>
      <xdr:colOff>710775</xdr:colOff>
      <xdr:row>134</xdr:row>
      <xdr:rowOff>1368000</xdr:rowOff>
    </xdr:to>
    <xdr:pic>
      <xdr:nvPicPr>
        <xdr:cNvPr id="73" name="Image 72" descr="track_miami_us.gif">
          <a:extLst>
            <a:ext uri="{FF2B5EF4-FFF2-40B4-BE49-F238E27FC236}">
              <a16:creationId xmlns:a16="http://schemas.microsoft.com/office/drawing/2014/main" xmlns="" id="{00000000-0008-0000-0200-000049000000}"/>
            </a:ext>
          </a:extLst>
        </xdr:cNvPr>
        <xdr:cNvPicPr>
          <a:picLocks noChangeAspect="1"/>
        </xdr:cNvPicPr>
      </xdr:nvPicPr>
      <xdr:blipFill>
        <a:blip xmlns:r="http://schemas.openxmlformats.org/officeDocument/2006/relationships" r:embed="rId73" cstate="print"/>
        <a:stretch>
          <a:fillRect/>
        </a:stretch>
      </xdr:blipFill>
      <xdr:spPr>
        <a:xfrm>
          <a:off x="1095375" y="67246500"/>
          <a:ext cx="1368000" cy="1368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273842</xdr:colOff>
      <xdr:row>67</xdr:row>
      <xdr:rowOff>190501</xdr:rowOff>
    </xdr:from>
    <xdr:to>
      <xdr:col>6</xdr:col>
      <xdr:colOff>797717</xdr:colOff>
      <xdr:row>69</xdr:row>
      <xdr:rowOff>71439</xdr:rowOff>
    </xdr:to>
    <xdr:pic>
      <xdr:nvPicPr>
        <xdr:cNvPr id="7" name="Image 6" descr="Résultat de recherche d'images pour &quot;SOURIRE&quot;">
          <a:extLst>
            <a:ext uri="{FF2B5EF4-FFF2-40B4-BE49-F238E27FC236}">
              <a16:creationId xmlns:a16="http://schemas.microsoft.com/office/drawing/2014/main" xmlns="" id="{00000000-0008-0000-0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4286248" y="809626"/>
          <a:ext cx="523875" cy="500063"/>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5</xdr:col>
      <xdr:colOff>0</xdr:colOff>
      <xdr:row>73</xdr:row>
      <xdr:rowOff>0</xdr:rowOff>
    </xdr:from>
    <xdr:to>
      <xdr:col>5</xdr:col>
      <xdr:colOff>304800</xdr:colOff>
      <xdr:row>73</xdr:row>
      <xdr:rowOff>304800</xdr:rowOff>
    </xdr:to>
    <xdr:sp macro="" textlink="">
      <xdr:nvSpPr>
        <xdr:cNvPr id="4108" name="AutoShape 12" descr="Résultat de recherche d'images pour &quot;ecran de controle f1 chronos&quot;">
          <a:extLst>
            <a:ext uri="{FF2B5EF4-FFF2-40B4-BE49-F238E27FC236}">
              <a16:creationId xmlns:a16="http://schemas.microsoft.com/office/drawing/2014/main" xmlns="" id="{00000000-0008-0000-0300-00000C100000}"/>
            </a:ext>
          </a:extLst>
        </xdr:cNvPr>
        <xdr:cNvSpPr>
          <a:spLocks noChangeAspect="1" noChangeArrowheads="1"/>
        </xdr:cNvSpPr>
      </xdr:nvSpPr>
      <xdr:spPr bwMode="auto">
        <a:xfrm>
          <a:off x="3076575" y="2457450"/>
          <a:ext cx="304800" cy="304800"/>
        </a:xfrm>
        <a:prstGeom prst="rect">
          <a:avLst/>
        </a:prstGeom>
        <a:noFill/>
        <a:extLst>
          <a:ext uri="{909E8E84-426E-40DD-AFC4-6F175D3DCCD1}">
            <a14:hiddenFill xmlns:a14="http://schemas.microsoft.com/office/drawing/2010/main" xmlns="">
              <a:solidFill>
                <a:srgbClr val="FFFFFF"/>
              </a:solidFill>
            </a14:hiddenFill>
          </a:ext>
        </a:extLst>
      </xdr:spPr>
    </xdr:sp>
    <xdr:clientData/>
  </xdr:twoCellAnchor>
  <xdr:twoCellAnchor editAs="oneCell">
    <xdr:from>
      <xdr:col>5</xdr:col>
      <xdr:colOff>0</xdr:colOff>
      <xdr:row>72</xdr:row>
      <xdr:rowOff>0</xdr:rowOff>
    </xdr:from>
    <xdr:to>
      <xdr:col>5</xdr:col>
      <xdr:colOff>304800</xdr:colOff>
      <xdr:row>72</xdr:row>
      <xdr:rowOff>304800</xdr:rowOff>
    </xdr:to>
    <xdr:sp macro="" textlink="">
      <xdr:nvSpPr>
        <xdr:cNvPr id="4110" name="AutoShape 14" descr="Résultat de recherche d'images pour &quot;ecran de controle f1 chronos&quot;">
          <a:extLst>
            <a:ext uri="{FF2B5EF4-FFF2-40B4-BE49-F238E27FC236}">
              <a16:creationId xmlns:a16="http://schemas.microsoft.com/office/drawing/2014/main" xmlns="" id="{00000000-0008-0000-0300-00000E100000}"/>
            </a:ext>
          </a:extLst>
        </xdr:cNvPr>
        <xdr:cNvSpPr>
          <a:spLocks noChangeAspect="1" noChangeArrowheads="1"/>
        </xdr:cNvSpPr>
      </xdr:nvSpPr>
      <xdr:spPr bwMode="auto">
        <a:xfrm>
          <a:off x="3076575" y="2143125"/>
          <a:ext cx="304800" cy="304800"/>
        </a:xfrm>
        <a:prstGeom prst="rect">
          <a:avLst/>
        </a:prstGeom>
        <a:noFill/>
        <a:extLst>
          <a:ext uri="{909E8E84-426E-40DD-AFC4-6F175D3DCCD1}">
            <a14:hiddenFill xmlns:a14="http://schemas.microsoft.com/office/drawing/2010/main" xmlns="">
              <a:solidFill>
                <a:srgbClr val="FFFFFF"/>
              </a:solidFill>
            </a14:hiddenFill>
          </a:ext>
        </a:extLst>
      </xdr:spPr>
    </xdr:sp>
    <xdr:clientData/>
  </xdr:twoCellAnchor>
  <xdr:twoCellAnchor editAs="oneCell">
    <xdr:from>
      <xdr:col>4</xdr:col>
      <xdr:colOff>52388</xdr:colOff>
      <xdr:row>70</xdr:row>
      <xdr:rowOff>130968</xdr:rowOff>
    </xdr:from>
    <xdr:to>
      <xdr:col>7</xdr:col>
      <xdr:colOff>1</xdr:colOff>
      <xdr:row>76</xdr:row>
      <xdr:rowOff>190499</xdr:rowOff>
    </xdr:to>
    <xdr:pic>
      <xdr:nvPicPr>
        <xdr:cNvPr id="2" name="Image 1">
          <a:extLst>
            <a:ext uri="{FF2B5EF4-FFF2-40B4-BE49-F238E27FC236}">
              <a16:creationId xmlns:a16="http://schemas.microsoft.com/office/drawing/2014/main" xmlns="" id="{00000000-0008-0000-0300-000002000000}"/>
            </a:ext>
          </a:extLst>
        </xdr:cNvPr>
        <xdr:cNvPicPr>
          <a:picLocks noChangeAspect="1"/>
        </xdr:cNvPicPr>
      </xdr:nvPicPr>
      <xdr:blipFill>
        <a:blip xmlns:r="http://schemas.openxmlformats.org/officeDocument/2006/relationships" r:embed="rId2" cstate="print"/>
        <a:stretch>
          <a:fillRect/>
        </a:stretch>
      </xdr:blipFill>
      <xdr:spPr>
        <a:xfrm>
          <a:off x="2314576" y="1631156"/>
          <a:ext cx="2578894" cy="1916906"/>
        </a:xfrm>
        <a:prstGeom prst="rect">
          <a:avLst/>
        </a:prstGeom>
      </xdr:spPr>
    </xdr:pic>
    <xdr:clientData/>
  </xdr:twoCellAnchor>
  <xdr:twoCellAnchor editAs="oneCell">
    <xdr:from>
      <xdr:col>2</xdr:col>
      <xdr:colOff>726281</xdr:colOff>
      <xdr:row>88</xdr:row>
      <xdr:rowOff>214310</xdr:rowOff>
    </xdr:from>
    <xdr:to>
      <xdr:col>6</xdr:col>
      <xdr:colOff>261938</xdr:colOff>
      <xdr:row>96</xdr:row>
      <xdr:rowOff>11905</xdr:rowOff>
    </xdr:to>
    <xdr:pic>
      <xdr:nvPicPr>
        <xdr:cNvPr id="8" name="Image 7">
          <a:extLst>
            <a:ext uri="{FF2B5EF4-FFF2-40B4-BE49-F238E27FC236}">
              <a16:creationId xmlns:a16="http://schemas.microsoft.com/office/drawing/2014/main" xmlns="" id="{00000000-0008-0000-0300-000008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xmlns="" val="0"/>
            </a:ext>
          </a:extLst>
        </a:blip>
        <a:srcRect/>
        <a:stretch>
          <a:fillRect/>
        </a:stretch>
      </xdr:blipFill>
      <xdr:spPr bwMode="auto">
        <a:xfrm>
          <a:off x="726281" y="7286623"/>
          <a:ext cx="3548063" cy="2202657"/>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104775</xdr:colOff>
      <xdr:row>13</xdr:row>
      <xdr:rowOff>19050</xdr:rowOff>
    </xdr:from>
    <xdr:to>
      <xdr:col>1</xdr:col>
      <xdr:colOff>644775</xdr:colOff>
      <xdr:row>15</xdr:row>
      <xdr:rowOff>178050</xdr:rowOff>
    </xdr:to>
    <xdr:pic macro="[0]!Retour_Interface">
      <xdr:nvPicPr>
        <xdr:cNvPr id="2" name="Image 1" descr="gear_logo.png">
          <a:extLst>
            <a:ext uri="{FF2B5EF4-FFF2-40B4-BE49-F238E27FC236}">
              <a16:creationId xmlns:a16="http://schemas.microsoft.com/office/drawing/2014/main" xmlns="" id="{00000000-0008-0000-0600-000002000000}"/>
            </a:ext>
          </a:extLst>
        </xdr:cNvPr>
        <xdr:cNvPicPr>
          <a:picLocks noChangeAspect="1"/>
        </xdr:cNvPicPr>
      </xdr:nvPicPr>
      <xdr:blipFill>
        <a:blip xmlns:r="http://schemas.openxmlformats.org/officeDocument/2006/relationships" r:embed="rId1" cstate="print"/>
        <a:stretch>
          <a:fillRect/>
        </a:stretch>
      </xdr:blipFill>
      <xdr:spPr>
        <a:xfrm>
          <a:off x="523875" y="4810125"/>
          <a:ext cx="540000" cy="540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ean-Luc/AppData/Roaming/Microsoft/Excel/FEUILLES/Version_2/Vers_2_Finale.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OUFFLERIE"/>
      <sheetName val="INFO"/>
      <sheetName val="calcul pneu pour calculateur"/>
      <sheetName val="Module"/>
      <sheetName val="Help Me"/>
      <sheetName val="CALCULETTE CHRONOS"/>
      <sheetName val="Ingénierie pneu"/>
      <sheetName val="Calcul ws"/>
    </sheetNames>
    <sheetDataSet>
      <sheetData sheetId="0"/>
      <sheetData sheetId="1"/>
      <sheetData sheetId="2"/>
      <sheetData sheetId="3">
        <row r="2">
          <cell r="H2" t="str">
            <v>Portimao</v>
          </cell>
        </row>
        <row r="100">
          <cell r="A100" t="str">
            <v>A1-Ring</v>
          </cell>
        </row>
        <row r="101">
          <cell r="A101" t="str">
            <v>Adelaïde</v>
          </cell>
        </row>
        <row r="102">
          <cell r="A102" t="str">
            <v>Ahvenisto</v>
          </cell>
        </row>
        <row r="103">
          <cell r="A103" t="str">
            <v>Anderstorp</v>
          </cell>
        </row>
        <row r="104">
          <cell r="A104" t="str">
            <v>Austin</v>
          </cell>
        </row>
        <row r="105">
          <cell r="A105" t="str">
            <v>Avus</v>
          </cell>
        </row>
        <row r="106">
          <cell r="A106" t="str">
            <v>Baku City</v>
          </cell>
        </row>
        <row r="107">
          <cell r="A107" t="str">
            <v>Barcelona</v>
          </cell>
        </row>
        <row r="108">
          <cell r="A108" t="str">
            <v>Brands Hatch</v>
          </cell>
        </row>
        <row r="109">
          <cell r="A109" t="str">
            <v>Brasilia</v>
          </cell>
        </row>
        <row r="110">
          <cell r="A110" t="str">
            <v>Bremgarten</v>
          </cell>
        </row>
        <row r="111">
          <cell r="A111" t="str">
            <v>Brno</v>
          </cell>
        </row>
        <row r="112">
          <cell r="A112" t="str">
            <v>Bucharest Ring</v>
          </cell>
        </row>
        <row r="113">
          <cell r="A113" t="str">
            <v>Buenos Aires</v>
          </cell>
        </row>
        <row r="114">
          <cell r="A114" t="str">
            <v>Estoril</v>
          </cell>
        </row>
        <row r="115">
          <cell r="A115" t="str">
            <v>Fiorano</v>
          </cell>
        </row>
        <row r="116">
          <cell r="A116" t="str">
            <v>Fuji</v>
          </cell>
        </row>
        <row r="117">
          <cell r="A117" t="str">
            <v>Grobnik</v>
          </cell>
        </row>
        <row r="118">
          <cell r="A118" t="str">
            <v>Hockenheim</v>
          </cell>
        </row>
        <row r="119">
          <cell r="A119" t="str">
            <v>Hungaroring</v>
          </cell>
        </row>
        <row r="120">
          <cell r="A120" t="str">
            <v>Imola</v>
          </cell>
        </row>
        <row r="121">
          <cell r="A121" t="str">
            <v>Indianapolis</v>
          </cell>
        </row>
        <row r="122">
          <cell r="A122" t="str">
            <v>Indianapolis Oval</v>
          </cell>
        </row>
        <row r="123">
          <cell r="A123" t="str">
            <v>Interlagos</v>
          </cell>
        </row>
        <row r="124">
          <cell r="A124" t="str">
            <v>Irungattukottai</v>
          </cell>
        </row>
        <row r="125">
          <cell r="A125" t="str">
            <v>Istanbul</v>
          </cell>
        </row>
        <row r="126">
          <cell r="A126" t="str">
            <v>Jerez</v>
          </cell>
        </row>
        <row r="127">
          <cell r="A127" t="str">
            <v>Jyllands-Ringen</v>
          </cell>
        </row>
        <row r="128">
          <cell r="A128" t="str">
            <v>Kaunas</v>
          </cell>
        </row>
        <row r="129">
          <cell r="A129" t="str">
            <v>Kyalami</v>
          </cell>
        </row>
        <row r="130">
          <cell r="A130" t="str">
            <v>Laguna Seca</v>
          </cell>
        </row>
        <row r="131">
          <cell r="A131" t="str">
            <v>Magny Cours</v>
          </cell>
        </row>
        <row r="132">
          <cell r="A132" t="str">
            <v>Melbourne</v>
          </cell>
        </row>
        <row r="133">
          <cell r="A133" t="str">
            <v>Mexico City</v>
          </cell>
        </row>
        <row r="134">
          <cell r="A134" t="str">
            <v>Monte Carlo</v>
          </cell>
        </row>
        <row r="135">
          <cell r="A135" t="str">
            <v>Montreal</v>
          </cell>
        </row>
        <row r="136">
          <cell r="A136" t="str">
            <v>Monza</v>
          </cell>
        </row>
        <row r="137">
          <cell r="A137" t="str">
            <v>Mugello</v>
          </cell>
        </row>
        <row r="138">
          <cell r="A138" t="str">
            <v>New Delhi</v>
          </cell>
        </row>
        <row r="139">
          <cell r="A139" t="str">
            <v>Nurburgring</v>
          </cell>
        </row>
        <row r="140">
          <cell r="A140" t="str">
            <v>Oesterreichring</v>
          </cell>
        </row>
        <row r="141">
          <cell r="A141" t="str">
            <v>Paul Ricard</v>
          </cell>
        </row>
        <row r="142">
          <cell r="A142" t="str">
            <v>Portimao</v>
          </cell>
        </row>
        <row r="143">
          <cell r="A143" t="str">
            <v>Poznan</v>
          </cell>
        </row>
        <row r="144">
          <cell r="A144" t="str">
            <v>Rafaela Oval</v>
          </cell>
        </row>
        <row r="145">
          <cell r="A145" t="str">
            <v>Sakhir</v>
          </cell>
        </row>
        <row r="146">
          <cell r="A146" t="str">
            <v>Sepang</v>
          </cell>
        </row>
        <row r="147">
          <cell r="A147" t="str">
            <v>Serres</v>
          </cell>
        </row>
        <row r="148">
          <cell r="A148" t="str">
            <v>Shanghai</v>
          </cell>
        </row>
        <row r="149">
          <cell r="A149" t="str">
            <v>Silverstone</v>
          </cell>
        </row>
        <row r="150">
          <cell r="A150" t="str">
            <v>Singapore</v>
          </cell>
        </row>
        <row r="151">
          <cell r="A151" t="str">
            <v>Slovakiaring</v>
          </cell>
        </row>
        <row r="152">
          <cell r="A152" t="str">
            <v>Sochi</v>
          </cell>
        </row>
        <row r="153">
          <cell r="A153" t="str">
            <v>Spa</v>
          </cell>
        </row>
        <row r="154">
          <cell r="A154" t="str">
            <v>Suzuka</v>
          </cell>
        </row>
        <row r="155">
          <cell r="A155" t="str">
            <v>Valencia</v>
          </cell>
        </row>
        <row r="156">
          <cell r="A156" t="str">
            <v>Yas Marina</v>
          </cell>
        </row>
        <row r="157">
          <cell r="A157" t="str">
            <v>Yeongam</v>
          </cell>
        </row>
        <row r="158">
          <cell r="A158" t="str">
            <v>Zandvoort</v>
          </cell>
        </row>
        <row r="159">
          <cell r="A159" t="str">
            <v>Zolder</v>
          </cell>
        </row>
      </sheetData>
      <sheetData sheetId="4">
        <row r="68">
          <cell r="O68">
            <v>0</v>
          </cell>
        </row>
      </sheetData>
      <sheetData sheetId="5"/>
      <sheetData sheetId="6"/>
      <sheetData sheetId="7">
        <row r="1">
          <cell r="A1" t="str">
            <v>x</v>
          </cell>
          <cell r="B1" t="str">
            <v>y</v>
          </cell>
          <cell r="D1" t="str">
            <v>t</v>
          </cell>
        </row>
        <row r="2">
          <cell r="A2">
            <v>150</v>
          </cell>
          <cell r="B2">
            <v>65.893000000000001</v>
          </cell>
          <cell r="D2">
            <v>140</v>
          </cell>
          <cell r="J2">
            <v>65.842666666666673</v>
          </cell>
        </row>
        <row r="3">
          <cell r="A3">
            <v>145</v>
          </cell>
          <cell r="B3">
            <v>65.885000000000005</v>
          </cell>
          <cell r="D3">
            <v>140.05000000000001</v>
          </cell>
          <cell r="J3">
            <v>148.33333333333334</v>
          </cell>
        </row>
        <row r="4">
          <cell r="A4">
            <v>150</v>
          </cell>
          <cell r="B4">
            <v>65.75</v>
          </cell>
          <cell r="D4">
            <v>140.10000000000002</v>
          </cell>
          <cell r="J4">
            <v>0.14637586805555555</v>
          </cell>
        </row>
        <row r="5">
          <cell r="D5">
            <v>140.15000000000003</v>
          </cell>
          <cell r="J5">
            <v>0.23155381944444445</v>
          </cell>
        </row>
        <row r="6">
          <cell r="D6">
            <v>140.20000000000005</v>
          </cell>
          <cell r="J6">
            <v>-0.81293402777777779</v>
          </cell>
        </row>
        <row r="7">
          <cell r="D7">
            <v>140.25000000000006</v>
          </cell>
          <cell r="J7">
            <v>0.14637586805555555</v>
          </cell>
        </row>
        <row r="8">
          <cell r="D8">
            <v>140.30000000000007</v>
          </cell>
          <cell r="J8">
            <v>-43.193287037037038</v>
          </cell>
        </row>
        <row r="9">
          <cell r="D9">
            <v>140.35000000000008</v>
          </cell>
          <cell r="J9">
            <v>3251.3582796103401</v>
          </cell>
        </row>
        <row r="10">
          <cell r="D10">
            <v>140.40000000000009</v>
          </cell>
        </row>
        <row r="11">
          <cell r="D11">
            <v>140.4500000000001</v>
          </cell>
        </row>
        <row r="12">
          <cell r="D12">
            <v>140.50000000000011</v>
          </cell>
        </row>
        <row r="13">
          <cell r="D13">
            <v>140.55000000000013</v>
          </cell>
        </row>
        <row r="14">
          <cell r="D14">
            <v>140.60000000000014</v>
          </cell>
        </row>
        <row r="15">
          <cell r="D15">
            <v>140.65000000000015</v>
          </cell>
        </row>
        <row r="16">
          <cell r="D16">
            <v>140.70000000000016</v>
          </cell>
        </row>
        <row r="17">
          <cell r="D17">
            <v>140.75000000000017</v>
          </cell>
        </row>
        <row r="18">
          <cell r="D18">
            <v>140.80000000000018</v>
          </cell>
        </row>
        <row r="19">
          <cell r="D19">
            <v>140.85000000000019</v>
          </cell>
        </row>
        <row r="20">
          <cell r="D20">
            <v>140.9000000000002</v>
          </cell>
        </row>
        <row r="21">
          <cell r="D21">
            <v>140.95000000000022</v>
          </cell>
        </row>
        <row r="22">
          <cell r="D22">
            <v>141.00000000000023</v>
          </cell>
        </row>
        <row r="23">
          <cell r="D23">
            <v>141.05000000000024</v>
          </cell>
        </row>
        <row r="24">
          <cell r="D24">
            <v>141.10000000000025</v>
          </cell>
        </row>
        <row r="25">
          <cell r="D25">
            <v>141.15000000000026</v>
          </cell>
        </row>
        <row r="26">
          <cell r="D26">
            <v>141.20000000000027</v>
          </cell>
        </row>
        <row r="27">
          <cell r="D27">
            <v>141.25000000000028</v>
          </cell>
        </row>
        <row r="28">
          <cell r="D28">
            <v>141.3000000000003</v>
          </cell>
        </row>
        <row r="29">
          <cell r="D29">
            <v>141.35000000000031</v>
          </cell>
        </row>
        <row r="30">
          <cell r="D30">
            <v>141.40000000000032</v>
          </cell>
        </row>
        <row r="31">
          <cell r="D31">
            <v>141.45000000000033</v>
          </cell>
        </row>
        <row r="32">
          <cell r="D32">
            <v>141.50000000000034</v>
          </cell>
        </row>
        <row r="33">
          <cell r="D33">
            <v>141.55000000000035</v>
          </cell>
        </row>
        <row r="34">
          <cell r="D34">
            <v>141.60000000000036</v>
          </cell>
        </row>
        <row r="35">
          <cell r="D35">
            <v>141.65000000000038</v>
          </cell>
        </row>
        <row r="36">
          <cell r="D36">
            <v>141.70000000000039</v>
          </cell>
        </row>
        <row r="37">
          <cell r="D37">
            <v>141.7500000000004</v>
          </cell>
        </row>
        <row r="38">
          <cell r="D38">
            <v>141.80000000000041</v>
          </cell>
        </row>
        <row r="39">
          <cell r="D39">
            <v>141.85000000000042</v>
          </cell>
        </row>
        <row r="40">
          <cell r="D40">
            <v>141.90000000000043</v>
          </cell>
        </row>
        <row r="41">
          <cell r="D41">
            <v>141.95000000000044</v>
          </cell>
        </row>
        <row r="42">
          <cell r="D42">
            <v>142.00000000000045</v>
          </cell>
        </row>
        <row r="43">
          <cell r="D43">
            <v>142.05000000000047</v>
          </cell>
        </row>
        <row r="44">
          <cell r="D44">
            <v>142.10000000000048</v>
          </cell>
        </row>
        <row r="45">
          <cell r="D45">
            <v>142.15000000000049</v>
          </cell>
        </row>
        <row r="46">
          <cell r="D46">
            <v>142.2000000000005</v>
          </cell>
        </row>
        <row r="47">
          <cell r="D47">
            <v>142.25000000000051</v>
          </cell>
        </row>
        <row r="48">
          <cell r="D48">
            <v>142.30000000000052</v>
          </cell>
        </row>
        <row r="49">
          <cell r="D49">
            <v>142.35000000000053</v>
          </cell>
        </row>
        <row r="50">
          <cell r="D50">
            <v>142.40000000000055</v>
          </cell>
        </row>
        <row r="51">
          <cell r="D51">
            <v>142.45000000000056</v>
          </cell>
        </row>
        <row r="52">
          <cell r="D52">
            <v>142.50000000000057</v>
          </cell>
        </row>
        <row r="53">
          <cell r="D53">
            <v>142.55000000000058</v>
          </cell>
        </row>
        <row r="54">
          <cell r="D54">
            <v>142.60000000000059</v>
          </cell>
        </row>
        <row r="55">
          <cell r="D55">
            <v>142.6500000000006</v>
          </cell>
        </row>
        <row r="56">
          <cell r="D56">
            <v>142.70000000000061</v>
          </cell>
        </row>
        <row r="57">
          <cell r="D57">
            <v>142.75000000000063</v>
          </cell>
        </row>
        <row r="58">
          <cell r="D58">
            <v>142.80000000000064</v>
          </cell>
        </row>
        <row r="59">
          <cell r="D59">
            <v>142.85000000000065</v>
          </cell>
        </row>
        <row r="60">
          <cell r="D60">
            <v>142.90000000000066</v>
          </cell>
        </row>
        <row r="61">
          <cell r="D61">
            <v>142.95000000000067</v>
          </cell>
        </row>
        <row r="62">
          <cell r="D62">
            <v>143.00000000000068</v>
          </cell>
        </row>
        <row r="63">
          <cell r="D63">
            <v>143.05000000000069</v>
          </cell>
        </row>
        <row r="64">
          <cell r="D64">
            <v>143.1000000000007</v>
          </cell>
        </row>
        <row r="65">
          <cell r="D65">
            <v>143.15000000000072</v>
          </cell>
        </row>
        <row r="66">
          <cell r="D66">
            <v>143.20000000000073</v>
          </cell>
        </row>
        <row r="67">
          <cell r="D67">
            <v>143.25000000000074</v>
          </cell>
        </row>
        <row r="68">
          <cell r="D68">
            <v>143.30000000000075</v>
          </cell>
        </row>
        <row r="69">
          <cell r="D69">
            <v>143.35000000000076</v>
          </cell>
        </row>
        <row r="70">
          <cell r="D70">
            <v>143.40000000000077</v>
          </cell>
        </row>
        <row r="71">
          <cell r="D71">
            <v>143.45000000000078</v>
          </cell>
        </row>
        <row r="72">
          <cell r="D72">
            <v>143.5000000000008</v>
          </cell>
        </row>
        <row r="73">
          <cell r="D73">
            <v>143.55000000000081</v>
          </cell>
        </row>
        <row r="74">
          <cell r="D74">
            <v>143.60000000000082</v>
          </cell>
        </row>
        <row r="75">
          <cell r="D75">
            <v>143.65000000000083</v>
          </cell>
        </row>
        <row r="76">
          <cell r="D76">
            <v>143.70000000000084</v>
          </cell>
        </row>
        <row r="77">
          <cell r="D77">
            <v>143.75000000000085</v>
          </cell>
        </row>
        <row r="78">
          <cell r="D78">
            <v>143.80000000000086</v>
          </cell>
        </row>
        <row r="79">
          <cell r="D79">
            <v>143.85000000000088</v>
          </cell>
        </row>
        <row r="80">
          <cell r="D80">
            <v>143.90000000000089</v>
          </cell>
        </row>
        <row r="81">
          <cell r="D81">
            <v>143.9500000000009</v>
          </cell>
        </row>
        <row r="82">
          <cell r="D82">
            <v>144.00000000000091</v>
          </cell>
        </row>
        <row r="83">
          <cell r="D83">
            <v>144.05000000000092</v>
          </cell>
        </row>
        <row r="84">
          <cell r="D84">
            <v>144.10000000000093</v>
          </cell>
        </row>
        <row r="85">
          <cell r="D85">
            <v>144.15000000000094</v>
          </cell>
        </row>
        <row r="86">
          <cell r="D86">
            <v>144.20000000000095</v>
          </cell>
        </row>
        <row r="87">
          <cell r="D87">
            <v>144.25000000000097</v>
          </cell>
        </row>
        <row r="88">
          <cell r="D88">
            <v>144.30000000000098</v>
          </cell>
        </row>
        <row r="89">
          <cell r="D89">
            <v>144.35000000000099</v>
          </cell>
        </row>
        <row r="90">
          <cell r="D90">
            <v>144.400000000001</v>
          </cell>
        </row>
        <row r="91">
          <cell r="D91">
            <v>144.45000000000101</v>
          </cell>
        </row>
        <row r="92">
          <cell r="D92">
            <v>144.50000000000102</v>
          </cell>
        </row>
        <row r="93">
          <cell r="D93">
            <v>144.55000000000103</v>
          </cell>
        </row>
        <row r="94">
          <cell r="D94">
            <v>144.60000000000105</v>
          </cell>
        </row>
        <row r="95">
          <cell r="D95">
            <v>144.65000000000106</v>
          </cell>
        </row>
        <row r="96">
          <cell r="D96">
            <v>144.70000000000107</v>
          </cell>
        </row>
        <row r="97">
          <cell r="D97">
            <v>144.75000000000108</v>
          </cell>
        </row>
        <row r="98">
          <cell r="D98">
            <v>144.80000000000109</v>
          </cell>
        </row>
        <row r="99">
          <cell r="D99">
            <v>144.8500000000011</v>
          </cell>
        </row>
        <row r="100">
          <cell r="D100">
            <v>144.90000000000111</v>
          </cell>
        </row>
        <row r="101">
          <cell r="D101">
            <v>144.95000000000113</v>
          </cell>
        </row>
        <row r="102">
          <cell r="D102">
            <v>145.00000000000114</v>
          </cell>
        </row>
        <row r="103">
          <cell r="D103">
            <v>145.05000000000115</v>
          </cell>
        </row>
        <row r="104">
          <cell r="D104">
            <v>145.10000000000116</v>
          </cell>
        </row>
        <row r="105">
          <cell r="D105">
            <v>145.15000000000117</v>
          </cell>
        </row>
        <row r="106">
          <cell r="D106">
            <v>145.20000000000118</v>
          </cell>
        </row>
        <row r="107">
          <cell r="D107">
            <v>145.25000000000119</v>
          </cell>
        </row>
        <row r="108">
          <cell r="D108">
            <v>145.30000000000121</v>
          </cell>
        </row>
        <row r="109">
          <cell r="D109">
            <v>145.35000000000122</v>
          </cell>
        </row>
        <row r="110">
          <cell r="D110">
            <v>145.40000000000123</v>
          </cell>
        </row>
        <row r="111">
          <cell r="D111">
            <v>145.45000000000124</v>
          </cell>
        </row>
        <row r="112">
          <cell r="D112">
            <v>145.50000000000125</v>
          </cell>
        </row>
        <row r="113">
          <cell r="D113">
            <v>145.55000000000126</v>
          </cell>
        </row>
        <row r="114">
          <cell r="D114">
            <v>145.60000000000127</v>
          </cell>
        </row>
        <row r="115">
          <cell r="D115">
            <v>145.65000000000128</v>
          </cell>
        </row>
        <row r="116">
          <cell r="D116">
            <v>145.7000000000013</v>
          </cell>
        </row>
        <row r="117">
          <cell r="D117">
            <v>145.75000000000131</v>
          </cell>
        </row>
        <row r="118">
          <cell r="D118">
            <v>145.80000000000132</v>
          </cell>
        </row>
        <row r="119">
          <cell r="D119">
            <v>145.85000000000133</v>
          </cell>
        </row>
        <row r="120">
          <cell r="D120">
            <v>145.90000000000134</v>
          </cell>
        </row>
        <row r="121">
          <cell r="D121">
            <v>145.95000000000135</v>
          </cell>
        </row>
        <row r="122">
          <cell r="D122">
            <v>146.00000000000136</v>
          </cell>
        </row>
        <row r="123">
          <cell r="D123">
            <v>146.05000000000138</v>
          </cell>
        </row>
        <row r="124">
          <cell r="D124">
            <v>146.10000000000139</v>
          </cell>
        </row>
        <row r="125">
          <cell r="D125">
            <v>146.1500000000014</v>
          </cell>
        </row>
        <row r="126">
          <cell r="D126">
            <v>146.20000000000141</v>
          </cell>
        </row>
        <row r="127">
          <cell r="D127">
            <v>146.25000000000142</v>
          </cell>
        </row>
        <row r="128">
          <cell r="D128">
            <v>146.30000000000143</v>
          </cell>
        </row>
        <row r="129">
          <cell r="D129">
            <v>146.35000000000144</v>
          </cell>
        </row>
        <row r="130">
          <cell r="D130">
            <v>146.40000000000146</v>
          </cell>
        </row>
        <row r="131">
          <cell r="D131">
            <v>146.45000000000147</v>
          </cell>
        </row>
        <row r="132">
          <cell r="D132">
            <v>146.50000000000148</v>
          </cell>
        </row>
        <row r="133">
          <cell r="D133">
            <v>146.55000000000149</v>
          </cell>
        </row>
        <row r="134">
          <cell r="D134">
            <v>146.6000000000015</v>
          </cell>
        </row>
        <row r="135">
          <cell r="D135">
            <v>146.65000000000151</v>
          </cell>
        </row>
        <row r="136">
          <cell r="D136">
            <v>146.70000000000152</v>
          </cell>
        </row>
        <row r="137">
          <cell r="D137">
            <v>146.75000000000153</v>
          </cell>
        </row>
        <row r="138">
          <cell r="D138">
            <v>146.80000000000155</v>
          </cell>
        </row>
        <row r="139">
          <cell r="D139">
            <v>146.85000000000156</v>
          </cell>
        </row>
        <row r="140">
          <cell r="D140">
            <v>146.90000000000157</v>
          </cell>
        </row>
        <row r="141">
          <cell r="D141">
            <v>146.95000000000158</v>
          </cell>
        </row>
        <row r="142">
          <cell r="D142">
            <v>147.00000000000159</v>
          </cell>
        </row>
        <row r="143">
          <cell r="D143">
            <v>147.0500000000016</v>
          </cell>
        </row>
        <row r="144">
          <cell r="D144">
            <v>147.10000000000161</v>
          </cell>
        </row>
        <row r="145">
          <cell r="D145">
            <v>147.15000000000163</v>
          </cell>
        </row>
        <row r="146">
          <cell r="D146">
            <v>147.20000000000164</v>
          </cell>
        </row>
        <row r="147">
          <cell r="D147">
            <v>147.25000000000165</v>
          </cell>
        </row>
        <row r="148">
          <cell r="D148">
            <v>147.30000000000166</v>
          </cell>
        </row>
        <row r="149">
          <cell r="D149">
            <v>147.35000000000167</v>
          </cell>
        </row>
        <row r="150">
          <cell r="D150">
            <v>147.40000000000168</v>
          </cell>
        </row>
        <row r="151">
          <cell r="D151">
            <v>147.45000000000169</v>
          </cell>
        </row>
        <row r="152">
          <cell r="D152">
            <v>147.50000000000171</v>
          </cell>
        </row>
        <row r="153">
          <cell r="D153">
            <v>147.55000000000172</v>
          </cell>
        </row>
        <row r="154">
          <cell r="D154">
            <v>147.60000000000173</v>
          </cell>
        </row>
        <row r="155">
          <cell r="D155">
            <v>147.65000000000174</v>
          </cell>
        </row>
        <row r="156">
          <cell r="D156">
            <v>147.70000000000175</v>
          </cell>
        </row>
        <row r="157">
          <cell r="D157">
            <v>147.75000000000176</v>
          </cell>
        </row>
        <row r="158">
          <cell r="D158">
            <v>147.80000000000177</v>
          </cell>
        </row>
        <row r="159">
          <cell r="D159">
            <v>147.85000000000178</v>
          </cell>
        </row>
        <row r="160">
          <cell r="D160">
            <v>147.9000000000018</v>
          </cell>
        </row>
        <row r="161">
          <cell r="D161">
            <v>147.95000000000181</v>
          </cell>
        </row>
        <row r="162">
          <cell r="D162">
            <v>148.00000000000182</v>
          </cell>
        </row>
        <row r="163">
          <cell r="D163">
            <v>148.05000000000183</v>
          </cell>
        </row>
        <row r="164">
          <cell r="D164">
            <v>148.10000000000184</v>
          </cell>
        </row>
        <row r="165">
          <cell r="D165">
            <v>148.15000000000185</v>
          </cell>
        </row>
        <row r="166">
          <cell r="D166">
            <v>148.20000000000186</v>
          </cell>
        </row>
        <row r="167">
          <cell r="D167">
            <v>148.25000000000188</v>
          </cell>
        </row>
        <row r="168">
          <cell r="D168">
            <v>148.30000000000189</v>
          </cell>
        </row>
        <row r="169">
          <cell r="D169">
            <v>148.3500000000019</v>
          </cell>
        </row>
        <row r="170">
          <cell r="D170">
            <v>148.40000000000191</v>
          </cell>
        </row>
        <row r="171">
          <cell r="D171">
            <v>148.45000000000192</v>
          </cell>
        </row>
        <row r="172">
          <cell r="D172">
            <v>148.50000000000193</v>
          </cell>
        </row>
        <row r="173">
          <cell r="D173">
            <v>148.55000000000194</v>
          </cell>
        </row>
        <row r="174">
          <cell r="D174">
            <v>148.60000000000196</v>
          </cell>
        </row>
        <row r="175">
          <cell r="D175">
            <v>148.65000000000197</v>
          </cell>
        </row>
        <row r="176">
          <cell r="D176">
            <v>148.70000000000198</v>
          </cell>
        </row>
        <row r="177">
          <cell r="D177">
            <v>148.75000000000199</v>
          </cell>
        </row>
        <row r="178">
          <cell r="D178">
            <v>148.800000000002</v>
          </cell>
        </row>
        <row r="179">
          <cell r="D179">
            <v>148.85000000000201</v>
          </cell>
        </row>
        <row r="180">
          <cell r="D180">
            <v>148.90000000000202</v>
          </cell>
        </row>
        <row r="181">
          <cell r="D181">
            <v>148.95000000000203</v>
          </cell>
        </row>
        <row r="182">
          <cell r="D182">
            <v>149.00000000000205</v>
          </cell>
        </row>
        <row r="183">
          <cell r="D183">
            <v>149.05000000000206</v>
          </cell>
        </row>
        <row r="184">
          <cell r="D184">
            <v>149.10000000000207</v>
          </cell>
        </row>
        <row r="185">
          <cell r="D185">
            <v>149.15000000000208</v>
          </cell>
        </row>
        <row r="186">
          <cell r="D186">
            <v>149.20000000000209</v>
          </cell>
        </row>
        <row r="187">
          <cell r="D187">
            <v>149.2500000000021</v>
          </cell>
        </row>
        <row r="188">
          <cell r="D188">
            <v>149.30000000000211</v>
          </cell>
        </row>
        <row r="189">
          <cell r="D189">
            <v>149.35000000000213</v>
          </cell>
        </row>
        <row r="190">
          <cell r="D190">
            <v>149.40000000000214</v>
          </cell>
        </row>
        <row r="191">
          <cell r="D191">
            <v>149.45000000000215</v>
          </cell>
        </row>
        <row r="192">
          <cell r="D192">
            <v>149.50000000000216</v>
          </cell>
        </row>
        <row r="193">
          <cell r="D193">
            <v>149.55000000000217</v>
          </cell>
        </row>
        <row r="194">
          <cell r="D194">
            <v>149.60000000000218</v>
          </cell>
        </row>
        <row r="195">
          <cell r="D195">
            <v>149.65000000000219</v>
          </cell>
        </row>
        <row r="196">
          <cell r="D196">
            <v>149.70000000000221</v>
          </cell>
        </row>
        <row r="197">
          <cell r="D197">
            <v>149.75000000000222</v>
          </cell>
        </row>
        <row r="198">
          <cell r="D198">
            <v>149.80000000000223</v>
          </cell>
        </row>
        <row r="199">
          <cell r="D199">
            <v>149.85000000000224</v>
          </cell>
        </row>
        <row r="200">
          <cell r="D200">
            <v>149.90000000000225</v>
          </cell>
        </row>
        <row r="201">
          <cell r="D201">
            <v>149.95000000000226</v>
          </cell>
        </row>
        <row r="202">
          <cell r="D202">
            <v>150.00000000000227</v>
          </cell>
        </row>
        <row r="203">
          <cell r="D203">
            <v>150.05000000000229</v>
          </cell>
        </row>
        <row r="204">
          <cell r="D204">
            <v>150.1000000000023</v>
          </cell>
        </row>
        <row r="205">
          <cell r="D205" t="e">
            <v>#N/A</v>
          </cell>
        </row>
        <row r="206">
          <cell r="D206" t="e">
            <v>#N/A</v>
          </cell>
        </row>
        <row r="207">
          <cell r="D207" t="e">
            <v>#N/A</v>
          </cell>
        </row>
        <row r="208">
          <cell r="D208" t="e">
            <v>#N/A</v>
          </cell>
        </row>
        <row r="209">
          <cell r="D209" t="e">
            <v>#N/A</v>
          </cell>
        </row>
        <row r="210">
          <cell r="D210" t="e">
            <v>#N/A</v>
          </cell>
        </row>
        <row r="211">
          <cell r="D211" t="e">
            <v>#N/A</v>
          </cell>
        </row>
        <row r="212">
          <cell r="D212" t="e">
            <v>#N/A</v>
          </cell>
        </row>
        <row r="213">
          <cell r="D213" t="e">
            <v>#N/A</v>
          </cell>
        </row>
        <row r="214">
          <cell r="D214" t="e">
            <v>#N/A</v>
          </cell>
        </row>
        <row r="215">
          <cell r="D215" t="e">
            <v>#N/A</v>
          </cell>
        </row>
        <row r="216">
          <cell r="D216" t="e">
            <v>#N/A</v>
          </cell>
        </row>
        <row r="217">
          <cell r="D217" t="e">
            <v>#N/A</v>
          </cell>
        </row>
        <row r="218">
          <cell r="D218" t="e">
            <v>#N/A</v>
          </cell>
        </row>
        <row r="219">
          <cell r="D219" t="e">
            <v>#N/A</v>
          </cell>
        </row>
        <row r="220">
          <cell r="D220" t="e">
            <v>#N/A</v>
          </cell>
        </row>
        <row r="221">
          <cell r="D221" t="e">
            <v>#N/A</v>
          </cell>
        </row>
        <row r="222">
          <cell r="D222" t="e">
            <v>#N/A</v>
          </cell>
        </row>
        <row r="223">
          <cell r="D223" t="e">
            <v>#N/A</v>
          </cell>
        </row>
        <row r="224">
          <cell r="D224" t="e">
            <v>#N/A</v>
          </cell>
        </row>
        <row r="225">
          <cell r="D225" t="e">
            <v>#N/A</v>
          </cell>
        </row>
        <row r="226">
          <cell r="D226" t="e">
            <v>#N/A</v>
          </cell>
        </row>
        <row r="227">
          <cell r="D227" t="e">
            <v>#N/A</v>
          </cell>
        </row>
        <row r="228">
          <cell r="D228" t="e">
            <v>#N/A</v>
          </cell>
        </row>
        <row r="229">
          <cell r="D229" t="e">
            <v>#N/A</v>
          </cell>
        </row>
        <row r="230">
          <cell r="D230" t="e">
            <v>#N/A</v>
          </cell>
        </row>
        <row r="231">
          <cell r="D231" t="e">
            <v>#N/A</v>
          </cell>
        </row>
        <row r="232">
          <cell r="D232" t="e">
            <v>#N/A</v>
          </cell>
        </row>
        <row r="233">
          <cell r="D233" t="e">
            <v>#N/A</v>
          </cell>
        </row>
        <row r="234">
          <cell r="D234" t="e">
            <v>#N/A</v>
          </cell>
        </row>
        <row r="235">
          <cell r="D235" t="e">
            <v>#N/A</v>
          </cell>
        </row>
        <row r="236">
          <cell r="D236" t="e">
            <v>#N/A</v>
          </cell>
        </row>
        <row r="237">
          <cell r="D237" t="e">
            <v>#N/A</v>
          </cell>
        </row>
        <row r="238">
          <cell r="D238" t="e">
            <v>#N/A</v>
          </cell>
        </row>
        <row r="239">
          <cell r="D239" t="e">
            <v>#N/A</v>
          </cell>
        </row>
        <row r="240">
          <cell r="D240" t="e">
            <v>#N/A</v>
          </cell>
        </row>
        <row r="241">
          <cell r="D241" t="e">
            <v>#N/A</v>
          </cell>
        </row>
        <row r="242">
          <cell r="D242" t="e">
            <v>#N/A</v>
          </cell>
        </row>
        <row r="243">
          <cell r="D243" t="e">
            <v>#N/A</v>
          </cell>
        </row>
        <row r="244">
          <cell r="D244" t="e">
            <v>#N/A</v>
          </cell>
        </row>
        <row r="245">
          <cell r="D245" t="e">
            <v>#N/A</v>
          </cell>
        </row>
        <row r="246">
          <cell r="D246" t="e">
            <v>#N/A</v>
          </cell>
        </row>
        <row r="247">
          <cell r="D247" t="e">
            <v>#N/A</v>
          </cell>
        </row>
        <row r="248">
          <cell r="D248" t="e">
            <v>#N/A</v>
          </cell>
        </row>
        <row r="249">
          <cell r="D249" t="e">
            <v>#N/A</v>
          </cell>
        </row>
        <row r="250">
          <cell r="D250" t="e">
            <v>#N/A</v>
          </cell>
        </row>
        <row r="251">
          <cell r="D251" t="e">
            <v>#N/A</v>
          </cell>
        </row>
        <row r="252">
          <cell r="D252" t="e">
            <v>#N/A</v>
          </cell>
        </row>
        <row r="253">
          <cell r="D253" t="e">
            <v>#N/A</v>
          </cell>
        </row>
        <row r="254">
          <cell r="D254" t="e">
            <v>#N/A</v>
          </cell>
        </row>
        <row r="255">
          <cell r="D255" t="e">
            <v>#N/A</v>
          </cell>
        </row>
        <row r="256">
          <cell r="D256" t="e">
            <v>#N/A</v>
          </cell>
        </row>
        <row r="257">
          <cell r="D257" t="e">
            <v>#N/A</v>
          </cell>
        </row>
        <row r="258">
          <cell r="D258" t="e">
            <v>#N/A</v>
          </cell>
        </row>
        <row r="259">
          <cell r="D259" t="e">
            <v>#N/A</v>
          </cell>
        </row>
        <row r="260">
          <cell r="D260" t="e">
            <v>#N/A</v>
          </cell>
        </row>
        <row r="261">
          <cell r="D261" t="e">
            <v>#N/A</v>
          </cell>
        </row>
        <row r="262">
          <cell r="D262" t="e">
            <v>#N/A</v>
          </cell>
        </row>
        <row r="263">
          <cell r="D263" t="e">
            <v>#N/A</v>
          </cell>
        </row>
        <row r="264">
          <cell r="D264" t="e">
            <v>#N/A</v>
          </cell>
        </row>
        <row r="265">
          <cell r="D265" t="e">
            <v>#N/A</v>
          </cell>
        </row>
        <row r="266">
          <cell r="D266" t="e">
            <v>#N/A</v>
          </cell>
        </row>
        <row r="267">
          <cell r="D267" t="e">
            <v>#N/A</v>
          </cell>
        </row>
        <row r="268">
          <cell r="D268" t="e">
            <v>#N/A</v>
          </cell>
        </row>
        <row r="269">
          <cell r="D269" t="e">
            <v>#N/A</v>
          </cell>
        </row>
        <row r="270">
          <cell r="D270" t="e">
            <v>#N/A</v>
          </cell>
        </row>
        <row r="271">
          <cell r="D271" t="e">
            <v>#N/A</v>
          </cell>
        </row>
        <row r="272">
          <cell r="D272" t="e">
            <v>#N/A</v>
          </cell>
        </row>
        <row r="273">
          <cell r="D273" t="e">
            <v>#N/A</v>
          </cell>
        </row>
        <row r="274">
          <cell r="D274" t="e">
            <v>#N/A</v>
          </cell>
        </row>
        <row r="275">
          <cell r="D275" t="e">
            <v>#N/A</v>
          </cell>
        </row>
        <row r="276">
          <cell r="D276" t="e">
            <v>#N/A</v>
          </cell>
        </row>
        <row r="277">
          <cell r="D277" t="e">
            <v>#N/A</v>
          </cell>
        </row>
        <row r="278">
          <cell r="D278" t="e">
            <v>#N/A</v>
          </cell>
        </row>
        <row r="279">
          <cell r="D279" t="e">
            <v>#N/A</v>
          </cell>
        </row>
        <row r="280">
          <cell r="D280" t="e">
            <v>#N/A</v>
          </cell>
        </row>
        <row r="281">
          <cell r="D281" t="e">
            <v>#N/A</v>
          </cell>
        </row>
        <row r="282">
          <cell r="D282" t="e">
            <v>#N/A</v>
          </cell>
        </row>
        <row r="283">
          <cell r="D283" t="e">
            <v>#N/A</v>
          </cell>
        </row>
        <row r="284">
          <cell r="D284" t="e">
            <v>#N/A</v>
          </cell>
        </row>
        <row r="285">
          <cell r="D285" t="e">
            <v>#N/A</v>
          </cell>
        </row>
        <row r="286">
          <cell r="D286" t="e">
            <v>#N/A</v>
          </cell>
        </row>
        <row r="287">
          <cell r="D287" t="e">
            <v>#N/A</v>
          </cell>
        </row>
        <row r="288">
          <cell r="D288" t="e">
            <v>#N/A</v>
          </cell>
        </row>
        <row r="289">
          <cell r="D289" t="e">
            <v>#N/A</v>
          </cell>
        </row>
        <row r="290">
          <cell r="D290" t="e">
            <v>#N/A</v>
          </cell>
        </row>
        <row r="291">
          <cell r="D291" t="e">
            <v>#N/A</v>
          </cell>
        </row>
        <row r="292">
          <cell r="D292" t="e">
            <v>#N/A</v>
          </cell>
        </row>
        <row r="293">
          <cell r="D293" t="e">
            <v>#N/A</v>
          </cell>
        </row>
        <row r="294">
          <cell r="D294" t="e">
            <v>#N/A</v>
          </cell>
        </row>
        <row r="295">
          <cell r="D295" t="e">
            <v>#N/A</v>
          </cell>
        </row>
        <row r="296">
          <cell r="D296" t="e">
            <v>#N/A</v>
          </cell>
        </row>
        <row r="297">
          <cell r="D297" t="e">
            <v>#N/A</v>
          </cell>
        </row>
        <row r="298">
          <cell r="D298" t="e">
            <v>#N/A</v>
          </cell>
        </row>
        <row r="299">
          <cell r="D299" t="e">
            <v>#N/A</v>
          </cell>
        </row>
        <row r="300">
          <cell r="D300" t="e">
            <v>#N/A</v>
          </cell>
        </row>
        <row r="301">
          <cell r="D301" t="e">
            <v>#N/A</v>
          </cell>
        </row>
        <row r="302">
          <cell r="D302" t="e">
            <v>#N/A</v>
          </cell>
        </row>
        <row r="303">
          <cell r="D303" t="e">
            <v>#N/A</v>
          </cell>
        </row>
        <row r="304">
          <cell r="D304" t="e">
            <v>#N/A</v>
          </cell>
        </row>
        <row r="305">
          <cell r="D305" t="e">
            <v>#N/A</v>
          </cell>
        </row>
        <row r="306">
          <cell r="D306" t="e">
            <v>#N/A</v>
          </cell>
        </row>
        <row r="307">
          <cell r="D307" t="e">
            <v>#N/A</v>
          </cell>
        </row>
        <row r="308">
          <cell r="D308" t="e">
            <v>#N/A</v>
          </cell>
        </row>
        <row r="309">
          <cell r="D309" t="e">
            <v>#N/A</v>
          </cell>
        </row>
        <row r="310">
          <cell r="D310" t="e">
            <v>#N/A</v>
          </cell>
        </row>
        <row r="311">
          <cell r="D311" t="e">
            <v>#N/A</v>
          </cell>
        </row>
        <row r="312">
          <cell r="D312" t="e">
            <v>#N/A</v>
          </cell>
        </row>
        <row r="313">
          <cell r="D313" t="e">
            <v>#N/A</v>
          </cell>
        </row>
        <row r="314">
          <cell r="D314" t="e">
            <v>#N/A</v>
          </cell>
        </row>
        <row r="315">
          <cell r="D315" t="e">
            <v>#N/A</v>
          </cell>
        </row>
        <row r="316">
          <cell r="D316" t="e">
            <v>#N/A</v>
          </cell>
        </row>
        <row r="317">
          <cell r="D317" t="e">
            <v>#N/A</v>
          </cell>
        </row>
        <row r="318">
          <cell r="D318" t="e">
            <v>#N/A</v>
          </cell>
        </row>
        <row r="319">
          <cell r="D319" t="e">
            <v>#N/A</v>
          </cell>
        </row>
        <row r="320">
          <cell r="D320" t="e">
            <v>#N/A</v>
          </cell>
        </row>
        <row r="321">
          <cell r="D321" t="e">
            <v>#N/A</v>
          </cell>
        </row>
        <row r="322">
          <cell r="D322" t="e">
            <v>#N/A</v>
          </cell>
        </row>
        <row r="323">
          <cell r="D323" t="e">
            <v>#N/A</v>
          </cell>
        </row>
        <row r="324">
          <cell r="D324" t="e">
            <v>#N/A</v>
          </cell>
        </row>
        <row r="325">
          <cell r="D325" t="e">
            <v>#N/A</v>
          </cell>
        </row>
        <row r="326">
          <cell r="D326" t="e">
            <v>#N/A</v>
          </cell>
        </row>
        <row r="327">
          <cell r="D327" t="e">
            <v>#N/A</v>
          </cell>
        </row>
        <row r="328">
          <cell r="D328" t="e">
            <v>#N/A</v>
          </cell>
        </row>
        <row r="329">
          <cell r="D329" t="e">
            <v>#N/A</v>
          </cell>
        </row>
        <row r="330">
          <cell r="D330" t="e">
            <v>#N/A</v>
          </cell>
        </row>
        <row r="331">
          <cell r="D331" t="e">
            <v>#N/A</v>
          </cell>
        </row>
        <row r="332">
          <cell r="D332" t="e">
            <v>#N/A</v>
          </cell>
        </row>
        <row r="333">
          <cell r="D333" t="e">
            <v>#N/A</v>
          </cell>
        </row>
        <row r="334">
          <cell r="D334" t="e">
            <v>#N/A</v>
          </cell>
        </row>
        <row r="335">
          <cell r="D335" t="e">
            <v>#N/A</v>
          </cell>
        </row>
        <row r="336">
          <cell r="D336" t="e">
            <v>#N/A</v>
          </cell>
        </row>
        <row r="337">
          <cell r="D337" t="e">
            <v>#N/A</v>
          </cell>
        </row>
        <row r="338">
          <cell r="D338" t="e">
            <v>#N/A</v>
          </cell>
        </row>
        <row r="339">
          <cell r="D339" t="e">
            <v>#N/A</v>
          </cell>
        </row>
        <row r="340">
          <cell r="D340" t="e">
            <v>#N/A</v>
          </cell>
        </row>
        <row r="341">
          <cell r="D341" t="e">
            <v>#N/A</v>
          </cell>
        </row>
        <row r="342">
          <cell r="D342" t="e">
            <v>#N/A</v>
          </cell>
        </row>
        <row r="343">
          <cell r="D343" t="e">
            <v>#N/A</v>
          </cell>
        </row>
        <row r="344">
          <cell r="D344" t="e">
            <v>#N/A</v>
          </cell>
        </row>
        <row r="345">
          <cell r="D345" t="e">
            <v>#N/A</v>
          </cell>
        </row>
        <row r="346">
          <cell r="D346" t="e">
            <v>#N/A</v>
          </cell>
        </row>
        <row r="347">
          <cell r="D347" t="e">
            <v>#N/A</v>
          </cell>
        </row>
        <row r="348">
          <cell r="D348" t="e">
            <v>#N/A</v>
          </cell>
        </row>
        <row r="349">
          <cell r="D349" t="e">
            <v>#N/A</v>
          </cell>
        </row>
        <row r="350">
          <cell r="D350" t="e">
            <v>#N/A</v>
          </cell>
        </row>
        <row r="351">
          <cell r="D351" t="e">
            <v>#N/A</v>
          </cell>
        </row>
        <row r="352">
          <cell r="D352" t="e">
            <v>#N/A</v>
          </cell>
        </row>
        <row r="353">
          <cell r="D353" t="e">
            <v>#N/A</v>
          </cell>
        </row>
        <row r="354">
          <cell r="D354" t="e">
            <v>#N/A</v>
          </cell>
        </row>
        <row r="355">
          <cell r="D355" t="e">
            <v>#N/A</v>
          </cell>
        </row>
        <row r="356">
          <cell r="D356" t="e">
            <v>#N/A</v>
          </cell>
        </row>
        <row r="357">
          <cell r="D357" t="e">
            <v>#N/A</v>
          </cell>
        </row>
        <row r="358">
          <cell r="D358" t="e">
            <v>#N/A</v>
          </cell>
        </row>
        <row r="359">
          <cell r="D359" t="e">
            <v>#N/A</v>
          </cell>
        </row>
        <row r="360">
          <cell r="D360" t="e">
            <v>#N/A</v>
          </cell>
        </row>
        <row r="361">
          <cell r="D361" t="e">
            <v>#N/A</v>
          </cell>
        </row>
        <row r="362">
          <cell r="D362" t="e">
            <v>#N/A</v>
          </cell>
        </row>
        <row r="363">
          <cell r="D363" t="e">
            <v>#N/A</v>
          </cell>
        </row>
        <row r="364">
          <cell r="D364" t="e">
            <v>#N/A</v>
          </cell>
        </row>
        <row r="365">
          <cell r="D365" t="e">
            <v>#N/A</v>
          </cell>
        </row>
        <row r="366">
          <cell r="D366" t="e">
            <v>#N/A</v>
          </cell>
        </row>
        <row r="367">
          <cell r="D367" t="e">
            <v>#N/A</v>
          </cell>
        </row>
        <row r="368">
          <cell r="D368" t="e">
            <v>#N/A</v>
          </cell>
        </row>
        <row r="369">
          <cell r="D369" t="e">
            <v>#N/A</v>
          </cell>
        </row>
        <row r="370">
          <cell r="D370" t="e">
            <v>#N/A</v>
          </cell>
        </row>
        <row r="371">
          <cell r="D371" t="e">
            <v>#N/A</v>
          </cell>
        </row>
        <row r="372">
          <cell r="D372" t="e">
            <v>#N/A</v>
          </cell>
        </row>
        <row r="373">
          <cell r="D373" t="e">
            <v>#N/A</v>
          </cell>
        </row>
        <row r="374">
          <cell r="D374" t="e">
            <v>#N/A</v>
          </cell>
        </row>
        <row r="375">
          <cell r="D375" t="e">
            <v>#N/A</v>
          </cell>
        </row>
        <row r="376">
          <cell r="D376" t="e">
            <v>#N/A</v>
          </cell>
        </row>
        <row r="377">
          <cell r="D377" t="e">
            <v>#N/A</v>
          </cell>
        </row>
        <row r="378">
          <cell r="D378" t="e">
            <v>#N/A</v>
          </cell>
        </row>
        <row r="379">
          <cell r="D379" t="e">
            <v>#N/A</v>
          </cell>
        </row>
        <row r="380">
          <cell r="D380" t="e">
            <v>#N/A</v>
          </cell>
        </row>
        <row r="381">
          <cell r="D381" t="e">
            <v>#N/A</v>
          </cell>
        </row>
        <row r="382">
          <cell r="D382" t="e">
            <v>#N/A</v>
          </cell>
        </row>
        <row r="383">
          <cell r="D383" t="e">
            <v>#N/A</v>
          </cell>
        </row>
        <row r="384">
          <cell r="D384" t="e">
            <v>#N/A</v>
          </cell>
        </row>
        <row r="385">
          <cell r="D385" t="e">
            <v>#N/A</v>
          </cell>
        </row>
        <row r="386">
          <cell r="D386" t="e">
            <v>#N/A</v>
          </cell>
        </row>
        <row r="387">
          <cell r="D387" t="e">
            <v>#N/A</v>
          </cell>
        </row>
        <row r="388">
          <cell r="D388" t="e">
            <v>#N/A</v>
          </cell>
        </row>
        <row r="389">
          <cell r="D389" t="e">
            <v>#N/A</v>
          </cell>
        </row>
        <row r="390">
          <cell r="D390" t="e">
            <v>#N/A</v>
          </cell>
        </row>
        <row r="391">
          <cell r="D391" t="e">
            <v>#N/A</v>
          </cell>
        </row>
        <row r="392">
          <cell r="D392" t="e">
            <v>#N/A</v>
          </cell>
        </row>
        <row r="393">
          <cell r="D393" t="e">
            <v>#N/A</v>
          </cell>
        </row>
        <row r="394">
          <cell r="D394" t="e">
            <v>#N/A</v>
          </cell>
        </row>
        <row r="395">
          <cell r="D395" t="e">
            <v>#N/A</v>
          </cell>
        </row>
        <row r="396">
          <cell r="D396" t="e">
            <v>#N/A</v>
          </cell>
        </row>
        <row r="397">
          <cell r="D397" t="e">
            <v>#N/A</v>
          </cell>
        </row>
        <row r="398">
          <cell r="D398" t="e">
            <v>#N/A</v>
          </cell>
        </row>
        <row r="399">
          <cell r="D399" t="e">
            <v>#N/A</v>
          </cell>
        </row>
        <row r="400">
          <cell r="D400" t="e">
            <v>#N/A</v>
          </cell>
        </row>
      </sheetData>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image" Target="../media/image1.png"/><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creativecommons.org/licenses/by-nc-sa/4.0/"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3.vml"/><Relationship Id="rId7" Type="http://schemas.openxmlformats.org/officeDocument/2006/relationships/ctrlProp" Target="../ctrlProps/ctrlProp3.xml"/><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omments" Target="../comments3.xml"/><Relationship Id="rId10" Type="http://schemas.openxmlformats.org/officeDocument/2006/relationships/ctrlProp" Target="../ctrlProps/ctrlProp6.xml"/><Relationship Id="rId4" Type="http://schemas.openxmlformats.org/officeDocument/2006/relationships/image" Target="../media/image6.png"/><Relationship Id="rId9"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image" Target="../media/image6.png"/><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creativecommons.org/licences/by-nc-sa/4.0/deed.fr" TargetMode="External"/><Relationship Id="rId6" Type="http://schemas.openxmlformats.org/officeDocument/2006/relationships/ctrlProp" Target="../ctrlProps/ctrlProp8.xm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omments" Target="../comments6.xml"/><Relationship Id="rId7" Type="http://schemas.openxmlformats.org/officeDocument/2006/relationships/ctrlProp" Target="../ctrlProps/ctrlProp12.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Feuil4"/>
  <dimension ref="A1:BV227"/>
  <sheetViews>
    <sheetView topLeftCell="A166" workbookViewId="0">
      <selection activeCell="U38" sqref="U38"/>
    </sheetView>
  </sheetViews>
  <sheetFormatPr baseColWidth="10" defaultColWidth="11.5703125" defaultRowHeight="15"/>
  <cols>
    <col min="1" max="1" width="16.42578125" style="39" customWidth="1"/>
    <col min="2" max="2" width="9.140625" style="39" customWidth="1"/>
    <col min="3" max="3" width="10.85546875" style="39" customWidth="1"/>
    <col min="4" max="4" width="12" style="39" customWidth="1"/>
    <col min="5" max="12" width="9.140625" style="39" customWidth="1"/>
    <col min="13" max="13" width="10.28515625" style="39" customWidth="1"/>
    <col min="14" max="14" width="4.7109375" style="39" customWidth="1"/>
    <col min="15" max="17" width="9.140625" style="39" customWidth="1"/>
    <col min="18" max="18" width="4" style="39" bestFit="1" customWidth="1"/>
    <col min="19" max="20" width="4" style="39" customWidth="1"/>
    <col min="21" max="21" width="12.7109375" style="39" bestFit="1" customWidth="1"/>
    <col min="22" max="22" width="2.7109375" style="39" customWidth="1"/>
    <col min="23" max="23" width="13.28515625" style="39" bestFit="1" customWidth="1"/>
    <col min="24" max="24" width="5.28515625" style="39" customWidth="1"/>
    <col min="25" max="25" width="4.85546875" style="39" customWidth="1"/>
    <col min="26" max="27" width="9" style="39" customWidth="1"/>
    <col min="28" max="28" width="4.7109375" style="39" customWidth="1"/>
    <col min="29" max="30" width="11.5703125" style="40" customWidth="1"/>
    <col min="31" max="31" width="4.7109375" style="39" customWidth="1"/>
    <col min="32" max="32" width="7.42578125" style="39" bestFit="1" customWidth="1"/>
    <col min="33" max="33" width="8.28515625" style="39" bestFit="1" customWidth="1"/>
    <col min="34" max="42" width="7.42578125" style="39" bestFit="1" customWidth="1"/>
    <col min="43" max="43" width="4.7109375" style="39" customWidth="1"/>
    <col min="44" max="44" width="12.5703125" style="39" bestFit="1" customWidth="1"/>
    <col min="45" max="46" width="4.7109375" style="39" customWidth="1"/>
    <col min="47" max="47" width="5.7109375" style="39" bestFit="1" customWidth="1"/>
    <col min="48" max="56" width="4.7109375" style="39" customWidth="1"/>
    <col min="57" max="16384" width="11.5703125" style="39"/>
  </cols>
  <sheetData>
    <row r="1" spans="1:56" s="38" customFormat="1" ht="12.75">
      <c r="A1" s="236"/>
      <c r="B1" s="580" t="s">
        <v>156</v>
      </c>
      <c r="C1" s="580"/>
      <c r="D1" s="580"/>
      <c r="E1" s="580"/>
      <c r="F1" s="580"/>
      <c r="G1" s="580"/>
      <c r="H1" s="580"/>
      <c r="I1" s="580"/>
      <c r="J1" s="580"/>
      <c r="K1" s="580"/>
      <c r="L1" s="580"/>
      <c r="M1" s="580"/>
      <c r="N1" s="580"/>
      <c r="O1" s="580"/>
      <c r="P1" s="580"/>
      <c r="Q1" s="580"/>
      <c r="R1" s="236"/>
      <c r="S1" s="236"/>
      <c r="T1" s="236"/>
      <c r="U1" s="297" t="s">
        <v>182</v>
      </c>
      <c r="V1" s="236"/>
      <c r="W1" s="237" t="s">
        <v>20</v>
      </c>
      <c r="X1" s="236"/>
      <c r="Y1" s="236"/>
      <c r="Z1" s="579" t="s">
        <v>138</v>
      </c>
      <c r="AA1" s="579"/>
      <c r="AB1" s="236"/>
      <c r="AE1" s="236"/>
      <c r="AF1" s="566" t="s">
        <v>323</v>
      </c>
      <c r="AG1" s="566"/>
      <c r="AH1" s="566"/>
      <c r="AI1" s="566"/>
      <c r="AJ1" s="566"/>
      <c r="AK1" s="566"/>
      <c r="AL1" s="566"/>
      <c r="AM1" s="566"/>
      <c r="AN1" s="566"/>
      <c r="AO1" s="566"/>
      <c r="AP1" s="566"/>
      <c r="AT1" s="566" t="s">
        <v>439</v>
      </c>
      <c r="AU1" s="566"/>
      <c r="AV1" s="566"/>
      <c r="AW1" s="566"/>
      <c r="AX1" s="566"/>
      <c r="AY1" s="566"/>
      <c r="AZ1" s="566"/>
      <c r="BA1" s="566"/>
      <c r="BB1" s="566"/>
      <c r="BC1" s="566"/>
      <c r="BD1" s="566"/>
    </row>
    <row r="2" spans="1:56" s="37" customFormat="1" ht="11.25">
      <c r="A2" s="237" t="s">
        <v>68</v>
      </c>
      <c r="B2" s="238" t="s">
        <v>157</v>
      </c>
      <c r="C2" s="238" t="s">
        <v>61</v>
      </c>
      <c r="D2" s="238" t="s">
        <v>10</v>
      </c>
      <c r="E2" s="238" t="s">
        <v>158</v>
      </c>
      <c r="F2" s="238" t="s">
        <v>159</v>
      </c>
      <c r="G2" s="239" t="s">
        <v>55</v>
      </c>
      <c r="H2" s="238" t="s">
        <v>59</v>
      </c>
      <c r="I2" s="240" t="s">
        <v>160</v>
      </c>
      <c r="J2" s="238" t="s">
        <v>161</v>
      </c>
      <c r="K2" s="238" t="s">
        <v>162</v>
      </c>
      <c r="L2" s="238" t="s">
        <v>163</v>
      </c>
      <c r="M2" s="241" t="s">
        <v>324</v>
      </c>
      <c r="N2" s="238"/>
      <c r="O2" s="238" t="s">
        <v>164</v>
      </c>
      <c r="P2" s="240" t="s">
        <v>322</v>
      </c>
      <c r="Q2" s="238" t="s">
        <v>165</v>
      </c>
      <c r="R2" s="236"/>
      <c r="S2" s="236"/>
      <c r="T2" s="294"/>
      <c r="U2" s="298" t="s">
        <v>239</v>
      </c>
      <c r="V2" s="236"/>
      <c r="W2" s="243" t="s">
        <v>48</v>
      </c>
      <c r="X2" s="236"/>
      <c r="Y2" s="236"/>
      <c r="Z2" s="299" t="s">
        <v>137</v>
      </c>
      <c r="AA2" s="299" t="s">
        <v>136</v>
      </c>
      <c r="AB2" s="236"/>
      <c r="AC2" s="301"/>
      <c r="AD2" s="303" t="s">
        <v>338</v>
      </c>
      <c r="AE2" s="236"/>
      <c r="AF2" s="242" t="s">
        <v>34</v>
      </c>
      <c r="AG2" s="242" t="s">
        <v>15</v>
      </c>
      <c r="AH2" s="242" t="s">
        <v>21</v>
      </c>
      <c r="AI2" s="242" t="s">
        <v>18</v>
      </c>
      <c r="AJ2" s="242" t="s">
        <v>201</v>
      </c>
      <c r="AK2" s="242" t="s">
        <v>200</v>
      </c>
      <c r="AL2" s="242" t="s">
        <v>199</v>
      </c>
      <c r="AM2" s="242" t="s">
        <v>11</v>
      </c>
      <c r="AN2" s="242" t="s">
        <v>14</v>
      </c>
      <c r="AO2" s="242" t="s">
        <v>198</v>
      </c>
      <c r="AP2" s="242" t="s">
        <v>197</v>
      </c>
      <c r="AR2" s="237" t="s">
        <v>128</v>
      </c>
      <c r="AT2" s="242" t="s">
        <v>34</v>
      </c>
      <c r="AU2" s="242" t="s">
        <v>15</v>
      </c>
      <c r="AV2" s="242" t="s">
        <v>21</v>
      </c>
      <c r="AW2" s="242" t="s">
        <v>18</v>
      </c>
      <c r="AX2" s="242" t="s">
        <v>201</v>
      </c>
      <c r="AY2" s="242" t="s">
        <v>200</v>
      </c>
      <c r="AZ2" s="242" t="s">
        <v>199</v>
      </c>
      <c r="BA2" s="242" t="s">
        <v>11</v>
      </c>
      <c r="BB2" s="242" t="s">
        <v>14</v>
      </c>
      <c r="BC2" s="242" t="s">
        <v>198</v>
      </c>
      <c r="BD2" s="242" t="s">
        <v>197</v>
      </c>
    </row>
    <row r="3" spans="1:56">
      <c r="A3" s="243" t="s">
        <v>125</v>
      </c>
      <c r="B3" s="244" t="s">
        <v>166</v>
      </c>
      <c r="C3" s="245" t="s">
        <v>167</v>
      </c>
      <c r="D3" s="245" t="s">
        <v>129</v>
      </c>
      <c r="E3" s="245" t="s">
        <v>151</v>
      </c>
      <c r="F3" s="246" t="s">
        <v>129</v>
      </c>
      <c r="G3" s="246">
        <v>4.3250000000000002</v>
      </c>
      <c r="H3" s="245">
        <v>71</v>
      </c>
      <c r="I3" s="246">
        <f>H3*G3</f>
        <v>307.07499999999999</v>
      </c>
      <c r="J3" s="245">
        <v>13</v>
      </c>
      <c r="K3" s="245">
        <v>8</v>
      </c>
      <c r="L3" s="245">
        <v>9</v>
      </c>
      <c r="M3" s="246">
        <v>226.29</v>
      </c>
      <c r="N3" s="245"/>
      <c r="O3" s="245">
        <v>9</v>
      </c>
      <c r="P3" s="244">
        <v>21</v>
      </c>
      <c r="Q3" s="245" t="s">
        <v>166</v>
      </c>
      <c r="R3" s="219"/>
      <c r="S3" s="219"/>
      <c r="T3" s="295"/>
      <c r="U3" s="437">
        <v>65.967565947562903</v>
      </c>
      <c r="V3" s="438"/>
      <c r="W3" s="436">
        <v>149.55574995462501</v>
      </c>
      <c r="X3" s="247"/>
      <c r="Y3" s="247"/>
      <c r="Z3" s="435">
        <v>0.875</v>
      </c>
      <c r="AA3" s="435">
        <v>0.76086956521739135</v>
      </c>
      <c r="AB3" s="247"/>
      <c r="AC3" s="302"/>
      <c r="AD3" s="304">
        <v>7.3699999999999998E-3</v>
      </c>
      <c r="AE3" s="247"/>
      <c r="AF3" s="440">
        <v>28.485932300000002</v>
      </c>
      <c r="AG3" s="440">
        <v>54.4018011</v>
      </c>
      <c r="AH3" s="440">
        <v>18.113814999999999</v>
      </c>
      <c r="AI3" s="440">
        <v>19.507185400000001</v>
      </c>
      <c r="AJ3" s="440">
        <v>18.822836899999999</v>
      </c>
      <c r="AK3" s="440">
        <v>22.878095699999999</v>
      </c>
      <c r="AL3" s="440">
        <v>16.152153599999998</v>
      </c>
      <c r="AM3" s="440">
        <v>37.124533499999998</v>
      </c>
      <c r="AN3" s="440">
        <v>43.9258758</v>
      </c>
      <c r="AO3" s="440">
        <v>25.8787576</v>
      </c>
      <c r="AP3" s="440">
        <v>19.477680100000001</v>
      </c>
      <c r="AQ3" s="47"/>
      <c r="AR3" s="242" t="s">
        <v>125</v>
      </c>
      <c r="AS3" s="47"/>
      <c r="AT3" s="351">
        <v>28.36</v>
      </c>
      <c r="AU3" s="351">
        <v>50.05</v>
      </c>
      <c r="AV3" s="351">
        <v>20.16</v>
      </c>
      <c r="AW3" s="351">
        <v>21.2</v>
      </c>
      <c r="AX3" s="351">
        <v>20.95</v>
      </c>
      <c r="AY3" s="351">
        <v>24.11</v>
      </c>
      <c r="AZ3" s="351">
        <v>18.28</v>
      </c>
      <c r="BA3" s="351">
        <v>35.53</v>
      </c>
      <c r="BB3" s="351">
        <v>41.42</v>
      </c>
      <c r="BC3" s="351">
        <v>26.86</v>
      </c>
      <c r="BD3" s="351">
        <v>21.23</v>
      </c>
    </row>
    <row r="4" spans="1:56" ht="12" customHeight="1">
      <c r="A4" s="243" t="s">
        <v>313</v>
      </c>
      <c r="B4" s="245" t="s">
        <v>168</v>
      </c>
      <c r="C4" s="245" t="s">
        <v>169</v>
      </c>
      <c r="D4" s="245" t="s">
        <v>129</v>
      </c>
      <c r="E4" s="245" t="s">
        <v>134</v>
      </c>
      <c r="F4" s="246" t="s">
        <v>129</v>
      </c>
      <c r="G4" s="246">
        <v>3.78</v>
      </c>
      <c r="H4" s="245">
        <v>79</v>
      </c>
      <c r="I4" s="246">
        <f t="shared" ref="I4:I66" si="0">H4*G4</f>
        <v>298.62</v>
      </c>
      <c r="J4" s="245">
        <v>8</v>
      </c>
      <c r="K4" s="245">
        <v>9</v>
      </c>
      <c r="L4" s="245">
        <v>10</v>
      </c>
      <c r="M4" s="246">
        <v>190.87</v>
      </c>
      <c r="N4" s="245"/>
      <c r="O4" s="245">
        <v>12</v>
      </c>
      <c r="P4" s="244">
        <v>19.5</v>
      </c>
      <c r="Q4" s="245" t="s">
        <v>166</v>
      </c>
      <c r="R4" s="219"/>
      <c r="S4" s="219"/>
      <c r="T4" s="295"/>
      <c r="U4" s="437">
        <v>67.936248358302777</v>
      </c>
      <c r="V4" s="438"/>
      <c r="W4" s="436">
        <v>80.521742203387191</v>
      </c>
      <c r="X4" s="247"/>
      <c r="Y4" s="247"/>
      <c r="Z4" s="435">
        <v>0.8066436509778695</v>
      </c>
      <c r="AA4" s="435">
        <v>0.70142926171988662</v>
      </c>
      <c r="AB4" s="247"/>
      <c r="AC4" s="302"/>
      <c r="AD4" s="304">
        <v>8.0300000000000007E-3</v>
      </c>
      <c r="AE4" s="247"/>
      <c r="AF4" s="440">
        <v>37.328327878488714</v>
      </c>
      <c r="AG4" s="440">
        <v>21.291601056544103</v>
      </c>
      <c r="AH4" s="440">
        <v>38.994132380489127</v>
      </c>
      <c r="AI4" s="440">
        <v>45.616438721089722</v>
      </c>
      <c r="AJ4" s="440">
        <v>41.207090825598527</v>
      </c>
      <c r="AK4" s="440">
        <v>27.068150324648954</v>
      </c>
      <c r="AL4" s="440">
        <v>30.258857628013928</v>
      </c>
      <c r="AM4" s="440">
        <v>29.653992289388832</v>
      </c>
      <c r="AN4" s="440">
        <v>24.728091795536329</v>
      </c>
      <c r="AO4" s="440">
        <v>17.590348368498411</v>
      </c>
      <c r="AP4" s="440">
        <v>22.730882626473466</v>
      </c>
      <c r="AQ4" s="47"/>
      <c r="AR4" s="242" t="s">
        <v>124</v>
      </c>
      <c r="AS4" s="47"/>
      <c r="AT4" s="352">
        <v>37.700000000000003</v>
      </c>
      <c r="AU4" s="352">
        <v>19.2</v>
      </c>
      <c r="AV4" s="352">
        <v>39.869999999999997</v>
      </c>
      <c r="AW4" s="352">
        <v>46.94</v>
      </c>
      <c r="AX4" s="352">
        <v>42.56</v>
      </c>
      <c r="AY4" s="352">
        <v>25.7</v>
      </c>
      <c r="AZ4" s="352">
        <v>30</v>
      </c>
      <c r="BA4" s="352">
        <v>29.09</v>
      </c>
      <c r="BB4" s="352">
        <v>23.68</v>
      </c>
      <c r="BC4" s="352">
        <v>14.93</v>
      </c>
      <c r="BD4" s="352">
        <v>21.45</v>
      </c>
    </row>
    <row r="5" spans="1:56">
      <c r="A5" s="243" t="s">
        <v>123</v>
      </c>
      <c r="B5" s="245" t="s">
        <v>170</v>
      </c>
      <c r="C5" s="245" t="s">
        <v>171</v>
      </c>
      <c r="D5" s="245" t="s">
        <v>172</v>
      </c>
      <c r="E5" s="245" t="s">
        <v>129</v>
      </c>
      <c r="F5" s="246" t="s">
        <v>151</v>
      </c>
      <c r="G5" s="246">
        <v>3.04</v>
      </c>
      <c r="H5" s="245">
        <v>80</v>
      </c>
      <c r="I5" s="246">
        <f t="shared" si="0"/>
        <v>243.2</v>
      </c>
      <c r="J5" s="245">
        <v>5</v>
      </c>
      <c r="K5" s="245">
        <v>10</v>
      </c>
      <c r="L5" s="245">
        <v>7</v>
      </c>
      <c r="M5" s="246">
        <v>148.41999999999999</v>
      </c>
      <c r="N5" s="245"/>
      <c r="O5" s="245">
        <v>10</v>
      </c>
      <c r="P5" s="244">
        <v>11.5</v>
      </c>
      <c r="Q5" s="245" t="s">
        <v>171</v>
      </c>
      <c r="R5" s="219"/>
      <c r="S5" s="219"/>
      <c r="T5" s="295"/>
      <c r="U5" s="437">
        <v>57.249092698427809</v>
      </c>
      <c r="V5" s="438"/>
      <c r="W5" s="436">
        <v>251.78961350067013</v>
      </c>
      <c r="X5" s="247"/>
      <c r="Y5" s="247"/>
      <c r="Z5" s="435">
        <v>0.8464947797386293</v>
      </c>
      <c r="AA5" s="435">
        <v>0.73608241716402556</v>
      </c>
      <c r="AB5" s="247"/>
      <c r="AC5" s="302"/>
      <c r="AD5" s="304">
        <v>6.2500000000000003E-3</v>
      </c>
      <c r="AE5" s="247"/>
      <c r="AF5" s="440">
        <v>18.53</v>
      </c>
      <c r="AG5" s="440">
        <v>23.92</v>
      </c>
      <c r="AH5" s="440">
        <v>26.063646408601745</v>
      </c>
      <c r="AI5" s="440">
        <v>25.179925422111278</v>
      </c>
      <c r="AJ5" s="440">
        <v>21.63</v>
      </c>
      <c r="AK5" s="440">
        <v>19.7</v>
      </c>
      <c r="AL5" s="440">
        <v>14.504423971773013</v>
      </c>
      <c r="AM5" s="440">
        <v>23.760089731630504</v>
      </c>
      <c r="AN5" s="440">
        <v>30.082193959225375</v>
      </c>
      <c r="AO5" s="440">
        <v>22.59</v>
      </c>
      <c r="AP5" s="440">
        <v>10.36</v>
      </c>
      <c r="AQ5" s="47"/>
      <c r="AR5" s="242" t="s">
        <v>123</v>
      </c>
      <c r="AS5" s="47"/>
      <c r="AT5" s="352">
        <v>19.010000000000002</v>
      </c>
      <c r="AU5" s="352">
        <v>24.24</v>
      </c>
      <c r="AV5" s="352">
        <v>26.23</v>
      </c>
      <c r="AW5" s="352">
        <v>25.4</v>
      </c>
      <c r="AX5" s="352">
        <v>21.43</v>
      </c>
      <c r="AY5" s="352">
        <v>19.07</v>
      </c>
      <c r="AZ5" s="352">
        <v>15.14</v>
      </c>
      <c r="BA5" s="352">
        <v>23.54</v>
      </c>
      <c r="BB5" s="352">
        <v>30.8</v>
      </c>
      <c r="BC5" s="352">
        <v>21.99</v>
      </c>
      <c r="BD5" s="352">
        <v>11.3</v>
      </c>
    </row>
    <row r="6" spans="1:56">
      <c r="A6" s="243" t="s">
        <v>122</v>
      </c>
      <c r="B6" s="244" t="s">
        <v>166</v>
      </c>
      <c r="C6" s="245" t="s">
        <v>173</v>
      </c>
      <c r="D6" s="245" t="s">
        <v>172</v>
      </c>
      <c r="E6" s="245" t="s">
        <v>151</v>
      </c>
      <c r="F6" s="246" t="s">
        <v>129</v>
      </c>
      <c r="G6" s="246">
        <v>4.0259999999999998</v>
      </c>
      <c r="H6" s="245">
        <v>70</v>
      </c>
      <c r="I6" s="246">
        <f t="shared" si="0"/>
        <v>281.82</v>
      </c>
      <c r="J6" s="245">
        <v>9</v>
      </c>
      <c r="K6" s="245">
        <v>11</v>
      </c>
      <c r="L6" s="245">
        <v>9</v>
      </c>
      <c r="M6" s="246">
        <v>203.49</v>
      </c>
      <c r="N6" s="245"/>
      <c r="O6" s="245">
        <v>10</v>
      </c>
      <c r="P6" s="244">
        <v>13.5</v>
      </c>
      <c r="Q6" s="245" t="s">
        <v>166</v>
      </c>
      <c r="R6" s="219"/>
      <c r="S6" s="219"/>
      <c r="T6" s="295"/>
      <c r="U6" s="437">
        <v>65.724498509957584</v>
      </c>
      <c r="V6" s="438"/>
      <c r="W6" s="436">
        <v>71.602175930239554</v>
      </c>
      <c r="X6" s="247"/>
      <c r="Y6" s="247"/>
      <c r="Z6" s="435">
        <v>0.89489076686005653</v>
      </c>
      <c r="AA6" s="435">
        <v>0.7781658842261362</v>
      </c>
      <c r="AB6" s="247"/>
      <c r="AC6" s="302"/>
      <c r="AD6" s="304">
        <v>7.4609999999999998E-3</v>
      </c>
      <c r="AE6" s="247"/>
      <c r="AF6" s="440">
        <v>24.479845607114246</v>
      </c>
      <c r="AG6" s="440">
        <v>48.162466560282951</v>
      </c>
      <c r="AH6" s="440">
        <v>19.567175084241558</v>
      </c>
      <c r="AI6" s="440">
        <v>18.018294709330263</v>
      </c>
      <c r="AJ6" s="440">
        <v>40.437488352066431</v>
      </c>
      <c r="AK6" s="440">
        <v>26.552693606662483</v>
      </c>
      <c r="AL6" s="440">
        <v>15.10217705997359</v>
      </c>
      <c r="AM6" s="440">
        <v>38.798455628103234</v>
      </c>
      <c r="AN6" s="440">
        <v>50.30000247290355</v>
      </c>
      <c r="AO6" s="440">
        <v>21.11824423516606</v>
      </c>
      <c r="AP6" s="440">
        <v>13.372847462421767</v>
      </c>
      <c r="AQ6" s="47"/>
      <c r="AR6" s="242" t="s">
        <v>122</v>
      </c>
      <c r="AS6" s="47"/>
      <c r="AT6" s="352">
        <v>24.06</v>
      </c>
      <c r="AU6" s="352">
        <v>49.52</v>
      </c>
      <c r="AV6" s="352">
        <v>19.010000000000002</v>
      </c>
      <c r="AW6" s="352">
        <v>17.68</v>
      </c>
      <c r="AX6" s="352">
        <v>41.68</v>
      </c>
      <c r="AY6" s="352">
        <v>26.54</v>
      </c>
      <c r="AZ6" s="352">
        <v>14.5</v>
      </c>
      <c r="BA6" s="352">
        <v>40.33</v>
      </c>
      <c r="BB6" s="352">
        <v>51.84</v>
      </c>
      <c r="BC6" s="352">
        <v>20.75</v>
      </c>
      <c r="BD6" s="352">
        <v>12.06</v>
      </c>
    </row>
    <row r="7" spans="1:56">
      <c r="A7" s="243" t="s">
        <v>127</v>
      </c>
      <c r="B7" s="245" t="s">
        <v>168</v>
      </c>
      <c r="C7" s="245" t="s">
        <v>167</v>
      </c>
      <c r="D7" s="245" t="s">
        <v>174</v>
      </c>
      <c r="E7" s="245" t="s">
        <v>129</v>
      </c>
      <c r="F7" s="246" t="s">
        <v>129</v>
      </c>
      <c r="G7" s="246">
        <v>5.516</v>
      </c>
      <c r="H7" s="245">
        <v>56</v>
      </c>
      <c r="I7" s="246">
        <f t="shared" si="0"/>
        <v>308.89600000000002</v>
      </c>
      <c r="J7" s="245">
        <v>11</v>
      </c>
      <c r="K7" s="245">
        <v>18</v>
      </c>
      <c r="L7" s="245">
        <v>10</v>
      </c>
      <c r="M7" s="246">
        <v>190.27</v>
      </c>
      <c r="N7" s="245"/>
      <c r="O7" s="245">
        <v>20</v>
      </c>
      <c r="P7" s="244">
        <v>17.5</v>
      </c>
      <c r="Q7" s="245" t="s">
        <v>175</v>
      </c>
      <c r="R7" s="219"/>
      <c r="S7" s="219"/>
      <c r="T7" s="295"/>
      <c r="U7" s="437">
        <v>68.697399776561099</v>
      </c>
      <c r="V7" s="438"/>
      <c r="W7" s="436">
        <v>186.52955184386096</v>
      </c>
      <c r="X7" s="247"/>
      <c r="Y7" s="247"/>
      <c r="Z7" s="435">
        <v>0.86484429016992193</v>
      </c>
      <c r="AA7" s="435">
        <v>0.75203851319123649</v>
      </c>
      <c r="AB7" s="247"/>
      <c r="AC7" s="302"/>
      <c r="AD7" s="304">
        <v>2.0650000000000002E-2</v>
      </c>
      <c r="AE7" s="247"/>
      <c r="AF7" s="440">
        <v>17.368863643253853</v>
      </c>
      <c r="AG7" s="440">
        <v>36.042403477390536</v>
      </c>
      <c r="AH7" s="440">
        <v>27.924759519134533</v>
      </c>
      <c r="AI7" s="440">
        <v>27.701524617366488</v>
      </c>
      <c r="AJ7" s="440">
        <v>19.218640956198328</v>
      </c>
      <c r="AK7" s="440">
        <v>18.452267428590808</v>
      </c>
      <c r="AL7" s="440">
        <v>18.903883472686715</v>
      </c>
      <c r="AM7" s="440">
        <v>29.390727154337313</v>
      </c>
      <c r="AN7" s="440">
        <v>34.539641936821667</v>
      </c>
      <c r="AO7" s="440">
        <v>15.833843813821005</v>
      </c>
      <c r="AP7" s="440">
        <v>14.29882398438815</v>
      </c>
      <c r="AQ7" s="47"/>
      <c r="AR7" s="242" t="s">
        <v>127</v>
      </c>
      <c r="AS7" s="47"/>
      <c r="AT7" s="352">
        <v>17.440000000000001</v>
      </c>
      <c r="AU7" s="352">
        <v>36.61</v>
      </c>
      <c r="AV7" s="352">
        <v>28.31</v>
      </c>
      <c r="AW7" s="352">
        <v>28.37</v>
      </c>
      <c r="AX7" s="352">
        <v>19.71</v>
      </c>
      <c r="AY7" s="352">
        <v>18.62</v>
      </c>
      <c r="AZ7" s="352">
        <v>19.18</v>
      </c>
      <c r="BA7" s="352">
        <v>29.87</v>
      </c>
      <c r="BB7" s="352">
        <v>35.69</v>
      </c>
      <c r="BC7" s="352">
        <v>15.27</v>
      </c>
      <c r="BD7" s="352">
        <v>15.17</v>
      </c>
    </row>
    <row r="8" spans="1:56">
      <c r="A8" s="243" t="s">
        <v>121</v>
      </c>
      <c r="B8" s="244" t="s">
        <v>166</v>
      </c>
      <c r="C8" s="245" t="s">
        <v>167</v>
      </c>
      <c r="D8" s="245" t="s">
        <v>174</v>
      </c>
      <c r="E8" s="245" t="s">
        <v>133</v>
      </c>
      <c r="F8" s="246" t="s">
        <v>134</v>
      </c>
      <c r="G8" s="246">
        <v>4.88</v>
      </c>
      <c r="H8" s="245">
        <v>64</v>
      </c>
      <c r="I8" s="246">
        <f t="shared" si="0"/>
        <v>312.32</v>
      </c>
      <c r="J8" s="245">
        <v>22</v>
      </c>
      <c r="K8" s="245">
        <v>3</v>
      </c>
      <c r="L8" s="245">
        <v>9</v>
      </c>
      <c r="M8" s="246">
        <v>303.14999999999998</v>
      </c>
      <c r="N8" s="245"/>
      <c r="O8" s="245">
        <v>4</v>
      </c>
      <c r="P8" s="244">
        <v>23</v>
      </c>
      <c r="Q8" s="245" t="s">
        <v>171</v>
      </c>
      <c r="R8" s="219"/>
      <c r="S8" s="219"/>
      <c r="T8" s="295"/>
      <c r="U8" s="437">
        <v>88.212432120000003</v>
      </c>
      <c r="V8" s="438"/>
      <c r="W8" s="436">
        <v>109.6025655</v>
      </c>
      <c r="X8" s="247"/>
      <c r="Y8" s="247"/>
      <c r="Z8" s="435">
        <v>0.92562999999999995</v>
      </c>
      <c r="AA8" s="435">
        <v>0.78228420105916319</v>
      </c>
      <c r="AB8" s="247"/>
      <c r="AC8" s="302"/>
      <c r="AD8" s="304">
        <v>9.6857142857142992E-3</v>
      </c>
      <c r="AE8" s="247"/>
      <c r="AF8" s="440">
        <v>25</v>
      </c>
      <c r="AG8" s="440">
        <v>80</v>
      </c>
      <c r="AH8" s="440">
        <v>12</v>
      </c>
      <c r="AI8" s="440">
        <v>15</v>
      </c>
      <c r="AJ8" s="440">
        <v>31</v>
      </c>
      <c r="AK8" s="440">
        <v>14</v>
      </c>
      <c r="AL8" s="440">
        <v>15</v>
      </c>
      <c r="AM8" s="440">
        <v>21.5</v>
      </c>
      <c r="AN8" s="440">
        <v>19</v>
      </c>
      <c r="AO8" s="440">
        <v>53</v>
      </c>
      <c r="AP8" s="440">
        <v>17.5</v>
      </c>
      <c r="AQ8" s="47"/>
      <c r="AR8" s="242" t="s">
        <v>121</v>
      </c>
      <c r="AS8" s="47"/>
      <c r="AT8" s="352">
        <v>29.64</v>
      </c>
      <c r="AU8" s="352">
        <v>82.95</v>
      </c>
      <c r="AV8" s="352">
        <v>16.89</v>
      </c>
      <c r="AW8" s="352">
        <v>18.29</v>
      </c>
      <c r="AX8" s="352">
        <v>35.86</v>
      </c>
      <c r="AY8" s="352">
        <v>17.7</v>
      </c>
      <c r="AZ8" s="352">
        <v>19.190000000000001</v>
      </c>
      <c r="BA8" s="352">
        <v>26.28</v>
      </c>
      <c r="BB8" s="352">
        <v>23.16</v>
      </c>
      <c r="BC8" s="352">
        <v>58.77</v>
      </c>
      <c r="BD8" s="352">
        <v>21.23</v>
      </c>
    </row>
    <row r="9" spans="1:56">
      <c r="A9" s="243" t="s">
        <v>309</v>
      </c>
      <c r="B9" s="244" t="s">
        <v>168</v>
      </c>
      <c r="C9" s="245" t="s">
        <v>167</v>
      </c>
      <c r="D9" s="245" t="s">
        <v>174</v>
      </c>
      <c r="E9" s="245" t="s">
        <v>151</v>
      </c>
      <c r="F9" s="246" t="s">
        <v>133</v>
      </c>
      <c r="G9" s="246">
        <v>6.0060000000000002</v>
      </c>
      <c r="H9" s="245">
        <v>51</v>
      </c>
      <c r="I9" s="246">
        <f t="shared" si="0"/>
        <v>306.30600000000004</v>
      </c>
      <c r="J9" s="245">
        <v>18</v>
      </c>
      <c r="K9" s="245">
        <v>8</v>
      </c>
      <c r="L9" s="245">
        <v>16</v>
      </c>
      <c r="M9" s="246">
        <v>306.30599999999998</v>
      </c>
      <c r="N9" s="245"/>
      <c r="O9" s="245">
        <v>20</v>
      </c>
      <c r="P9" s="244">
        <v>17</v>
      </c>
      <c r="Q9" s="245" t="s">
        <v>175</v>
      </c>
      <c r="R9" s="219"/>
      <c r="S9" s="219"/>
      <c r="T9" s="295"/>
      <c r="U9" s="437">
        <v>51.02805</v>
      </c>
      <c r="V9" s="438"/>
      <c r="W9" s="436">
        <v>96.71</v>
      </c>
      <c r="X9" s="247"/>
      <c r="Y9" s="247"/>
      <c r="Z9" s="435">
        <v>0.89344999999999997</v>
      </c>
      <c r="AA9" s="439">
        <v>0</v>
      </c>
      <c r="AB9" s="247"/>
      <c r="AC9" s="302"/>
      <c r="AD9" s="304">
        <v>2.7199999999999998E-2</v>
      </c>
      <c r="AE9" s="247"/>
      <c r="AF9" s="440">
        <v>20.6</v>
      </c>
      <c r="AG9" s="440">
        <v>57.51</v>
      </c>
      <c r="AH9" s="440">
        <v>19.98</v>
      </c>
      <c r="AI9" s="440">
        <v>21.81</v>
      </c>
      <c r="AJ9" s="440">
        <v>18.45</v>
      </c>
      <c r="AK9" s="440">
        <v>23.86</v>
      </c>
      <c r="AL9" s="440">
        <v>17.28</v>
      </c>
      <c r="AM9" s="440">
        <v>26.63</v>
      </c>
      <c r="AN9" s="440">
        <v>46.2</v>
      </c>
      <c r="AO9" s="440">
        <v>18.920000000000002</v>
      </c>
      <c r="AP9" s="440">
        <v>14.28</v>
      </c>
      <c r="AQ9" s="47"/>
      <c r="AR9" s="242" t="s">
        <v>309</v>
      </c>
      <c r="AS9" s="47"/>
      <c r="AT9" s="352">
        <v>20.6</v>
      </c>
      <c r="AU9" s="352">
        <v>57.51</v>
      </c>
      <c r="AV9" s="352">
        <v>19.98</v>
      </c>
      <c r="AW9" s="352">
        <v>21.81</v>
      </c>
      <c r="AX9" s="352">
        <v>18.45</v>
      </c>
      <c r="AY9" s="352">
        <v>23.86</v>
      </c>
      <c r="AZ9" s="352">
        <v>17.28</v>
      </c>
      <c r="BA9" s="352">
        <v>26.63</v>
      </c>
      <c r="BB9" s="352">
        <v>46.2</v>
      </c>
      <c r="BC9" s="352">
        <v>18.920000000000002</v>
      </c>
      <c r="BD9" s="352">
        <v>14.28</v>
      </c>
    </row>
    <row r="10" spans="1:56">
      <c r="A10" s="243" t="s">
        <v>120</v>
      </c>
      <c r="B10" s="245" t="s">
        <v>168</v>
      </c>
      <c r="C10" s="245" t="s">
        <v>169</v>
      </c>
      <c r="D10" s="245" t="s">
        <v>172</v>
      </c>
      <c r="E10" s="245" t="s">
        <v>151</v>
      </c>
      <c r="F10" s="246" t="s">
        <v>129</v>
      </c>
      <c r="G10" s="246">
        <v>4.7279999999999998</v>
      </c>
      <c r="H10" s="245">
        <v>65</v>
      </c>
      <c r="I10" s="246">
        <f t="shared" si="0"/>
        <v>307.32</v>
      </c>
      <c r="J10" s="245">
        <v>11</v>
      </c>
      <c r="K10" s="245">
        <v>13</v>
      </c>
      <c r="L10" s="245">
        <v>8</v>
      </c>
      <c r="M10" s="246">
        <v>217.02</v>
      </c>
      <c r="N10" s="245"/>
      <c r="O10" s="245">
        <v>16</v>
      </c>
      <c r="P10" s="244">
        <v>21</v>
      </c>
      <c r="Q10" s="245" t="s">
        <v>166</v>
      </c>
      <c r="R10" s="219"/>
      <c r="S10" s="219"/>
      <c r="T10" s="295"/>
      <c r="U10" s="437">
        <v>72.397308837321546</v>
      </c>
      <c r="V10" s="438"/>
      <c r="W10" s="436">
        <v>142.24591002505551</v>
      </c>
      <c r="X10" s="247"/>
      <c r="Y10" s="247"/>
      <c r="Z10" s="435">
        <v>0.86661547973711117</v>
      </c>
      <c r="AA10" s="435">
        <v>0.75357867803227063</v>
      </c>
      <c r="AB10" s="247"/>
      <c r="AC10" s="302"/>
      <c r="AD10" s="304">
        <v>1.286E-2</v>
      </c>
      <c r="AE10" s="247"/>
      <c r="AF10" s="440">
        <v>26.264023544667047</v>
      </c>
      <c r="AG10" s="440">
        <v>60.712349781201468</v>
      </c>
      <c r="AH10" s="440">
        <v>45.292079533234855</v>
      </c>
      <c r="AI10" s="440">
        <v>54.058288475151279</v>
      </c>
      <c r="AJ10" s="440">
        <v>33</v>
      </c>
      <c r="AK10" s="440">
        <v>27.79</v>
      </c>
      <c r="AL10" s="440">
        <v>22.767131167950552</v>
      </c>
      <c r="AM10" s="440">
        <v>36.427409868720879</v>
      </c>
      <c r="AN10" s="440">
        <v>54.37</v>
      </c>
      <c r="AO10" s="440">
        <v>43.02</v>
      </c>
      <c r="AP10" s="440">
        <v>20.454487531138323</v>
      </c>
      <c r="AQ10" s="47"/>
      <c r="AR10" s="242" t="s">
        <v>120</v>
      </c>
      <c r="AS10" s="47"/>
      <c r="AT10" s="352">
        <v>26.34</v>
      </c>
      <c r="AU10" s="352">
        <v>56.33</v>
      </c>
      <c r="AV10" s="352">
        <v>42.82</v>
      </c>
      <c r="AW10" s="352">
        <v>50.24</v>
      </c>
      <c r="AX10" s="352">
        <v>32.36</v>
      </c>
      <c r="AY10" s="352">
        <v>23.23</v>
      </c>
      <c r="AZ10" s="352">
        <v>22.65</v>
      </c>
      <c r="BA10" s="352">
        <v>34.65</v>
      </c>
      <c r="BB10" s="352">
        <v>51.35</v>
      </c>
      <c r="BC10" s="352">
        <v>40.25</v>
      </c>
      <c r="BD10" s="352">
        <v>19.98</v>
      </c>
    </row>
    <row r="11" spans="1:56">
      <c r="A11" s="243" t="s">
        <v>119</v>
      </c>
      <c r="B11" s="245" t="s">
        <v>168</v>
      </c>
      <c r="C11" s="245" t="s">
        <v>171</v>
      </c>
      <c r="D11" s="245" t="s">
        <v>129</v>
      </c>
      <c r="E11" s="245" t="s">
        <v>134</v>
      </c>
      <c r="F11" s="246" t="s">
        <v>134</v>
      </c>
      <c r="G11" s="246">
        <v>4.2069999999999999</v>
      </c>
      <c r="H11" s="245">
        <v>75</v>
      </c>
      <c r="I11" s="246">
        <f t="shared" si="0"/>
        <v>315.52499999999998</v>
      </c>
      <c r="J11" s="245">
        <v>10</v>
      </c>
      <c r="K11" s="245">
        <v>12</v>
      </c>
      <c r="L11" s="245">
        <v>8</v>
      </c>
      <c r="M11" s="246">
        <v>211.02</v>
      </c>
      <c r="N11" s="245"/>
      <c r="O11" s="245">
        <v>12</v>
      </c>
      <c r="P11" s="244">
        <v>25.5</v>
      </c>
      <c r="Q11" s="245" t="s">
        <v>171</v>
      </c>
      <c r="R11" s="219"/>
      <c r="S11" s="219"/>
      <c r="T11" s="295"/>
      <c r="U11" s="437">
        <v>78.511415496222455</v>
      </c>
      <c r="V11" s="438"/>
      <c r="W11" s="436">
        <v>122.24974829615333</v>
      </c>
      <c r="X11" s="247"/>
      <c r="Y11" s="247"/>
      <c r="Z11" s="435">
        <v>0.82434487200224238</v>
      </c>
      <c r="AA11" s="435">
        <v>0.71682162782803693</v>
      </c>
      <c r="AB11" s="247"/>
      <c r="AC11" s="302"/>
      <c r="AD11" s="304">
        <v>7.7499999999999999E-3</v>
      </c>
      <c r="AE11" s="247"/>
      <c r="AF11" s="440">
        <v>10.62</v>
      </c>
      <c r="AG11" s="440">
        <v>31.6890737358124</v>
      </c>
      <c r="AH11" s="440">
        <v>20.0939392570466</v>
      </c>
      <c r="AI11" s="440">
        <v>24.8523134792012</v>
      </c>
      <c r="AJ11" s="440">
        <v>27.812260073824799</v>
      </c>
      <c r="AK11" s="440">
        <v>15.596959690977201</v>
      </c>
      <c r="AL11" s="440">
        <v>12.1010562583447</v>
      </c>
      <c r="AM11" s="440">
        <v>21.253183534672502</v>
      </c>
      <c r="AN11" s="440">
        <v>38.538664124981103</v>
      </c>
      <c r="AO11" s="440">
        <v>37.952202668722599</v>
      </c>
      <c r="AP11" s="440">
        <v>19.7541793907262</v>
      </c>
      <c r="AQ11" s="47"/>
      <c r="AR11" s="242" t="s">
        <v>119</v>
      </c>
      <c r="AS11" s="47"/>
      <c r="AT11" s="352">
        <v>11.23</v>
      </c>
      <c r="AU11" s="352">
        <v>31.31</v>
      </c>
      <c r="AV11" s="352">
        <v>19.87</v>
      </c>
      <c r="AW11" s="352">
        <v>24.59</v>
      </c>
      <c r="AX11" s="352">
        <v>27.84</v>
      </c>
      <c r="AY11" s="352">
        <v>15.26</v>
      </c>
      <c r="AZ11" s="352">
        <v>12.63</v>
      </c>
      <c r="BA11" s="352">
        <v>21.21</v>
      </c>
      <c r="BB11" s="352">
        <v>38.03</v>
      </c>
      <c r="BC11" s="352">
        <v>38.17</v>
      </c>
      <c r="BD11" s="352">
        <v>19.27</v>
      </c>
    </row>
    <row r="12" spans="1:56">
      <c r="A12" s="243" t="s">
        <v>118</v>
      </c>
      <c r="B12" s="245" t="s">
        <v>168</v>
      </c>
      <c r="C12" s="245" t="s">
        <v>169</v>
      </c>
      <c r="D12" s="245" t="s">
        <v>174</v>
      </c>
      <c r="E12" s="245" t="s">
        <v>151</v>
      </c>
      <c r="F12" s="246" t="s">
        <v>129</v>
      </c>
      <c r="G12" s="246">
        <v>5.4749999999999996</v>
      </c>
      <c r="H12" s="245">
        <v>55</v>
      </c>
      <c r="I12" s="246">
        <f t="shared" si="0"/>
        <v>301.125</v>
      </c>
      <c r="J12" s="245">
        <v>16</v>
      </c>
      <c r="K12" s="245">
        <v>15</v>
      </c>
      <c r="L12" s="245">
        <v>7</v>
      </c>
      <c r="M12" s="246">
        <v>206.08</v>
      </c>
      <c r="N12" s="245"/>
      <c r="O12" s="245">
        <v>12</v>
      </c>
      <c r="P12" s="244">
        <v>13.5</v>
      </c>
      <c r="Q12" s="245" t="s">
        <v>171</v>
      </c>
      <c r="R12" s="219"/>
      <c r="S12" s="219"/>
      <c r="T12" s="295"/>
      <c r="U12" s="437">
        <v>68.870312356199364</v>
      </c>
      <c r="V12" s="438"/>
      <c r="W12" s="436">
        <v>-11.944255566693098</v>
      </c>
      <c r="X12" s="247"/>
      <c r="Y12" s="247"/>
      <c r="Z12" s="435">
        <v>0.89299963693795392</v>
      </c>
      <c r="AA12" s="435">
        <v>0.77652142342430786</v>
      </c>
      <c r="AB12" s="247"/>
      <c r="AC12" s="302"/>
      <c r="AD12" s="304">
        <v>1.2E-2</v>
      </c>
      <c r="AE12" s="247"/>
      <c r="AF12" s="440">
        <v>19.611695574345301</v>
      </c>
      <c r="AG12" s="440">
        <v>40.425911032995572</v>
      </c>
      <c r="AH12" s="440">
        <v>25.988085664068578</v>
      </c>
      <c r="AI12" s="440">
        <v>31.925661491259</v>
      </c>
      <c r="AJ12" s="440">
        <v>20.410960735081201</v>
      </c>
      <c r="AK12" s="440">
        <v>18.8264650525741</v>
      </c>
      <c r="AL12" s="440">
        <v>21.554813251697698</v>
      </c>
      <c r="AM12" s="440">
        <v>33.206998348532068</v>
      </c>
      <c r="AN12" s="440">
        <v>46.714902190352099</v>
      </c>
      <c r="AO12" s="440">
        <v>20.317933416499301</v>
      </c>
      <c r="AP12" s="440">
        <v>17.325390442712383</v>
      </c>
      <c r="AQ12" s="47"/>
      <c r="AR12" s="242" t="s">
        <v>118</v>
      </c>
      <c r="AS12" s="47"/>
      <c r="AT12" s="352">
        <v>19.54</v>
      </c>
      <c r="AU12" s="352">
        <v>38.86</v>
      </c>
      <c r="AV12" s="352">
        <v>25.23</v>
      </c>
      <c r="AW12" s="352">
        <v>30.88</v>
      </c>
      <c r="AX12" s="352">
        <v>20.55</v>
      </c>
      <c r="AY12" s="352">
        <v>18.98</v>
      </c>
      <c r="AZ12" s="352">
        <v>21.96</v>
      </c>
      <c r="BA12" s="352">
        <v>32.39</v>
      </c>
      <c r="BB12" s="352">
        <v>44.36</v>
      </c>
      <c r="BC12" s="352">
        <v>20.66</v>
      </c>
      <c r="BD12" s="352">
        <v>17.34</v>
      </c>
    </row>
    <row r="13" spans="1:56">
      <c r="A13" s="243" t="s">
        <v>117</v>
      </c>
      <c r="B13" s="245" t="s">
        <v>168</v>
      </c>
      <c r="C13" s="245" t="s">
        <v>171</v>
      </c>
      <c r="D13" s="245" t="s">
        <v>129</v>
      </c>
      <c r="E13" s="245" t="s">
        <v>129</v>
      </c>
      <c r="F13" s="246" t="s">
        <v>129</v>
      </c>
      <c r="G13" s="246">
        <v>7.2809999999999997</v>
      </c>
      <c r="H13" s="245">
        <v>42</v>
      </c>
      <c r="I13" s="246">
        <f t="shared" si="0"/>
        <v>305.80199999999996</v>
      </c>
      <c r="J13" s="245">
        <v>8</v>
      </c>
      <c r="K13" s="245">
        <v>26</v>
      </c>
      <c r="L13" s="245">
        <v>17</v>
      </c>
      <c r="M13" s="246">
        <v>270.70999999999998</v>
      </c>
      <c r="N13" s="245"/>
      <c r="O13" s="245">
        <v>16</v>
      </c>
      <c r="P13" s="244">
        <v>17</v>
      </c>
      <c r="Q13" s="245" t="s">
        <v>166</v>
      </c>
      <c r="R13" s="219"/>
      <c r="S13" s="219"/>
      <c r="T13" s="295"/>
      <c r="U13" s="437">
        <v>81.276540993135427</v>
      </c>
      <c r="V13" s="438"/>
      <c r="W13" s="436">
        <v>177.32281993652299</v>
      </c>
      <c r="X13" s="247"/>
      <c r="Y13" s="247"/>
      <c r="Z13" s="435">
        <v>0.85928120672400399</v>
      </c>
      <c r="AA13" s="435">
        <v>0.74720104932522091</v>
      </c>
      <c r="AB13" s="247"/>
      <c r="AC13" s="302"/>
      <c r="AD13" s="304">
        <v>2.1000000000000001E-2</v>
      </c>
      <c r="AE13" s="247"/>
      <c r="AF13" s="440">
        <v>40.702661682927364</v>
      </c>
      <c r="AG13" s="440">
        <v>21.42245351733019</v>
      </c>
      <c r="AH13" s="440">
        <v>19.280208165597173</v>
      </c>
      <c r="AI13" s="440">
        <v>19.512610408000992</v>
      </c>
      <c r="AJ13" s="440">
        <v>40.799094489456621</v>
      </c>
      <c r="AK13" s="440">
        <v>32.133680275995289</v>
      </c>
      <c r="AL13" s="440">
        <v>14.382927042651886</v>
      </c>
      <c r="AM13" s="440">
        <v>36.418170979461323</v>
      </c>
      <c r="AN13" s="440">
        <v>30.155852448728808</v>
      </c>
      <c r="AO13" s="440">
        <v>39.438568593766313</v>
      </c>
      <c r="AP13" s="440">
        <v>12.417115714182449</v>
      </c>
      <c r="AQ13" s="47"/>
      <c r="AR13" s="242" t="s">
        <v>117</v>
      </c>
      <c r="AS13" s="47"/>
      <c r="AT13" s="352">
        <v>38.56</v>
      </c>
      <c r="AU13" s="352">
        <v>21.32</v>
      </c>
      <c r="AV13" s="352">
        <v>19.579999999999998</v>
      </c>
      <c r="AW13" s="352">
        <v>18.670000000000002</v>
      </c>
      <c r="AX13" s="352">
        <v>43.39</v>
      </c>
      <c r="AY13" s="352">
        <v>31.77</v>
      </c>
      <c r="AZ13" s="352">
        <v>13.82</v>
      </c>
      <c r="BA13" s="352">
        <v>35.36</v>
      </c>
      <c r="BB13" s="352">
        <v>30.61</v>
      </c>
      <c r="BC13" s="352">
        <v>42.35</v>
      </c>
      <c r="BD13" s="352">
        <v>11.94</v>
      </c>
    </row>
    <row r="14" spans="1:56">
      <c r="A14" s="243" t="s">
        <v>116</v>
      </c>
      <c r="B14" s="245" t="s">
        <v>168</v>
      </c>
      <c r="C14" s="245" t="s">
        <v>167</v>
      </c>
      <c r="D14" s="245" t="s">
        <v>129</v>
      </c>
      <c r="E14" s="245" t="s">
        <v>129</v>
      </c>
      <c r="F14" s="246" t="s">
        <v>151</v>
      </c>
      <c r="G14" s="246">
        <v>5.4039999999999999</v>
      </c>
      <c r="H14" s="245">
        <v>57</v>
      </c>
      <c r="I14" s="246">
        <f t="shared" si="0"/>
        <v>308.02800000000002</v>
      </c>
      <c r="J14" s="245">
        <v>12</v>
      </c>
      <c r="K14" s="245">
        <v>12</v>
      </c>
      <c r="L14" s="245">
        <v>14</v>
      </c>
      <c r="M14" s="246">
        <v>206.57</v>
      </c>
      <c r="N14" s="245"/>
      <c r="O14" s="245">
        <v>15</v>
      </c>
      <c r="P14" s="244">
        <v>14</v>
      </c>
      <c r="Q14" s="245" t="s">
        <v>171</v>
      </c>
      <c r="R14" s="219"/>
      <c r="S14" s="219"/>
      <c r="T14" s="295"/>
      <c r="U14" s="437">
        <v>61.103851434667945</v>
      </c>
      <c r="V14" s="438"/>
      <c r="W14" s="436">
        <v>46.07021595699009</v>
      </c>
      <c r="X14" s="247"/>
      <c r="Y14" s="247"/>
      <c r="Z14" s="435">
        <v>0.83258476853932029</v>
      </c>
      <c r="AA14" s="435">
        <v>0.72398675525158296</v>
      </c>
      <c r="AB14" s="247"/>
      <c r="AC14" s="302"/>
      <c r="AD14" s="304">
        <v>1.6899999999999998E-2</v>
      </c>
      <c r="AE14" s="247"/>
      <c r="AF14" s="440">
        <v>26.054636488451699</v>
      </c>
      <c r="AG14" s="440">
        <v>44.460154271528801</v>
      </c>
      <c r="AH14" s="440">
        <v>28.619293634783599</v>
      </c>
      <c r="AI14" s="440">
        <v>23.264519326194701</v>
      </c>
      <c r="AJ14" s="440">
        <v>27.821972244177701</v>
      </c>
      <c r="AK14" s="440">
        <v>26.220975638163601</v>
      </c>
      <c r="AL14" s="440">
        <v>24.804775036181599</v>
      </c>
      <c r="AM14" s="440">
        <v>30.574747183473399</v>
      </c>
      <c r="AN14" s="440">
        <v>34.735189224045001</v>
      </c>
      <c r="AO14" s="440">
        <v>27.708166134561399</v>
      </c>
      <c r="AP14" s="440">
        <v>19.871484784518</v>
      </c>
      <c r="AQ14" s="47"/>
      <c r="AR14" s="242" t="s">
        <v>116</v>
      </c>
      <c r="AS14" s="47"/>
      <c r="AT14" s="352">
        <v>26.35</v>
      </c>
      <c r="AU14" s="352">
        <v>44.57</v>
      </c>
      <c r="AV14" s="352">
        <v>28.76</v>
      </c>
      <c r="AW14" s="352">
        <v>23.72</v>
      </c>
      <c r="AX14" s="352">
        <v>28.54</v>
      </c>
      <c r="AY14" s="352">
        <v>27.06</v>
      </c>
      <c r="AZ14" s="352">
        <v>25.52</v>
      </c>
      <c r="BA14" s="352">
        <v>31.26</v>
      </c>
      <c r="BB14" s="352">
        <v>35.520000000000003</v>
      </c>
      <c r="BC14" s="352">
        <v>28.32</v>
      </c>
      <c r="BD14" s="352">
        <v>20.39</v>
      </c>
    </row>
    <row r="15" spans="1:56">
      <c r="A15" s="243" t="s">
        <v>115</v>
      </c>
      <c r="B15" s="244" t="s">
        <v>166</v>
      </c>
      <c r="C15" s="245" t="s">
        <v>167</v>
      </c>
      <c r="D15" s="245" t="s">
        <v>174</v>
      </c>
      <c r="E15" s="245" t="s">
        <v>133</v>
      </c>
      <c r="F15" s="246" t="s">
        <v>134</v>
      </c>
      <c r="G15" s="246">
        <v>3.0710000000000002</v>
      </c>
      <c r="H15" s="245">
        <v>80</v>
      </c>
      <c r="I15" s="246">
        <f t="shared" si="0"/>
        <v>245.68</v>
      </c>
      <c r="J15" s="245">
        <v>8</v>
      </c>
      <c r="K15" s="245">
        <v>6</v>
      </c>
      <c r="L15" s="245">
        <v>8</v>
      </c>
      <c r="M15" s="246">
        <v>146.34</v>
      </c>
      <c r="N15" s="245"/>
      <c r="O15" s="245">
        <v>14</v>
      </c>
      <c r="P15" s="244">
        <v>24</v>
      </c>
      <c r="Q15" s="245" t="s">
        <v>171</v>
      </c>
      <c r="R15" s="219"/>
      <c r="S15" s="219"/>
      <c r="T15" s="295"/>
      <c r="U15" s="437">
        <v>77.947576960744172</v>
      </c>
      <c r="V15" s="438"/>
      <c r="W15" s="436">
        <v>115.71007511129388</v>
      </c>
      <c r="X15" s="247"/>
      <c r="Y15" s="247"/>
      <c r="Z15" s="435">
        <v>0.91478138028764033</v>
      </c>
      <c r="AA15" s="435">
        <v>0.79546206981533951</v>
      </c>
      <c r="AB15" s="247"/>
      <c r="AC15" s="302"/>
      <c r="AD15" s="304">
        <v>7.11E-3</v>
      </c>
      <c r="AE15" s="247"/>
      <c r="AF15" s="440">
        <v>29.47</v>
      </c>
      <c r="AG15" s="440">
        <v>66.332423905242081</v>
      </c>
      <c r="AH15" s="440">
        <v>29.687203977978054</v>
      </c>
      <c r="AI15" s="440">
        <v>31.11</v>
      </c>
      <c r="AJ15" s="440">
        <v>39.582938637304075</v>
      </c>
      <c r="AK15" s="440">
        <v>27.2</v>
      </c>
      <c r="AL15" s="440">
        <v>21.226375649677465</v>
      </c>
      <c r="AM15" s="440">
        <v>46.432696733669459</v>
      </c>
      <c r="AN15" s="440">
        <v>59.2</v>
      </c>
      <c r="AO15" s="440">
        <v>33.16621195262104</v>
      </c>
      <c r="AP15" s="440">
        <v>26.532969562096831</v>
      </c>
      <c r="AQ15" s="47"/>
      <c r="AR15" s="242" t="s">
        <v>115</v>
      </c>
      <c r="AS15" s="47"/>
      <c r="AT15" s="352">
        <v>27.74</v>
      </c>
      <c r="AU15" s="352">
        <v>60.35</v>
      </c>
      <c r="AV15" s="352">
        <v>27.63</v>
      </c>
      <c r="AW15" s="352">
        <v>30.11</v>
      </c>
      <c r="AX15" s="352">
        <v>36.69</v>
      </c>
      <c r="AY15" s="352">
        <v>25.61</v>
      </c>
      <c r="AZ15" s="352">
        <v>21.08</v>
      </c>
      <c r="BA15" s="352">
        <v>43.33</v>
      </c>
      <c r="BB15" s="352">
        <v>54.42</v>
      </c>
      <c r="BC15" s="352">
        <v>31.36</v>
      </c>
      <c r="BD15" s="352">
        <v>25.19</v>
      </c>
    </row>
    <row r="16" spans="1:56">
      <c r="A16" s="243" t="s">
        <v>114</v>
      </c>
      <c r="B16" s="245" t="s">
        <v>170</v>
      </c>
      <c r="C16" s="245" t="s">
        <v>173</v>
      </c>
      <c r="D16" s="245" t="s">
        <v>174</v>
      </c>
      <c r="E16" s="245" t="s">
        <v>150</v>
      </c>
      <c r="F16" s="246" t="s">
        <v>151</v>
      </c>
      <c r="G16" s="246">
        <v>4.258</v>
      </c>
      <c r="H16" s="245">
        <v>72</v>
      </c>
      <c r="I16" s="246">
        <f t="shared" si="0"/>
        <v>306.57600000000002</v>
      </c>
      <c r="J16" s="245">
        <v>12</v>
      </c>
      <c r="K16" s="245">
        <v>11</v>
      </c>
      <c r="L16" s="245">
        <v>9</v>
      </c>
      <c r="M16" s="246">
        <v>185.31</v>
      </c>
      <c r="N16" s="245"/>
      <c r="O16" s="245">
        <v>16</v>
      </c>
      <c r="P16" s="244">
        <v>19.5</v>
      </c>
      <c r="Q16" s="245" t="s">
        <v>171</v>
      </c>
      <c r="R16" s="219"/>
      <c r="S16" s="219"/>
      <c r="T16" s="295"/>
      <c r="U16" s="437">
        <v>58.91017676745799</v>
      </c>
      <c r="V16" s="438"/>
      <c r="W16" s="436">
        <v>177.30299211892415</v>
      </c>
      <c r="X16" s="247"/>
      <c r="Y16" s="247"/>
      <c r="Z16" s="435">
        <v>0.78354642137395369</v>
      </c>
      <c r="AA16" s="435">
        <v>0.68134471423822063</v>
      </c>
      <c r="AB16" s="247"/>
      <c r="AC16" s="302"/>
      <c r="AD16" s="304">
        <v>1.4200000000000001E-2</v>
      </c>
      <c r="AE16" s="247"/>
      <c r="AF16" s="440">
        <v>30.171183103492499</v>
      </c>
      <c r="AG16" s="440">
        <v>54.027647871417699</v>
      </c>
      <c r="AH16" s="440">
        <v>23.375989041512199</v>
      </c>
      <c r="AI16" s="440">
        <v>29.789154170952798</v>
      </c>
      <c r="AJ16" s="440">
        <v>21.375810992703801</v>
      </c>
      <c r="AK16" s="440">
        <v>17.759369909278998</v>
      </c>
      <c r="AL16" s="440">
        <v>25.1319857923048</v>
      </c>
      <c r="AM16" s="440">
        <v>57.3083131495451</v>
      </c>
      <c r="AN16" s="440">
        <v>72.586632339757301</v>
      </c>
      <c r="AO16" s="440">
        <v>50.247935109700499</v>
      </c>
      <c r="AP16" s="440">
        <v>19.900103455594898</v>
      </c>
      <c r="AQ16" s="47"/>
      <c r="AR16" s="242" t="s">
        <v>114</v>
      </c>
      <c r="AS16" s="47"/>
      <c r="AT16" s="352">
        <v>30.5</v>
      </c>
      <c r="AU16" s="352">
        <v>53.57</v>
      </c>
      <c r="AV16" s="352">
        <v>23.7</v>
      </c>
      <c r="AW16" s="352">
        <v>29.8</v>
      </c>
      <c r="AX16" s="352">
        <v>21.51</v>
      </c>
      <c r="AY16" s="352">
        <v>18.41</v>
      </c>
      <c r="AZ16" s="352">
        <v>25.46</v>
      </c>
      <c r="BA16" s="352">
        <v>56.63</v>
      </c>
      <c r="BB16" s="352">
        <v>71.400000000000006</v>
      </c>
      <c r="BC16" s="352">
        <v>50.26</v>
      </c>
      <c r="BD16" s="352">
        <v>20.260000000000002</v>
      </c>
    </row>
    <row r="17" spans="1:56">
      <c r="A17" s="243" t="s">
        <v>113</v>
      </c>
      <c r="B17" s="245" t="s">
        <v>168</v>
      </c>
      <c r="C17" s="245" t="s">
        <v>171</v>
      </c>
      <c r="D17" s="245" t="s">
        <v>129</v>
      </c>
      <c r="E17" s="245" t="s">
        <v>129</v>
      </c>
      <c r="F17" s="246" t="s">
        <v>129</v>
      </c>
      <c r="G17" s="246">
        <v>4.3600000000000003</v>
      </c>
      <c r="H17" s="245">
        <v>70</v>
      </c>
      <c r="I17" s="246">
        <f t="shared" si="0"/>
        <v>305.20000000000005</v>
      </c>
      <c r="J17" s="245">
        <v>11</v>
      </c>
      <c r="K17" s="245">
        <v>8</v>
      </c>
      <c r="L17" s="245">
        <v>14</v>
      </c>
      <c r="M17" s="246">
        <v>221.29</v>
      </c>
      <c r="N17" s="245"/>
      <c r="O17" s="245">
        <v>13</v>
      </c>
      <c r="P17" s="244">
        <v>22.5</v>
      </c>
      <c r="Q17" s="245" t="s">
        <v>166</v>
      </c>
      <c r="R17" s="219"/>
      <c r="S17" s="219"/>
      <c r="T17" s="295"/>
      <c r="U17" s="437">
        <v>68.504290291596206</v>
      </c>
      <c r="V17" s="438"/>
      <c r="W17" s="436">
        <v>51.57772519973711</v>
      </c>
      <c r="X17" s="247"/>
      <c r="Y17" s="247"/>
      <c r="Z17" s="435">
        <v>0.84279256075647091</v>
      </c>
      <c r="AA17" s="435">
        <v>0.73286309630997482</v>
      </c>
      <c r="AB17" s="247"/>
      <c r="AC17" s="302"/>
      <c r="AD17" s="304">
        <v>1.0125E-2</v>
      </c>
      <c r="AE17" s="247"/>
      <c r="AF17" s="440">
        <v>21.3</v>
      </c>
      <c r="AG17" s="440">
        <v>50.723999999999997</v>
      </c>
      <c r="AH17" s="440">
        <v>29.44</v>
      </c>
      <c r="AI17" s="440">
        <v>25.79</v>
      </c>
      <c r="AJ17" s="440">
        <v>26.98</v>
      </c>
      <c r="AK17" s="440">
        <v>17.88</v>
      </c>
      <c r="AL17" s="440">
        <v>14.23</v>
      </c>
      <c r="AM17" s="440">
        <v>38.389000000000003</v>
      </c>
      <c r="AN17" s="440">
        <v>44.11</v>
      </c>
      <c r="AO17" s="440">
        <v>33.274000000000001</v>
      </c>
      <c r="AP17" s="440">
        <v>13.962</v>
      </c>
      <c r="AQ17" s="47"/>
      <c r="AR17" s="242" t="s">
        <v>113</v>
      </c>
      <c r="AS17" s="47"/>
      <c r="AT17" s="352">
        <v>22.18</v>
      </c>
      <c r="AU17" s="352">
        <v>50.82</v>
      </c>
      <c r="AV17" s="352">
        <v>29.57</v>
      </c>
      <c r="AW17" s="352">
        <v>24.94</v>
      </c>
      <c r="AX17" s="352">
        <v>28.03</v>
      </c>
      <c r="AY17" s="352">
        <v>19.579999999999998</v>
      </c>
      <c r="AZ17" s="352">
        <v>14.88</v>
      </c>
      <c r="BA17" s="352">
        <v>37.58</v>
      </c>
      <c r="BB17" s="352">
        <v>43.71</v>
      </c>
      <c r="BC17" s="352">
        <v>33.96</v>
      </c>
      <c r="BD17" s="352">
        <v>13.84</v>
      </c>
    </row>
    <row r="18" spans="1:56">
      <c r="A18" s="243" t="s">
        <v>112</v>
      </c>
      <c r="B18" s="245" t="s">
        <v>168</v>
      </c>
      <c r="C18" s="245" t="s">
        <v>171</v>
      </c>
      <c r="D18" s="245" t="s">
        <v>174</v>
      </c>
      <c r="E18" s="245" t="s">
        <v>133</v>
      </c>
      <c r="F18" s="246" t="s">
        <v>151</v>
      </c>
      <c r="G18" s="246">
        <v>3.02</v>
      </c>
      <c r="H18" s="245">
        <v>79</v>
      </c>
      <c r="I18" s="246">
        <f t="shared" si="0"/>
        <v>238.58</v>
      </c>
      <c r="J18" s="245">
        <v>8</v>
      </c>
      <c r="K18" s="245">
        <v>6</v>
      </c>
      <c r="L18" s="245">
        <v>7</v>
      </c>
      <c r="M18" s="246">
        <v>183.36</v>
      </c>
      <c r="N18" s="245"/>
      <c r="O18" s="245">
        <v>14</v>
      </c>
      <c r="P18" s="244">
        <v>16.5</v>
      </c>
      <c r="Q18" s="245" t="s">
        <v>166</v>
      </c>
      <c r="R18" s="219"/>
      <c r="S18" s="219"/>
      <c r="T18" s="295"/>
      <c r="U18" s="437">
        <v>59.71508686008935</v>
      </c>
      <c r="V18" s="438"/>
      <c r="W18" s="436">
        <v>93.697726038555089</v>
      </c>
      <c r="X18" s="247"/>
      <c r="Y18" s="247"/>
      <c r="Z18" s="435">
        <v>0.93200547595458472</v>
      </c>
      <c r="AA18" s="435">
        <v>0.81043954430833465</v>
      </c>
      <c r="AB18" s="247"/>
      <c r="AC18" s="302"/>
      <c r="AD18" s="304">
        <v>8.5972222222222006E-3</v>
      </c>
      <c r="AE18" s="247"/>
      <c r="AF18" s="440">
        <v>28.037502488328773</v>
      </c>
      <c r="AG18" s="440">
        <v>44.173421382048971</v>
      </c>
      <c r="AH18" s="440">
        <v>28.024680562893138</v>
      </c>
      <c r="AI18" s="440">
        <v>30.707130680226737</v>
      </c>
      <c r="AJ18" s="440">
        <v>23.379986692136168</v>
      </c>
      <c r="AK18" s="440">
        <v>19.434204592081034</v>
      </c>
      <c r="AL18" s="440">
        <v>22.464694642019126</v>
      </c>
      <c r="AM18" s="440">
        <v>37.123596069669929</v>
      </c>
      <c r="AN18" s="440">
        <v>47.489591285270272</v>
      </c>
      <c r="AO18" s="440">
        <v>32.082424015058272</v>
      </c>
      <c r="AP18" s="440">
        <v>22.495099457546285</v>
      </c>
      <c r="AQ18" s="47"/>
      <c r="AR18" s="242" t="s">
        <v>112</v>
      </c>
      <c r="AS18" s="47"/>
      <c r="AT18" s="352">
        <v>28.04</v>
      </c>
      <c r="AU18" s="352">
        <v>44.72</v>
      </c>
      <c r="AV18" s="352">
        <v>28.03</v>
      </c>
      <c r="AW18" s="352">
        <v>31.01</v>
      </c>
      <c r="AX18" s="352">
        <v>23.74</v>
      </c>
      <c r="AY18" s="352">
        <v>19.57</v>
      </c>
      <c r="AZ18" s="352">
        <v>22.7</v>
      </c>
      <c r="BA18" s="352">
        <v>36.520000000000003</v>
      </c>
      <c r="BB18" s="352">
        <v>46.85</v>
      </c>
      <c r="BC18" s="352">
        <v>32.299999999999997</v>
      </c>
      <c r="BD18" s="352">
        <v>22.81</v>
      </c>
    </row>
    <row r="19" spans="1:56">
      <c r="A19" s="243" t="s">
        <v>111</v>
      </c>
      <c r="B19" s="244" t="s">
        <v>166</v>
      </c>
      <c r="C19" s="245" t="s">
        <v>167</v>
      </c>
      <c r="D19" s="245" t="s">
        <v>129</v>
      </c>
      <c r="E19" s="245" t="s">
        <v>129</v>
      </c>
      <c r="F19" s="246" t="s">
        <v>129</v>
      </c>
      <c r="G19" s="246">
        <v>4.5579999999999998</v>
      </c>
      <c r="H19" s="245">
        <v>67</v>
      </c>
      <c r="I19" s="246">
        <f t="shared" si="0"/>
        <v>305.38599999999997</v>
      </c>
      <c r="J19" s="245">
        <v>13</v>
      </c>
      <c r="K19" s="245">
        <v>11</v>
      </c>
      <c r="L19" s="245">
        <v>8</v>
      </c>
      <c r="M19" s="246">
        <v>191.99</v>
      </c>
      <c r="N19" s="245"/>
      <c r="O19" s="245">
        <v>16</v>
      </c>
      <c r="P19" s="244">
        <v>18.5</v>
      </c>
      <c r="Q19" s="245" t="s">
        <v>171</v>
      </c>
      <c r="R19" s="219"/>
      <c r="S19" s="219"/>
      <c r="T19" s="295"/>
      <c r="U19" s="437">
        <v>65.365908622990943</v>
      </c>
      <c r="V19" s="438"/>
      <c r="W19" s="436">
        <v>120.75810073571363</v>
      </c>
      <c r="X19" s="247"/>
      <c r="Y19" s="247"/>
      <c r="Z19" s="435">
        <v>0.85464335264082014</v>
      </c>
      <c r="AA19" s="435">
        <v>0.74316813273114801</v>
      </c>
      <c r="AB19" s="247"/>
      <c r="AC19" s="302"/>
      <c r="AD19" s="304">
        <v>1.3650000000000001E-2</v>
      </c>
      <c r="AE19" s="247"/>
      <c r="AF19" s="440">
        <v>31.95</v>
      </c>
      <c r="AG19" s="440">
        <v>36.47</v>
      </c>
      <c r="AH19" s="440">
        <v>19.3</v>
      </c>
      <c r="AI19" s="440">
        <v>23.23</v>
      </c>
      <c r="AJ19" s="440">
        <v>24.79</v>
      </c>
      <c r="AK19" s="440">
        <v>23.61</v>
      </c>
      <c r="AL19" s="440">
        <v>32.119999999999997</v>
      </c>
      <c r="AM19" s="440">
        <v>27.82</v>
      </c>
      <c r="AN19" s="440">
        <v>52.78</v>
      </c>
      <c r="AO19" s="440">
        <v>22.55</v>
      </c>
      <c r="AP19" s="440">
        <v>19.97</v>
      </c>
      <c r="AQ19" s="47"/>
      <c r="AR19" s="242" t="s">
        <v>111</v>
      </c>
      <c r="AS19" s="47"/>
      <c r="AT19" s="352">
        <v>31.62</v>
      </c>
      <c r="AU19" s="352">
        <v>36.67</v>
      </c>
      <c r="AV19" s="352">
        <v>20.21</v>
      </c>
      <c r="AW19" s="352">
        <v>23.61</v>
      </c>
      <c r="AX19" s="352">
        <v>23.73</v>
      </c>
      <c r="AY19" s="352">
        <v>22.88</v>
      </c>
      <c r="AZ19" s="352">
        <v>31.2</v>
      </c>
      <c r="BA19" s="352">
        <v>27.72</v>
      </c>
      <c r="BB19" s="352">
        <v>52.08</v>
      </c>
      <c r="BC19" s="352">
        <v>21.95</v>
      </c>
      <c r="BD19" s="352">
        <v>20.2</v>
      </c>
    </row>
    <row r="20" spans="1:56">
      <c r="A20" s="243" t="s">
        <v>310</v>
      </c>
      <c r="B20" s="244" t="s">
        <v>168</v>
      </c>
      <c r="C20" s="245" t="s">
        <v>169</v>
      </c>
      <c r="D20" s="245" t="s">
        <v>129</v>
      </c>
      <c r="E20" s="245" t="s">
        <v>134</v>
      </c>
      <c r="F20" s="246" t="s">
        <v>133</v>
      </c>
      <c r="G20" s="246">
        <v>4.1680000000000001</v>
      </c>
      <c r="H20" s="245">
        <v>74</v>
      </c>
      <c r="I20" s="246">
        <f t="shared" si="0"/>
        <v>308.43200000000002</v>
      </c>
      <c r="J20" s="245">
        <v>8</v>
      </c>
      <c r="K20" s="245">
        <v>15</v>
      </c>
      <c r="L20" s="245">
        <v>7</v>
      </c>
      <c r="M20" s="246">
        <v>222.62</v>
      </c>
      <c r="N20" s="245"/>
      <c r="O20" s="245">
        <v>15</v>
      </c>
      <c r="P20" s="244">
        <v>13</v>
      </c>
      <c r="Q20" s="245" t="s">
        <v>176</v>
      </c>
      <c r="R20" s="219"/>
      <c r="S20" s="219"/>
      <c r="T20" s="295"/>
      <c r="U20" s="437">
        <v>76.810519999999997</v>
      </c>
      <c r="V20" s="438"/>
      <c r="W20" s="436">
        <v>128.82</v>
      </c>
      <c r="X20" s="247"/>
      <c r="Y20" s="247"/>
      <c r="Z20" s="435">
        <v>0.82240000000000002</v>
      </c>
      <c r="AA20" s="435">
        <v>0.66238263215230597</v>
      </c>
      <c r="AB20" s="247"/>
      <c r="AC20" s="302"/>
      <c r="AD20" s="304">
        <v>1.4E-2</v>
      </c>
      <c r="AE20" s="247"/>
      <c r="AF20" s="440">
        <v>30.62</v>
      </c>
      <c r="AG20" s="440">
        <v>32.49</v>
      </c>
      <c r="AH20" s="440">
        <v>21.91</v>
      </c>
      <c r="AI20" s="440">
        <v>20.54</v>
      </c>
      <c r="AJ20" s="440">
        <v>22.98</v>
      </c>
      <c r="AK20" s="440">
        <v>29.01</v>
      </c>
      <c r="AL20" s="440">
        <v>26.17</v>
      </c>
      <c r="AM20" s="440">
        <v>36.01</v>
      </c>
      <c r="AN20" s="440">
        <v>20.85</v>
      </c>
      <c r="AO20" s="440">
        <v>41.46</v>
      </c>
      <c r="AP20" s="440">
        <v>17.98</v>
      </c>
      <c r="AQ20" s="47"/>
      <c r="AR20" s="242" t="s">
        <v>310</v>
      </c>
      <c r="AS20" s="47"/>
      <c r="AT20" s="352">
        <v>30.62</v>
      </c>
      <c r="AU20" s="352">
        <v>32.49</v>
      </c>
      <c r="AV20" s="352">
        <v>21.91</v>
      </c>
      <c r="AW20" s="352">
        <v>20.54</v>
      </c>
      <c r="AX20" s="352">
        <v>22.98</v>
      </c>
      <c r="AY20" s="352">
        <v>29.01</v>
      </c>
      <c r="AZ20" s="352">
        <v>26.17</v>
      </c>
      <c r="BA20" s="352">
        <v>36.01</v>
      </c>
      <c r="BB20" s="352">
        <v>20.85</v>
      </c>
      <c r="BC20" s="352">
        <v>41.46</v>
      </c>
      <c r="BD20" s="352">
        <v>17.98</v>
      </c>
    </row>
    <row r="21" spans="1:56">
      <c r="A21" s="243" t="s">
        <v>110</v>
      </c>
      <c r="B21" s="245" t="s">
        <v>168</v>
      </c>
      <c r="C21" s="245" t="s">
        <v>171</v>
      </c>
      <c r="D21" s="245" t="s">
        <v>172</v>
      </c>
      <c r="E21" s="245" t="s">
        <v>151</v>
      </c>
      <c r="F21" s="246" t="s">
        <v>129</v>
      </c>
      <c r="G21" s="246">
        <v>4.5730000000000004</v>
      </c>
      <c r="H21" s="245">
        <v>67</v>
      </c>
      <c r="I21" s="246">
        <f t="shared" si="0"/>
        <v>306.39100000000002</v>
      </c>
      <c r="J21" s="245">
        <v>12</v>
      </c>
      <c r="K21" s="245">
        <v>9</v>
      </c>
      <c r="L21" s="245">
        <v>11</v>
      </c>
      <c r="M21" s="246">
        <v>238.22</v>
      </c>
      <c r="N21" s="245"/>
      <c r="O21" s="245">
        <v>12</v>
      </c>
      <c r="P21" s="244">
        <v>16.5</v>
      </c>
      <c r="Q21" s="245" t="s">
        <v>175</v>
      </c>
      <c r="R21" s="219"/>
      <c r="S21" s="219"/>
      <c r="T21" s="295"/>
      <c r="U21" s="437">
        <v>64.429309562842761</v>
      </c>
      <c r="V21" s="438"/>
      <c r="W21" s="436">
        <v>-98.416893186368029</v>
      </c>
      <c r="X21" s="247"/>
      <c r="Y21" s="247"/>
      <c r="Z21" s="435">
        <v>0.86902810574845368</v>
      </c>
      <c r="AA21" s="435">
        <v>0.75567661369430761</v>
      </c>
      <c r="AB21" s="247"/>
      <c r="AC21" s="302"/>
      <c r="AD21" s="304">
        <v>1.035E-2</v>
      </c>
      <c r="AE21" s="247"/>
      <c r="AF21" s="440">
        <v>29.603237272665471</v>
      </c>
      <c r="AG21" s="440">
        <v>64.477369827531277</v>
      </c>
      <c r="AH21" s="440">
        <v>20.457444309591768</v>
      </c>
      <c r="AI21" s="440">
        <v>22.634285611038134</v>
      </c>
      <c r="AJ21" s="440">
        <v>23.07052801332711</v>
      </c>
      <c r="AK21" s="440">
        <v>18.714660055435118</v>
      </c>
      <c r="AL21" s="440">
        <v>19.115303980354881</v>
      </c>
      <c r="AM21" s="440">
        <v>37.442488383871499</v>
      </c>
      <c r="AN21" s="440">
        <v>50.005735918186069</v>
      </c>
      <c r="AO21" s="440">
        <v>25.78331327520473</v>
      </c>
      <c r="AP21" s="440">
        <v>17.325510802231971</v>
      </c>
      <c r="AQ21" s="47"/>
      <c r="AR21" s="242" t="s">
        <v>110</v>
      </c>
      <c r="AS21" s="47"/>
      <c r="AT21" s="352">
        <v>29.56</v>
      </c>
      <c r="AU21" s="352">
        <v>61.45</v>
      </c>
      <c r="AV21" s="352">
        <v>21.08</v>
      </c>
      <c r="AW21" s="352">
        <v>23</v>
      </c>
      <c r="AX21" s="352">
        <v>23.91</v>
      </c>
      <c r="AY21" s="352">
        <v>19.98</v>
      </c>
      <c r="AZ21" s="352">
        <v>20.6</v>
      </c>
      <c r="BA21" s="352">
        <v>36.729999999999997</v>
      </c>
      <c r="BB21" s="352">
        <v>50.18</v>
      </c>
      <c r="BC21" s="352">
        <v>26.15</v>
      </c>
      <c r="BD21" s="352">
        <v>17.55</v>
      </c>
    </row>
    <row r="22" spans="1:56">
      <c r="A22" s="243" t="s">
        <v>109</v>
      </c>
      <c r="B22" s="245" t="s">
        <v>170</v>
      </c>
      <c r="C22" s="245" t="s">
        <v>173</v>
      </c>
      <c r="D22" s="245" t="s">
        <v>129</v>
      </c>
      <c r="E22" s="245" t="s">
        <v>150</v>
      </c>
      <c r="F22" s="246" t="s">
        <v>150</v>
      </c>
      <c r="G22" s="246">
        <v>3.968</v>
      </c>
      <c r="H22" s="245">
        <v>77</v>
      </c>
      <c r="I22" s="246">
        <f t="shared" si="0"/>
        <v>305.536</v>
      </c>
      <c r="J22" s="245">
        <v>7</v>
      </c>
      <c r="K22" s="245">
        <v>10</v>
      </c>
      <c r="L22" s="245">
        <v>13</v>
      </c>
      <c r="M22" s="246">
        <v>190.61</v>
      </c>
      <c r="N22" s="245"/>
      <c r="O22" s="245">
        <v>14</v>
      </c>
      <c r="P22" s="244">
        <v>16.5</v>
      </c>
      <c r="Q22" s="245" t="s">
        <v>176</v>
      </c>
      <c r="R22" s="219"/>
      <c r="S22" s="219"/>
      <c r="T22" s="295"/>
      <c r="U22" s="437">
        <v>89.574073587353169</v>
      </c>
      <c r="V22" s="438"/>
      <c r="W22" s="436">
        <v>41.375065376529861</v>
      </c>
      <c r="X22" s="247"/>
      <c r="Y22" s="247"/>
      <c r="Z22" s="435">
        <v>0.76526026937107716</v>
      </c>
      <c r="AA22" s="435">
        <v>0.66544371249658885</v>
      </c>
      <c r="AB22" s="247"/>
      <c r="AC22" s="302"/>
      <c r="AD22" s="304">
        <v>7.2700000000000004E-3</v>
      </c>
      <c r="AE22" s="247"/>
      <c r="AF22" s="440">
        <v>25.450184971727627</v>
      </c>
      <c r="AG22" s="440">
        <v>34.679624218815185</v>
      </c>
      <c r="AH22" s="440">
        <v>77.110694965626791</v>
      </c>
      <c r="AI22" s="440">
        <v>69.962291017644176</v>
      </c>
      <c r="AJ22" s="440">
        <v>35.630258960418679</v>
      </c>
      <c r="AK22" s="440">
        <v>18.091277400414004</v>
      </c>
      <c r="AL22" s="440">
        <v>15.34</v>
      </c>
      <c r="AM22" s="440">
        <v>48.746755644238362</v>
      </c>
      <c r="AN22" s="440">
        <v>31.920549699602066</v>
      </c>
      <c r="AO22" s="440">
        <v>52.53304249299407</v>
      </c>
      <c r="AP22" s="440">
        <v>12.46</v>
      </c>
      <c r="AQ22" s="47"/>
      <c r="AR22" s="242" t="s">
        <v>109</v>
      </c>
      <c r="AS22" s="47"/>
      <c r="AT22" s="352">
        <v>25.36</v>
      </c>
      <c r="AU22" s="352">
        <v>35.67</v>
      </c>
      <c r="AV22" s="352">
        <v>76.040000000000006</v>
      </c>
      <c r="AW22" s="352">
        <v>69.27</v>
      </c>
      <c r="AX22" s="352">
        <v>35.479999999999997</v>
      </c>
      <c r="AY22" s="352">
        <v>18.68</v>
      </c>
      <c r="AZ22" s="352">
        <v>15.21</v>
      </c>
      <c r="BA22" s="352">
        <v>48.39</v>
      </c>
      <c r="BB22" s="352">
        <v>31.48</v>
      </c>
      <c r="BC22" s="352">
        <v>52.33</v>
      </c>
      <c r="BD22" s="352">
        <v>12.68</v>
      </c>
    </row>
    <row r="23" spans="1:56">
      <c r="A23" s="243" t="s">
        <v>108</v>
      </c>
      <c r="B23" s="245" t="s">
        <v>168</v>
      </c>
      <c r="C23" s="244" t="s">
        <v>169</v>
      </c>
      <c r="D23" s="244" t="s">
        <v>129</v>
      </c>
      <c r="E23" s="244" t="s">
        <v>129</v>
      </c>
      <c r="F23" s="246" t="s">
        <v>129</v>
      </c>
      <c r="G23" s="246">
        <v>4.9290000000000003</v>
      </c>
      <c r="H23" s="245">
        <v>62</v>
      </c>
      <c r="I23" s="246">
        <f t="shared" si="0"/>
        <v>305.59800000000001</v>
      </c>
      <c r="J23" s="245">
        <v>12</v>
      </c>
      <c r="K23" s="245">
        <v>13</v>
      </c>
      <c r="L23" s="245">
        <v>9</v>
      </c>
      <c r="M23" s="246">
        <v>215.41</v>
      </c>
      <c r="N23" s="245"/>
      <c r="O23" s="245">
        <v>16</v>
      </c>
      <c r="P23" s="244">
        <v>12</v>
      </c>
      <c r="Q23" s="245" t="s">
        <v>166</v>
      </c>
      <c r="R23" s="219"/>
      <c r="S23" s="219"/>
      <c r="T23" s="295"/>
      <c r="U23" s="437">
        <v>73.870416565896591</v>
      </c>
      <c r="V23" s="438"/>
      <c r="W23" s="436">
        <v>51.610154498938371</v>
      </c>
      <c r="X23" s="247"/>
      <c r="Y23" s="247"/>
      <c r="Z23" s="435">
        <v>0.85449589499414735</v>
      </c>
      <c r="AA23" s="435">
        <v>0.74303990869056302</v>
      </c>
      <c r="AB23" s="247"/>
      <c r="AC23" s="302"/>
      <c r="AD23" s="304">
        <v>1.2999999999999999E-2</v>
      </c>
      <c r="AE23" s="247"/>
      <c r="AF23" s="440">
        <v>23.5</v>
      </c>
      <c r="AG23" s="440">
        <v>41.5</v>
      </c>
      <c r="AH23" s="440">
        <v>40</v>
      </c>
      <c r="AI23" s="440">
        <v>43</v>
      </c>
      <c r="AJ23" s="440">
        <v>33</v>
      </c>
      <c r="AK23" s="440">
        <v>19</v>
      </c>
      <c r="AL23" s="440">
        <v>20.6</v>
      </c>
      <c r="AM23" s="440">
        <v>38.5</v>
      </c>
      <c r="AN23" s="440">
        <v>48.5</v>
      </c>
      <c r="AO23" s="440">
        <v>40</v>
      </c>
      <c r="AP23" s="440">
        <v>19.5</v>
      </c>
      <c r="AQ23" s="47"/>
      <c r="AR23" s="242" t="s">
        <v>108</v>
      </c>
      <c r="AS23" s="47"/>
      <c r="AT23" s="352">
        <v>23.24</v>
      </c>
      <c r="AU23" s="352">
        <v>40.44</v>
      </c>
      <c r="AV23" s="352">
        <v>39.130000000000003</v>
      </c>
      <c r="AW23" s="352">
        <v>42.27</v>
      </c>
      <c r="AX23" s="352">
        <v>32.049999999999997</v>
      </c>
      <c r="AY23" s="352">
        <v>18.02</v>
      </c>
      <c r="AZ23" s="352">
        <v>20.62</v>
      </c>
      <c r="BA23" s="352">
        <v>38.270000000000003</v>
      </c>
      <c r="BB23" s="352">
        <v>47.41</v>
      </c>
      <c r="BC23" s="352">
        <v>38.54</v>
      </c>
      <c r="BD23" s="352">
        <v>19.739999999999998</v>
      </c>
    </row>
    <row r="24" spans="1:56">
      <c r="A24" s="243" t="s">
        <v>107</v>
      </c>
      <c r="B24" s="244" t="s">
        <v>166</v>
      </c>
      <c r="C24" s="244" t="s">
        <v>167</v>
      </c>
      <c r="D24" s="244" t="s">
        <v>129</v>
      </c>
      <c r="E24" s="244" t="s">
        <v>151</v>
      </c>
      <c r="F24" s="246" t="s">
        <v>129</v>
      </c>
      <c r="G24" s="246">
        <v>4.2</v>
      </c>
      <c r="H24" s="245">
        <v>73</v>
      </c>
      <c r="I24" s="246">
        <f t="shared" si="0"/>
        <v>306.60000000000002</v>
      </c>
      <c r="J24" s="245">
        <v>10</v>
      </c>
      <c r="K24" s="245">
        <v>9</v>
      </c>
      <c r="L24" s="245">
        <v>11</v>
      </c>
      <c r="M24" s="246">
        <v>208.47</v>
      </c>
      <c r="N24" s="245"/>
      <c r="O24" s="245">
        <v>13</v>
      </c>
      <c r="P24" s="244">
        <v>25.5</v>
      </c>
      <c r="Q24" s="245" t="s">
        <v>175</v>
      </c>
      <c r="R24" s="219"/>
      <c r="S24" s="219"/>
      <c r="T24" s="295"/>
      <c r="U24" s="437">
        <v>67.60986593885589</v>
      </c>
      <c r="V24" s="438"/>
      <c r="W24" s="436">
        <v>-7.3688990289877108</v>
      </c>
      <c r="X24" s="247"/>
      <c r="Y24" s="247"/>
      <c r="Z24" s="435">
        <v>0.88823329015969521</v>
      </c>
      <c r="AA24" s="435">
        <v>0.77237677405190897</v>
      </c>
      <c r="AB24" s="247"/>
      <c r="AC24" s="302"/>
      <c r="AD24" s="304">
        <v>9.8099999999999993E-3</v>
      </c>
      <c r="AE24" s="247"/>
      <c r="AF24" s="440">
        <v>44.04</v>
      </c>
      <c r="AG24" s="440">
        <v>57.09</v>
      </c>
      <c r="AH24" s="440">
        <v>27.73</v>
      </c>
      <c r="AI24" s="440">
        <v>32.619999999999997</v>
      </c>
      <c r="AJ24" s="440">
        <v>39.15</v>
      </c>
      <c r="AK24" s="440">
        <v>35.880000000000003</v>
      </c>
      <c r="AL24" s="440">
        <v>17.899999999999999</v>
      </c>
      <c r="AM24" s="440">
        <v>45.67</v>
      </c>
      <c r="AN24" s="440">
        <v>44.04</v>
      </c>
      <c r="AO24" s="440">
        <v>50.56</v>
      </c>
      <c r="AP24" s="440">
        <v>16.309999999999999</v>
      </c>
      <c r="AQ24" s="47"/>
      <c r="AR24" s="242" t="s">
        <v>107</v>
      </c>
      <c r="AS24" s="47"/>
      <c r="AT24" s="352">
        <v>46.17</v>
      </c>
      <c r="AU24" s="352">
        <v>59.6</v>
      </c>
      <c r="AV24" s="352">
        <v>27.55</v>
      </c>
      <c r="AW24" s="352">
        <v>33.99</v>
      </c>
      <c r="AX24" s="352">
        <v>40.729999999999997</v>
      </c>
      <c r="AY24" s="352">
        <v>37.43</v>
      </c>
      <c r="AZ24" s="352">
        <v>18.05</v>
      </c>
      <c r="BA24" s="352">
        <v>46.73</v>
      </c>
      <c r="BB24" s="352">
        <v>53.59</v>
      </c>
      <c r="BC24" s="352">
        <v>52.02</v>
      </c>
      <c r="BD24" s="352">
        <v>15.32</v>
      </c>
    </row>
    <row r="25" spans="1:56">
      <c r="A25" s="243" t="s">
        <v>106</v>
      </c>
      <c r="B25" s="244" t="s">
        <v>166</v>
      </c>
      <c r="C25" s="244" t="s">
        <v>177</v>
      </c>
      <c r="D25" s="244" t="s">
        <v>172</v>
      </c>
      <c r="E25" s="244" t="s">
        <v>133</v>
      </c>
      <c r="F25" s="246" t="s">
        <v>134</v>
      </c>
      <c r="G25" s="246">
        <v>4.0220000000000002</v>
      </c>
      <c r="H25" s="245">
        <v>200</v>
      </c>
      <c r="I25" s="246">
        <f t="shared" si="0"/>
        <v>804.40000000000009</v>
      </c>
      <c r="J25" s="245">
        <v>17</v>
      </c>
      <c r="K25" s="245">
        <v>9</v>
      </c>
      <c r="L25" s="245">
        <v>2</v>
      </c>
      <c r="M25" s="246">
        <v>408.42</v>
      </c>
      <c r="N25" s="245"/>
      <c r="O25" s="245">
        <v>4</v>
      </c>
      <c r="P25" s="244">
        <v>45</v>
      </c>
      <c r="Q25" s="245" t="s">
        <v>166</v>
      </c>
      <c r="R25" s="219"/>
      <c r="S25" s="219"/>
      <c r="T25" s="295"/>
      <c r="U25" s="437">
        <v>77.065772515562387</v>
      </c>
      <c r="V25" s="438"/>
      <c r="W25" s="436">
        <v>67.599999999999994</v>
      </c>
      <c r="X25" s="247"/>
      <c r="Y25" s="247"/>
      <c r="Z25" s="435">
        <v>0.9042</v>
      </c>
      <c r="AA25" s="435">
        <v>0.749</v>
      </c>
      <c r="AB25" s="247"/>
      <c r="AC25" s="302"/>
      <c r="AD25" s="304">
        <v>2.516E-3</v>
      </c>
      <c r="AE25" s="247"/>
      <c r="AF25" s="440">
        <v>28.95</v>
      </c>
      <c r="AG25" s="440">
        <v>104.06</v>
      </c>
      <c r="AH25" s="440">
        <v>17.52</v>
      </c>
      <c r="AI25" s="440">
        <v>20.81</v>
      </c>
      <c r="AJ25" s="440">
        <v>34.49</v>
      </c>
      <c r="AK25" s="440">
        <v>22.38</v>
      </c>
      <c r="AL25" s="440">
        <v>26.35</v>
      </c>
      <c r="AM25" s="440">
        <v>16.670000000000002</v>
      </c>
      <c r="AN25" s="440">
        <v>11.85</v>
      </c>
      <c r="AO25" s="440">
        <v>31.39</v>
      </c>
      <c r="AP25" s="440">
        <v>18.809999999999999</v>
      </c>
      <c r="AQ25" s="47"/>
      <c r="AR25" s="242" t="s">
        <v>106</v>
      </c>
      <c r="AS25" s="47"/>
      <c r="AT25" s="352">
        <v>28.95</v>
      </c>
      <c r="AU25" s="352">
        <v>104.06</v>
      </c>
      <c r="AV25" s="352">
        <v>17.52</v>
      </c>
      <c r="AW25" s="352">
        <v>20.81</v>
      </c>
      <c r="AX25" s="352">
        <v>34.49</v>
      </c>
      <c r="AY25" s="352">
        <v>22.38</v>
      </c>
      <c r="AZ25" s="352">
        <v>26.35</v>
      </c>
      <c r="BA25" s="352">
        <v>16.670000000000002</v>
      </c>
      <c r="BB25" s="352">
        <v>11.85</v>
      </c>
      <c r="BC25" s="352">
        <v>31.39</v>
      </c>
      <c r="BD25" s="352">
        <v>18.809999999999999</v>
      </c>
    </row>
    <row r="26" spans="1:56">
      <c r="A26" s="243" t="s">
        <v>105</v>
      </c>
      <c r="B26" s="245" t="s">
        <v>168</v>
      </c>
      <c r="C26" s="244" t="s">
        <v>171</v>
      </c>
      <c r="D26" s="244" t="s">
        <v>172</v>
      </c>
      <c r="E26" s="244" t="s">
        <v>129</v>
      </c>
      <c r="F26" s="246" t="s">
        <v>129</v>
      </c>
      <c r="G26" s="246">
        <v>4.3079999999999998</v>
      </c>
      <c r="H26" s="245">
        <v>71</v>
      </c>
      <c r="I26" s="246">
        <f t="shared" si="0"/>
        <v>305.86799999999999</v>
      </c>
      <c r="J26" s="245">
        <v>12</v>
      </c>
      <c r="K26" s="245">
        <v>9</v>
      </c>
      <c r="L26" s="245">
        <v>10</v>
      </c>
      <c r="M26" s="246">
        <v>217.49</v>
      </c>
      <c r="N26" s="245"/>
      <c r="O26" s="245">
        <v>14</v>
      </c>
      <c r="P26" s="244">
        <v>18</v>
      </c>
      <c r="Q26" s="245" t="s">
        <v>175</v>
      </c>
      <c r="R26" s="219"/>
      <c r="S26" s="219"/>
      <c r="T26" s="295"/>
      <c r="U26" s="437">
        <v>68.252085548798689</v>
      </c>
      <c r="V26" s="438"/>
      <c r="W26" s="436">
        <v>-53.030494709198223</v>
      </c>
      <c r="X26" s="247"/>
      <c r="Y26" s="247"/>
      <c r="Z26" s="435">
        <v>0.84121600450356504</v>
      </c>
      <c r="AA26" s="435">
        <v>0.73149217782918707</v>
      </c>
      <c r="AB26" s="247"/>
      <c r="AC26" s="302"/>
      <c r="AD26" s="304">
        <v>1.0800000000000001E-2</v>
      </c>
      <c r="AE26" s="247"/>
      <c r="AF26" s="440">
        <v>40.504579829123962</v>
      </c>
      <c r="AG26" s="440">
        <v>55.045944634925426</v>
      </c>
      <c r="AH26" s="440">
        <v>32.342951851173751</v>
      </c>
      <c r="AI26" s="440">
        <v>24.496451729814357</v>
      </c>
      <c r="AJ26" s="440">
        <v>47.086065311890955</v>
      </c>
      <c r="AK26" s="440">
        <v>23.20468044188868</v>
      </c>
      <c r="AL26" s="440">
        <v>21.37481615991959</v>
      </c>
      <c r="AM26" s="440">
        <v>32.945636098108949</v>
      </c>
      <c r="AN26" s="440">
        <v>59.038944776399184</v>
      </c>
      <c r="AO26" s="440">
        <v>42.145856839591389</v>
      </c>
      <c r="AP26" s="440">
        <v>20.439584173273541</v>
      </c>
      <c r="AQ26" s="47"/>
      <c r="AR26" s="242" t="s">
        <v>105</v>
      </c>
      <c r="AS26" s="47"/>
      <c r="AT26" s="352">
        <v>39.75</v>
      </c>
      <c r="AU26" s="352">
        <v>54.08</v>
      </c>
      <c r="AV26" s="352">
        <v>31.63</v>
      </c>
      <c r="AW26" s="352">
        <v>23.78</v>
      </c>
      <c r="AX26" s="352">
        <v>45.93</v>
      </c>
      <c r="AY26" s="352">
        <v>23.31</v>
      </c>
      <c r="AZ26" s="352">
        <v>21.24</v>
      </c>
      <c r="BA26" s="352">
        <v>32.32</v>
      </c>
      <c r="BB26" s="352">
        <v>57.65</v>
      </c>
      <c r="BC26" s="352">
        <v>40.909999999999997</v>
      </c>
      <c r="BD26" s="352">
        <v>19.77</v>
      </c>
    </row>
    <row r="27" spans="1:56">
      <c r="A27" s="243" t="s">
        <v>104</v>
      </c>
      <c r="B27" s="245" t="s">
        <v>168</v>
      </c>
      <c r="C27" s="244" t="s">
        <v>167</v>
      </c>
      <c r="D27" s="244" t="s">
        <v>129</v>
      </c>
      <c r="E27" s="244" t="s">
        <v>129</v>
      </c>
      <c r="F27" s="246" t="s">
        <v>151</v>
      </c>
      <c r="G27" s="246">
        <v>3.7160000000000002</v>
      </c>
      <c r="H27" s="245">
        <v>79</v>
      </c>
      <c r="I27" s="246">
        <v>293.56400000000002</v>
      </c>
      <c r="J27" s="245">
        <v>8</v>
      </c>
      <c r="K27" s="245">
        <v>12</v>
      </c>
      <c r="L27" s="245">
        <v>7</v>
      </c>
      <c r="M27" s="246">
        <v>168.61</v>
      </c>
      <c r="N27" s="245"/>
      <c r="O27" s="245">
        <v>12</v>
      </c>
      <c r="P27" s="244">
        <v>14</v>
      </c>
      <c r="Q27" s="245" t="s">
        <v>175</v>
      </c>
      <c r="R27" s="219"/>
      <c r="S27" s="219"/>
      <c r="T27" s="295"/>
      <c r="U27" s="437">
        <v>59.593222498623511</v>
      </c>
      <c r="V27" s="438"/>
      <c r="W27" s="436">
        <v>19.464899362224521</v>
      </c>
      <c r="X27" s="247"/>
      <c r="Y27" s="247"/>
      <c r="Z27" s="435">
        <v>0.84140898586762991</v>
      </c>
      <c r="AA27" s="435">
        <v>0.73165998771098262</v>
      </c>
      <c r="AB27" s="247"/>
      <c r="AC27" s="302"/>
      <c r="AD27" s="304">
        <v>9.2999999999999992E-3</v>
      </c>
      <c r="AE27" s="247"/>
      <c r="AF27" s="440">
        <v>28.040094727055898</v>
      </c>
      <c r="AG27" s="440">
        <v>50.220999999999997</v>
      </c>
      <c r="AH27" s="440">
        <v>45.783498931389644</v>
      </c>
      <c r="AI27" s="440">
        <v>43.025456827089059</v>
      </c>
      <c r="AJ27" s="440">
        <v>37.509372618487895</v>
      </c>
      <c r="AK27" s="440">
        <v>33.32</v>
      </c>
      <c r="AL27" s="440">
        <v>36.498090513577679</v>
      </c>
      <c r="AM27" s="440">
        <v>48.449606298880198</v>
      </c>
      <c r="AN27" s="440">
        <v>54.6092336651515</v>
      </c>
      <c r="AO27" s="440">
        <v>35.578743145477489</v>
      </c>
      <c r="AP27" s="440">
        <v>20.54</v>
      </c>
      <c r="AQ27" s="47"/>
      <c r="AR27" s="242" t="s">
        <v>104</v>
      </c>
      <c r="AS27" s="47"/>
      <c r="AT27" s="352">
        <v>27.62</v>
      </c>
      <c r="AU27" s="352">
        <v>49.49</v>
      </c>
      <c r="AV27" s="352">
        <v>43.48</v>
      </c>
      <c r="AW27" s="352">
        <v>41.08</v>
      </c>
      <c r="AX27" s="352">
        <v>36.1</v>
      </c>
      <c r="AY27" s="352">
        <v>32.409999999999997</v>
      </c>
      <c r="AZ27" s="352">
        <v>35.08</v>
      </c>
      <c r="BA27" s="352">
        <v>44.11</v>
      </c>
      <c r="BB27" s="352">
        <v>52.3</v>
      </c>
      <c r="BC27" s="352">
        <v>34.090000000000003</v>
      </c>
      <c r="BD27" s="352">
        <v>20.329999999999998</v>
      </c>
    </row>
    <row r="28" spans="1:56">
      <c r="A28" s="243" t="s">
        <v>103</v>
      </c>
      <c r="B28" s="245" t="s">
        <v>168</v>
      </c>
      <c r="C28" s="244" t="s">
        <v>171</v>
      </c>
      <c r="D28" s="244" t="s">
        <v>129</v>
      </c>
      <c r="E28" s="244" t="s">
        <v>129</v>
      </c>
      <c r="F28" s="246" t="s">
        <v>129</v>
      </c>
      <c r="G28" s="246">
        <v>5.3339999999999996</v>
      </c>
      <c r="H28" s="245">
        <v>58</v>
      </c>
      <c r="I28" s="246">
        <f t="shared" si="0"/>
        <v>309.37199999999996</v>
      </c>
      <c r="J28" s="245">
        <v>13</v>
      </c>
      <c r="K28" s="245">
        <v>10</v>
      </c>
      <c r="L28" s="245">
        <v>14</v>
      </c>
      <c r="M28" s="246">
        <v>227.29</v>
      </c>
      <c r="N28" s="245"/>
      <c r="O28" s="245">
        <v>14</v>
      </c>
      <c r="P28" s="244">
        <v>16</v>
      </c>
      <c r="Q28" s="245" t="s">
        <v>175</v>
      </c>
      <c r="R28" s="219"/>
      <c r="S28" s="219"/>
      <c r="T28" s="295"/>
      <c r="U28" s="437">
        <v>75.932150051155105</v>
      </c>
      <c r="V28" s="438"/>
      <c r="W28" s="436">
        <v>110.42887724705842</v>
      </c>
      <c r="X28" s="247"/>
      <c r="Y28" s="247"/>
      <c r="Z28" s="435">
        <v>0.8564496422514728</v>
      </c>
      <c r="AA28" s="435">
        <v>0.7447388193491068</v>
      </c>
      <c r="AB28" s="247"/>
      <c r="AC28" s="302"/>
      <c r="AD28" s="304">
        <v>1.2189999999999999E-2</v>
      </c>
      <c r="AE28" s="247"/>
      <c r="AF28" s="440">
        <v>26.84</v>
      </c>
      <c r="AG28" s="440">
        <v>29.5</v>
      </c>
      <c r="AH28" s="440">
        <v>16.7</v>
      </c>
      <c r="AI28" s="440">
        <v>18.91</v>
      </c>
      <c r="AJ28" s="440">
        <v>20.04</v>
      </c>
      <c r="AK28" s="440">
        <v>20.04</v>
      </c>
      <c r="AL28" s="440">
        <v>26.47</v>
      </c>
      <c r="AM28" s="440">
        <v>21.14</v>
      </c>
      <c r="AN28" s="440">
        <v>44.49</v>
      </c>
      <c r="AO28" s="440">
        <v>18.12</v>
      </c>
      <c r="AP28" s="440">
        <v>14.99</v>
      </c>
      <c r="AQ28" s="47"/>
      <c r="AR28" s="242" t="s">
        <v>103</v>
      </c>
      <c r="AS28" s="47"/>
      <c r="AT28" s="352">
        <v>27.3</v>
      </c>
      <c r="AU28" s="352">
        <v>29.74</v>
      </c>
      <c r="AV28" s="352">
        <v>17.29</v>
      </c>
      <c r="AW28" s="352">
        <v>19.399999999999999</v>
      </c>
      <c r="AX28" s="352">
        <v>20.07</v>
      </c>
      <c r="AY28" s="352">
        <v>20.84</v>
      </c>
      <c r="AZ28" s="352">
        <v>26.82</v>
      </c>
      <c r="BA28" s="352">
        <v>21.3</v>
      </c>
      <c r="BB28" s="352">
        <v>44.76</v>
      </c>
      <c r="BC28" s="352">
        <v>19.760000000000002</v>
      </c>
      <c r="BD28" s="352">
        <v>17.079999999999998</v>
      </c>
    </row>
    <row r="29" spans="1:56">
      <c r="A29" s="243" t="s">
        <v>511</v>
      </c>
      <c r="B29" s="535" t="s">
        <v>166</v>
      </c>
      <c r="C29" s="536" t="s">
        <v>171</v>
      </c>
      <c r="D29" s="536" t="s">
        <v>129</v>
      </c>
      <c r="E29" s="536" t="s">
        <v>133</v>
      </c>
      <c r="F29" s="537" t="s">
        <v>151</v>
      </c>
      <c r="G29" s="537">
        <v>6.1740000000000004</v>
      </c>
      <c r="H29" s="535">
        <v>50</v>
      </c>
      <c r="I29" s="537">
        <f t="shared" si="0"/>
        <v>308.70000000000005</v>
      </c>
      <c r="J29" s="535">
        <v>20</v>
      </c>
      <c r="K29" s="535">
        <v>12</v>
      </c>
      <c r="L29" s="535">
        <v>11</v>
      </c>
      <c r="M29" s="537">
        <v>241.82</v>
      </c>
      <c r="N29" s="535"/>
      <c r="O29" s="535">
        <v>27</v>
      </c>
      <c r="P29" s="536">
        <v>21</v>
      </c>
      <c r="Q29" s="535" t="s">
        <v>171</v>
      </c>
      <c r="R29" s="219"/>
      <c r="S29" s="219"/>
      <c r="T29" s="295"/>
      <c r="U29" s="538">
        <v>61.063397669965902</v>
      </c>
      <c r="V29" s="438"/>
      <c r="W29" s="436">
        <v>60.4</v>
      </c>
      <c r="X29" s="247"/>
      <c r="Y29" s="247"/>
      <c r="Z29" s="435">
        <v>0.91478000000000004</v>
      </c>
      <c r="AA29" s="435">
        <v>0.75</v>
      </c>
      <c r="AB29" s="247"/>
      <c r="AC29" s="302"/>
      <c r="AD29" s="539">
        <v>2.9521790999999999E-2</v>
      </c>
      <c r="AE29" s="247"/>
      <c r="AF29" s="540">
        <v>25</v>
      </c>
      <c r="AG29" s="540">
        <v>40</v>
      </c>
      <c r="AH29" s="540">
        <v>22</v>
      </c>
      <c r="AI29" s="540">
        <v>21</v>
      </c>
      <c r="AJ29" s="540">
        <v>17</v>
      </c>
      <c r="AK29" s="540">
        <v>17</v>
      </c>
      <c r="AL29" s="540">
        <v>24</v>
      </c>
      <c r="AM29" s="540">
        <v>32</v>
      </c>
      <c r="AN29" s="540">
        <v>28</v>
      </c>
      <c r="AO29" s="540">
        <v>24</v>
      </c>
      <c r="AP29" s="540">
        <v>17</v>
      </c>
      <c r="AQ29" s="47"/>
      <c r="AR29" s="242" t="s">
        <v>511</v>
      </c>
      <c r="AS29" s="47"/>
      <c r="AT29" s="352"/>
      <c r="AU29" s="352"/>
      <c r="AV29" s="352"/>
      <c r="AW29" s="352"/>
      <c r="AX29" s="352"/>
      <c r="AY29" s="352"/>
      <c r="AZ29" s="352"/>
      <c r="BA29" s="352"/>
      <c r="BB29" s="352"/>
      <c r="BC29" s="352"/>
      <c r="BD29" s="352"/>
    </row>
    <row r="30" spans="1:56">
      <c r="A30" s="243" t="s">
        <v>102</v>
      </c>
      <c r="B30" s="245" t="s">
        <v>168</v>
      </c>
      <c r="C30" s="244" t="s">
        <v>169</v>
      </c>
      <c r="D30" s="244" t="s">
        <v>172</v>
      </c>
      <c r="E30" s="244" t="s">
        <v>151</v>
      </c>
      <c r="F30" s="246" t="s">
        <v>133</v>
      </c>
      <c r="G30" s="246">
        <v>4.4409999999999998</v>
      </c>
      <c r="H30" s="245">
        <v>69</v>
      </c>
      <c r="I30" s="246">
        <f t="shared" si="0"/>
        <v>306.42899999999997</v>
      </c>
      <c r="J30" s="245">
        <v>8</v>
      </c>
      <c r="K30" s="245">
        <v>16</v>
      </c>
      <c r="L30" s="245">
        <v>8</v>
      </c>
      <c r="M30" s="246">
        <v>199.89</v>
      </c>
      <c r="N30" s="245"/>
      <c r="O30" s="245">
        <v>14</v>
      </c>
      <c r="P30" s="244">
        <v>18</v>
      </c>
      <c r="Q30" s="245" t="s">
        <v>166</v>
      </c>
      <c r="R30" s="219"/>
      <c r="S30" s="219"/>
      <c r="T30" s="295"/>
      <c r="U30" s="437">
        <v>55.364990454924552</v>
      </c>
      <c r="V30" s="438"/>
      <c r="W30" s="436">
        <v>134.75093208354775</v>
      </c>
      <c r="X30" s="247"/>
      <c r="Y30" s="247"/>
      <c r="Z30" s="435">
        <v>0.87594453946258111</v>
      </c>
      <c r="AA30" s="435">
        <v>0.76169090388050542</v>
      </c>
      <c r="AB30" s="247"/>
      <c r="AC30" s="302"/>
      <c r="AD30" s="304">
        <v>1.41E-2</v>
      </c>
      <c r="AE30" s="247"/>
      <c r="AF30" s="440">
        <v>34.6</v>
      </c>
      <c r="AG30" s="440">
        <v>56.366999999999997</v>
      </c>
      <c r="AH30" s="440">
        <v>36.22</v>
      </c>
      <c r="AI30" s="440">
        <v>40.950000000000003</v>
      </c>
      <c r="AJ30" s="440">
        <v>33.82</v>
      </c>
      <c r="AK30" s="440">
        <v>29.399000000000001</v>
      </c>
      <c r="AL30" s="440">
        <v>19.350000000000001</v>
      </c>
      <c r="AM30" s="440">
        <v>31.73</v>
      </c>
      <c r="AN30" s="440">
        <v>50.98</v>
      </c>
      <c r="AO30" s="440">
        <v>46.91</v>
      </c>
      <c r="AP30" s="440">
        <v>21.82</v>
      </c>
      <c r="AQ30" s="47"/>
      <c r="AR30" s="242" t="s">
        <v>102</v>
      </c>
      <c r="AS30" s="47"/>
      <c r="AT30" s="352">
        <v>36.69</v>
      </c>
      <c r="AU30" s="352">
        <v>57.14</v>
      </c>
      <c r="AV30" s="352">
        <v>38.049999999999997</v>
      </c>
      <c r="AW30" s="352">
        <v>41.69</v>
      </c>
      <c r="AX30" s="352">
        <v>34.46</v>
      </c>
      <c r="AY30" s="352">
        <v>29.92</v>
      </c>
      <c r="AZ30" s="352">
        <v>20.89</v>
      </c>
      <c r="BA30" s="352">
        <v>32.79</v>
      </c>
      <c r="BB30" s="352">
        <v>50.8</v>
      </c>
      <c r="BC30" s="352">
        <v>47.78</v>
      </c>
      <c r="BD30" s="352">
        <v>23.66</v>
      </c>
    </row>
    <row r="31" spans="1:56">
      <c r="A31" s="243" t="s">
        <v>311</v>
      </c>
      <c r="B31" s="245" t="s">
        <v>170</v>
      </c>
      <c r="C31" s="244" t="s">
        <v>171</v>
      </c>
      <c r="D31" s="244" t="s">
        <v>129</v>
      </c>
      <c r="E31" s="244" t="s">
        <v>134</v>
      </c>
      <c r="F31" s="246" t="s">
        <v>151</v>
      </c>
      <c r="G31" s="246">
        <v>2.2999999999999998</v>
      </c>
      <c r="H31" s="245">
        <v>136</v>
      </c>
      <c r="I31" s="246">
        <f t="shared" si="0"/>
        <v>312.79999999999995</v>
      </c>
      <c r="J31" s="245">
        <v>5</v>
      </c>
      <c r="K31" s="245">
        <v>9</v>
      </c>
      <c r="L31" s="245">
        <v>4</v>
      </c>
      <c r="M31" s="246">
        <v>157.13999999999999</v>
      </c>
      <c r="N31" s="245"/>
      <c r="O31" s="245">
        <v>20</v>
      </c>
      <c r="P31" s="244">
        <v>19.5</v>
      </c>
      <c r="Q31" s="245" t="s">
        <v>171</v>
      </c>
      <c r="R31" s="219"/>
      <c r="S31" s="219"/>
      <c r="T31" s="295"/>
      <c r="U31" s="531">
        <v>58.5</v>
      </c>
      <c r="V31" s="438"/>
      <c r="W31" s="436">
        <v>106.93</v>
      </c>
      <c r="X31" s="247"/>
      <c r="Y31" s="247"/>
      <c r="Z31" s="435">
        <v>0.82599999999999996</v>
      </c>
      <c r="AA31" s="439">
        <v>0</v>
      </c>
      <c r="AB31" s="247"/>
      <c r="AC31" s="302"/>
      <c r="AD31" s="532">
        <v>1.1103448300000001E-2</v>
      </c>
      <c r="AE31" s="247"/>
      <c r="AF31" s="440">
        <v>13.52</v>
      </c>
      <c r="AG31" s="440">
        <v>21.75</v>
      </c>
      <c r="AH31" s="440">
        <v>28.74</v>
      </c>
      <c r="AI31" s="440">
        <v>27.26</v>
      </c>
      <c r="AJ31" s="440">
        <v>12.18</v>
      </c>
      <c r="AK31" s="440">
        <v>10.82</v>
      </c>
      <c r="AL31" s="440">
        <v>9.4</v>
      </c>
      <c r="AM31" s="440">
        <v>23.12</v>
      </c>
      <c r="AN31" s="440">
        <v>33</v>
      </c>
      <c r="AO31" s="440">
        <v>14.91</v>
      </c>
      <c r="AP31" s="440">
        <v>13.35</v>
      </c>
      <c r="AQ31" s="47"/>
      <c r="AR31" s="242" t="s">
        <v>311</v>
      </c>
      <c r="AS31" s="47"/>
      <c r="AT31" s="352">
        <v>13.52</v>
      </c>
      <c r="AU31" s="352">
        <v>21.75</v>
      </c>
      <c r="AV31" s="352">
        <v>28.74</v>
      </c>
      <c r="AW31" s="352">
        <v>27.26</v>
      </c>
      <c r="AX31" s="352">
        <v>12.18</v>
      </c>
      <c r="AY31" s="352">
        <v>10.82</v>
      </c>
      <c r="AZ31" s="352">
        <v>9.4</v>
      </c>
      <c r="BA31" s="352">
        <v>23.12</v>
      </c>
      <c r="BB31" s="352">
        <v>33</v>
      </c>
      <c r="BC31" s="352">
        <v>14.91</v>
      </c>
      <c r="BD31" s="352">
        <v>13.35</v>
      </c>
    </row>
    <row r="32" spans="1:56">
      <c r="A32" s="243" t="s">
        <v>101</v>
      </c>
      <c r="B32" s="245" t="s">
        <v>168</v>
      </c>
      <c r="C32" s="244" t="s">
        <v>171</v>
      </c>
      <c r="D32" s="244" t="s">
        <v>129</v>
      </c>
      <c r="E32" s="244" t="s">
        <v>129</v>
      </c>
      <c r="F32" s="246" t="s">
        <v>151</v>
      </c>
      <c r="G32" s="246">
        <v>3.3010000000000002</v>
      </c>
      <c r="H32" s="245">
        <v>80</v>
      </c>
      <c r="I32" s="246">
        <f t="shared" si="0"/>
        <v>264.08000000000004</v>
      </c>
      <c r="J32" s="245">
        <v>9</v>
      </c>
      <c r="K32" s="245">
        <v>10</v>
      </c>
      <c r="L32" s="245">
        <v>5</v>
      </c>
      <c r="M32" s="246">
        <v>158.80000000000001</v>
      </c>
      <c r="N32" s="245"/>
      <c r="O32" s="245">
        <v>10</v>
      </c>
      <c r="P32" s="244">
        <v>11</v>
      </c>
      <c r="Q32" s="245" t="s">
        <v>166</v>
      </c>
      <c r="R32" s="219"/>
      <c r="S32" s="219"/>
      <c r="T32" s="295"/>
      <c r="U32" s="437">
        <v>57.696844766388381</v>
      </c>
      <c r="V32" s="438"/>
      <c r="W32" s="436">
        <v>89.12599803894885</v>
      </c>
      <c r="X32" s="247"/>
      <c r="Y32" s="247"/>
      <c r="Z32" s="435">
        <v>0.84530910111562618</v>
      </c>
      <c r="AA32" s="435">
        <v>0.73505139227445759</v>
      </c>
      <c r="AB32" s="247"/>
      <c r="AC32" s="302"/>
      <c r="AD32" s="305">
        <v>6.2500000000000003E-3</v>
      </c>
      <c r="AE32" s="247"/>
      <c r="AF32" s="440">
        <v>24.251721344088537</v>
      </c>
      <c r="AG32" s="440">
        <v>42.670760573160379</v>
      </c>
      <c r="AH32" s="440">
        <v>28.905999097947351</v>
      </c>
      <c r="AI32" s="440">
        <v>25.123878959592144</v>
      </c>
      <c r="AJ32" s="440">
        <v>30.282475245468653</v>
      </c>
      <c r="AK32" s="440">
        <v>20.537386640747229</v>
      </c>
      <c r="AL32" s="440">
        <v>12.917383442320256</v>
      </c>
      <c r="AM32" s="440">
        <v>21.409544256250836</v>
      </c>
      <c r="AN32" s="440">
        <v>11.490187959237067</v>
      </c>
      <c r="AO32" s="440">
        <v>45.423712868202983</v>
      </c>
      <c r="AP32" s="440">
        <v>12.682480287924955</v>
      </c>
      <c r="AQ32" s="47"/>
      <c r="AR32" s="242" t="s">
        <v>101</v>
      </c>
      <c r="AS32" s="47"/>
      <c r="AT32" s="352">
        <v>24.49</v>
      </c>
      <c r="AU32" s="352">
        <v>41.33</v>
      </c>
      <c r="AV32" s="352">
        <v>29.17</v>
      </c>
      <c r="AW32" s="352">
        <v>25.86</v>
      </c>
      <c r="AX32" s="352">
        <v>30.55</v>
      </c>
      <c r="AY32" s="352">
        <v>20.88</v>
      </c>
      <c r="AZ32" s="352">
        <v>14.69</v>
      </c>
      <c r="BA32" s="352">
        <v>21.75</v>
      </c>
      <c r="BB32" s="352">
        <v>13.33</v>
      </c>
      <c r="BC32" s="352">
        <v>44.14</v>
      </c>
      <c r="BD32" s="352">
        <v>13.05</v>
      </c>
    </row>
    <row r="33" spans="1:56">
      <c r="A33" s="243" t="s">
        <v>100</v>
      </c>
      <c r="B33" s="245" t="s">
        <v>170</v>
      </c>
      <c r="C33" s="244" t="s">
        <v>169</v>
      </c>
      <c r="D33" s="244" t="s">
        <v>174</v>
      </c>
      <c r="E33" s="244" t="s">
        <v>150</v>
      </c>
      <c r="F33" s="246" t="s">
        <v>129</v>
      </c>
      <c r="G33" s="246">
        <v>4.2610000000000001</v>
      </c>
      <c r="H33" s="245">
        <v>72</v>
      </c>
      <c r="I33" s="246">
        <f t="shared" si="0"/>
        <v>306.79200000000003</v>
      </c>
      <c r="J33" s="245">
        <v>9</v>
      </c>
      <c r="K33" s="245">
        <v>12</v>
      </c>
      <c r="L33" s="245">
        <v>9</v>
      </c>
      <c r="M33" s="246">
        <v>230.27</v>
      </c>
      <c r="N33" s="245"/>
      <c r="O33" s="245">
        <v>14</v>
      </c>
      <c r="P33" s="244">
        <v>15</v>
      </c>
      <c r="Q33" s="245" t="s">
        <v>178</v>
      </c>
      <c r="R33" s="219"/>
      <c r="S33" s="219"/>
      <c r="T33" s="295"/>
      <c r="U33" s="437">
        <v>68.868076997999125</v>
      </c>
      <c r="V33" s="438"/>
      <c r="W33" s="436">
        <v>223.52474872329628</v>
      </c>
      <c r="X33" s="247"/>
      <c r="Y33" s="247"/>
      <c r="Z33" s="435">
        <v>0.80505222378967611</v>
      </c>
      <c r="AA33" s="435">
        <v>0.70004541199102277</v>
      </c>
      <c r="AB33" s="247"/>
      <c r="AC33" s="302"/>
      <c r="AD33" s="304">
        <v>1.052E-2</v>
      </c>
      <c r="AE33" s="247"/>
      <c r="AF33" s="440">
        <v>21.563296199644263</v>
      </c>
      <c r="AG33" s="440">
        <v>32.835197199261685</v>
      </c>
      <c r="AH33" s="440">
        <v>36.123897066776728</v>
      </c>
      <c r="AI33" s="440">
        <v>40.761383275267065</v>
      </c>
      <c r="AJ33" s="440">
        <v>19.232784094937397</v>
      </c>
      <c r="AK33" s="440">
        <v>15.749948630111327</v>
      </c>
      <c r="AL33" s="440">
        <v>32.835197199261685</v>
      </c>
      <c r="AM33" s="440">
        <v>48.081960237343495</v>
      </c>
      <c r="AN33" s="440">
        <v>27.204826208648576</v>
      </c>
      <c r="AO33" s="440">
        <v>23.218805151792985</v>
      </c>
      <c r="AP33" s="440">
        <v>20.877134028694918</v>
      </c>
      <c r="AQ33" s="47"/>
      <c r="AR33" s="242" t="s">
        <v>100</v>
      </c>
      <c r="AS33" s="47"/>
      <c r="AT33" s="352">
        <v>23.08</v>
      </c>
      <c r="AU33" s="352">
        <v>33</v>
      </c>
      <c r="AV33" s="352">
        <v>35.700000000000003</v>
      </c>
      <c r="AW33" s="352">
        <v>39.81</v>
      </c>
      <c r="AX33" s="352">
        <v>20.62</v>
      </c>
      <c r="AY33" s="352">
        <v>18.510000000000002</v>
      </c>
      <c r="AZ33" s="352">
        <v>32.57</v>
      </c>
      <c r="BA33" s="352">
        <v>46.16</v>
      </c>
      <c r="BB33" s="352">
        <v>28.46</v>
      </c>
      <c r="BC33" s="352">
        <v>24.41</v>
      </c>
      <c r="BD33" s="352">
        <v>21.71</v>
      </c>
    </row>
    <row r="34" spans="1:56" ht="12" customHeight="1">
      <c r="A34" s="243" t="s">
        <v>99</v>
      </c>
      <c r="B34" s="245" t="s">
        <v>168</v>
      </c>
      <c r="C34" s="244" t="s">
        <v>167</v>
      </c>
      <c r="D34" s="244" t="s">
        <v>172</v>
      </c>
      <c r="E34" s="244" t="s">
        <v>133</v>
      </c>
      <c r="F34" s="246" t="s">
        <v>151</v>
      </c>
      <c r="G34" s="246">
        <v>3.601</v>
      </c>
      <c r="H34" s="245">
        <v>79</v>
      </c>
      <c r="I34" s="246">
        <f t="shared" si="0"/>
        <v>284.47899999999998</v>
      </c>
      <c r="J34" s="245">
        <v>11</v>
      </c>
      <c r="K34" s="245">
        <v>8</v>
      </c>
      <c r="L34" s="245">
        <v>7</v>
      </c>
      <c r="M34" s="246">
        <v>180.7</v>
      </c>
      <c r="N34" s="245"/>
      <c r="O34" s="245">
        <v>11</v>
      </c>
      <c r="P34" s="244">
        <v>16.7</v>
      </c>
      <c r="Q34" s="245" t="s">
        <v>178</v>
      </c>
      <c r="R34" s="219"/>
      <c r="S34" s="219"/>
      <c r="T34" s="295"/>
      <c r="U34" s="437">
        <v>61.914578934586821</v>
      </c>
      <c r="V34" s="438"/>
      <c r="W34" s="436">
        <v>-146.74132209854127</v>
      </c>
      <c r="X34" s="247"/>
      <c r="Y34" s="247"/>
      <c r="Z34" s="435">
        <v>0.90200000000000002</v>
      </c>
      <c r="AA34" s="435">
        <v>0.78434782608695663</v>
      </c>
      <c r="AB34" s="247"/>
      <c r="AC34" s="302"/>
      <c r="AD34" s="304">
        <v>7.7000000000000002E-3</v>
      </c>
      <c r="AE34" s="247"/>
      <c r="AF34" s="440">
        <v>30.676058971948265</v>
      </c>
      <c r="AG34" s="440">
        <v>37.772685466325122</v>
      </c>
      <c r="AH34" s="440">
        <v>27.018967262814154</v>
      </c>
      <c r="AI34" s="440">
        <v>18.50301546956192</v>
      </c>
      <c r="AJ34" s="440">
        <v>18.50301546956192</v>
      </c>
      <c r="AK34" s="440">
        <v>17.083690170686548</v>
      </c>
      <c r="AL34" s="440">
        <v>25.59964196393878</v>
      </c>
      <c r="AM34" s="440">
        <v>37.990242390216487</v>
      </c>
      <c r="AN34" s="440">
        <v>42.030661362951243</v>
      </c>
      <c r="AO34" s="440">
        <v>36.570917091341109</v>
      </c>
      <c r="AP34" s="440">
        <v>10.58794786380169</v>
      </c>
      <c r="AQ34" s="47"/>
      <c r="AR34" s="242" t="s">
        <v>99</v>
      </c>
      <c r="AS34" s="47"/>
      <c r="AT34" s="352">
        <v>30.15</v>
      </c>
      <c r="AU34" s="352">
        <v>37.57</v>
      </c>
      <c r="AV34" s="352">
        <v>26.36</v>
      </c>
      <c r="AW34" s="352">
        <v>17.55</v>
      </c>
      <c r="AX34" s="352">
        <v>17.190000000000001</v>
      </c>
      <c r="AY34" s="352">
        <v>15.8</v>
      </c>
      <c r="AZ34" s="352">
        <v>24.43</v>
      </c>
      <c r="BA34" s="352">
        <v>39.46</v>
      </c>
      <c r="BB34" s="352">
        <v>43.06</v>
      </c>
      <c r="BC34" s="352">
        <v>34.92</v>
      </c>
      <c r="BD34" s="352">
        <v>9.33</v>
      </c>
    </row>
    <row r="35" spans="1:56">
      <c r="A35" s="243" t="s">
        <v>98</v>
      </c>
      <c r="B35" s="245" t="s">
        <v>168</v>
      </c>
      <c r="C35" s="244" t="s">
        <v>169</v>
      </c>
      <c r="D35" s="244" t="s">
        <v>129</v>
      </c>
      <c r="E35" s="244" t="s">
        <v>129</v>
      </c>
      <c r="F35" s="246" t="s">
        <v>129</v>
      </c>
      <c r="G35" s="246">
        <v>4.2469999999999999</v>
      </c>
      <c r="H35" s="245">
        <v>72</v>
      </c>
      <c r="I35" s="246">
        <f t="shared" si="0"/>
        <v>305.78399999999999</v>
      </c>
      <c r="J35" s="245">
        <v>12</v>
      </c>
      <c r="K35" s="245">
        <v>8</v>
      </c>
      <c r="L35" s="245">
        <v>11</v>
      </c>
      <c r="M35" s="246">
        <v>208.84</v>
      </c>
      <c r="N35" s="245"/>
      <c r="O35" s="245">
        <v>14</v>
      </c>
      <c r="P35" s="244">
        <v>18</v>
      </c>
      <c r="Q35" s="245" t="s">
        <v>175</v>
      </c>
      <c r="R35" s="219"/>
      <c r="S35" s="219"/>
      <c r="T35" s="295"/>
      <c r="U35" s="437">
        <v>63.590268283946749</v>
      </c>
      <c r="V35" s="438"/>
      <c r="W35" s="436">
        <v>156.66699734010103</v>
      </c>
      <c r="X35" s="247"/>
      <c r="Y35" s="247"/>
      <c r="Z35" s="435">
        <v>0.85609418546665905</v>
      </c>
      <c r="AA35" s="435">
        <v>0.74442972649274708</v>
      </c>
      <c r="AB35" s="247"/>
      <c r="AC35" s="302"/>
      <c r="AD35" s="304">
        <v>1.1440000000000001E-2</v>
      </c>
      <c r="AE35" s="247"/>
      <c r="AF35" s="440">
        <v>23.816840730595342</v>
      </c>
      <c r="AG35" s="440">
        <v>46.803769574569969</v>
      </c>
      <c r="AH35" s="440">
        <v>30.489081528745</v>
      </c>
      <c r="AI35" s="440">
        <v>26.080646596018827</v>
      </c>
      <c r="AJ35" s="440">
        <v>28.464610819683468</v>
      </c>
      <c r="AK35" s="440">
        <v>20.231269808276618</v>
      </c>
      <c r="AL35" s="440">
        <v>21.270546989096889</v>
      </c>
      <c r="AM35" s="440">
        <v>38.829382526432063</v>
      </c>
      <c r="AN35" s="440">
        <v>54.138670904427038</v>
      </c>
      <c r="AO35" s="440">
        <v>40.438831722738051</v>
      </c>
      <c r="AP35" s="440">
        <v>10.517051867955495</v>
      </c>
      <c r="AQ35" s="47"/>
      <c r="AR35" s="242" t="s">
        <v>98</v>
      </c>
      <c r="AS35" s="47"/>
      <c r="AT35" s="352">
        <v>23.46</v>
      </c>
      <c r="AU35" s="352">
        <v>42.8</v>
      </c>
      <c r="AV35" s="352">
        <v>29.12</v>
      </c>
      <c r="AW35" s="352">
        <v>25.74</v>
      </c>
      <c r="AX35" s="352">
        <v>27.43</v>
      </c>
      <c r="AY35" s="352">
        <v>20.76</v>
      </c>
      <c r="AZ35" s="352">
        <v>21.25</v>
      </c>
      <c r="BA35" s="352">
        <v>34.840000000000003</v>
      </c>
      <c r="BB35" s="352">
        <v>48.36</v>
      </c>
      <c r="BC35" s="352">
        <v>37.869999999999997</v>
      </c>
      <c r="BD35" s="352">
        <v>13.49</v>
      </c>
    </row>
    <row r="36" spans="1:56">
      <c r="A36" s="243" t="s">
        <v>97</v>
      </c>
      <c r="B36" s="245" t="s">
        <v>168</v>
      </c>
      <c r="C36" s="244" t="s">
        <v>169</v>
      </c>
      <c r="D36" s="244" t="s">
        <v>172</v>
      </c>
      <c r="E36" s="244" t="s">
        <v>129</v>
      </c>
      <c r="F36" s="246" t="s">
        <v>129</v>
      </c>
      <c r="G36" s="246">
        <v>5.3029999999999999</v>
      </c>
      <c r="H36" s="245">
        <v>58</v>
      </c>
      <c r="I36" s="246">
        <f t="shared" si="0"/>
        <v>307.57400000000001</v>
      </c>
      <c r="J36" s="245">
        <v>12</v>
      </c>
      <c r="K36" s="245">
        <v>15</v>
      </c>
      <c r="L36" s="245">
        <v>10</v>
      </c>
      <c r="M36" s="246">
        <v>220.25</v>
      </c>
      <c r="N36" s="245"/>
      <c r="O36" s="245">
        <v>17</v>
      </c>
      <c r="P36" s="244">
        <v>16.5</v>
      </c>
      <c r="Q36" s="245" t="s">
        <v>166</v>
      </c>
      <c r="R36" s="219"/>
      <c r="S36" s="219"/>
      <c r="T36" s="295"/>
      <c r="U36" s="437">
        <v>66.260319022918495</v>
      </c>
      <c r="V36" s="438"/>
      <c r="W36" s="436">
        <v>-1.526273150761785</v>
      </c>
      <c r="X36" s="247"/>
      <c r="Y36" s="247"/>
      <c r="Z36" s="435">
        <v>0.86099999999999999</v>
      </c>
      <c r="AA36" s="435">
        <v>0.7486956521739131</v>
      </c>
      <c r="AB36" s="247"/>
      <c r="AC36" s="302"/>
      <c r="AD36" s="304">
        <v>1.7100000000000001E-2</v>
      </c>
      <c r="AE36" s="247"/>
      <c r="AF36" s="440">
        <v>21.772669539741784</v>
      </c>
      <c r="AG36" s="440">
        <v>48.199744370689487</v>
      </c>
      <c r="AH36" s="440">
        <v>27.0410476435828</v>
      </c>
      <c r="AI36" s="440">
        <v>29.655915675832915</v>
      </c>
      <c r="AJ36" s="440">
        <v>21.4697282177708</v>
      </c>
      <c r="AK36" s="440">
        <v>20.771942063089238</v>
      </c>
      <c r="AL36" s="440">
        <v>19.117575237823363</v>
      </c>
      <c r="AM36" s="440">
        <v>32.301439569700818</v>
      </c>
      <c r="AN36" s="440">
        <v>37.355197952947123</v>
      </c>
      <c r="AO36" s="440">
        <v>21.861322070805087</v>
      </c>
      <c r="AP36" s="440">
        <v>16.514586285277211</v>
      </c>
      <c r="AQ36" s="47"/>
      <c r="AR36" s="242" t="s">
        <v>97</v>
      </c>
      <c r="AS36" s="47"/>
      <c r="AT36" s="352">
        <v>23.02</v>
      </c>
      <c r="AU36" s="352">
        <v>47.6</v>
      </c>
      <c r="AV36" s="352">
        <v>27.28</v>
      </c>
      <c r="AW36" s="352">
        <v>29.87</v>
      </c>
      <c r="AX36" s="352">
        <v>22.38</v>
      </c>
      <c r="AY36" s="352">
        <v>21.97</v>
      </c>
      <c r="AZ36" s="352">
        <v>20.66</v>
      </c>
      <c r="BA36" s="352">
        <v>32.35</v>
      </c>
      <c r="BB36" s="352">
        <v>39.020000000000003</v>
      </c>
      <c r="BC36" s="352">
        <v>22.36</v>
      </c>
      <c r="BD36" s="352">
        <v>18.010000000000002</v>
      </c>
    </row>
    <row r="37" spans="1:56">
      <c r="A37" s="545" t="s">
        <v>96</v>
      </c>
      <c r="B37" s="546" t="s">
        <v>168</v>
      </c>
      <c r="C37" s="547" t="s">
        <v>169</v>
      </c>
      <c r="D37" s="547" t="s">
        <v>172</v>
      </c>
      <c r="E37" s="547" t="s">
        <v>134</v>
      </c>
      <c r="F37" s="548" t="s">
        <v>129</v>
      </c>
      <c r="G37" s="548">
        <v>4.42</v>
      </c>
      <c r="H37" s="546">
        <v>69</v>
      </c>
      <c r="I37" s="548">
        <f t="shared" si="0"/>
        <v>304.98</v>
      </c>
      <c r="J37" s="546">
        <v>13</v>
      </c>
      <c r="K37" s="546">
        <v>12</v>
      </c>
      <c r="L37" s="546">
        <v>7</v>
      </c>
      <c r="M37" s="548">
        <v>224.8</v>
      </c>
      <c r="N37" s="546"/>
      <c r="O37" s="546">
        <v>9</v>
      </c>
      <c r="P37" s="547">
        <v>24</v>
      </c>
      <c r="Q37" s="546" t="s">
        <v>171</v>
      </c>
      <c r="R37" s="219"/>
      <c r="S37" s="219"/>
      <c r="T37" s="295"/>
      <c r="U37" s="549">
        <v>67.11674422614297</v>
      </c>
      <c r="V37" s="438"/>
      <c r="W37" s="550">
        <v>37.840548760091224</v>
      </c>
      <c r="X37" s="247"/>
      <c r="Y37" s="247"/>
      <c r="Z37" s="551">
        <v>0.82503820036756625</v>
      </c>
      <c r="AA37" s="551">
        <v>0.71742452205875329</v>
      </c>
      <c r="AB37" s="247"/>
      <c r="AC37" s="302"/>
      <c r="AD37" s="552">
        <v>7.2100000000000003E-3</v>
      </c>
      <c r="AE37" s="247"/>
      <c r="AF37" s="553">
        <v>12.8249195</v>
      </c>
      <c r="AG37" s="553">
        <v>24.7637301</v>
      </c>
      <c r="AH37" s="553">
        <v>16.347926600000001</v>
      </c>
      <c r="AI37" s="553">
        <v>14.2696459</v>
      </c>
      <c r="AJ37" s="553">
        <v>20.694213699999999</v>
      </c>
      <c r="AK37" s="553">
        <v>14.066533099999999</v>
      </c>
      <c r="AL37" s="553">
        <v>19.237379300000001</v>
      </c>
      <c r="AM37" s="553">
        <v>32.461804399999998</v>
      </c>
      <c r="AN37" s="553">
        <v>14.2696459</v>
      </c>
      <c r="AO37" s="553">
        <v>37.6017145</v>
      </c>
      <c r="AP37" s="553">
        <v>17.042074100000001</v>
      </c>
      <c r="AQ37" s="47"/>
      <c r="AR37" s="242" t="s">
        <v>96</v>
      </c>
      <c r="AS37" s="47"/>
      <c r="AT37" s="352">
        <v>12.71</v>
      </c>
      <c r="AU37" s="352">
        <v>24.4</v>
      </c>
      <c r="AV37" s="352">
        <v>16.46</v>
      </c>
      <c r="AW37" s="352">
        <v>14.55</v>
      </c>
      <c r="AX37" s="352">
        <v>20.39</v>
      </c>
      <c r="AY37" s="352">
        <v>14.08</v>
      </c>
      <c r="AZ37" s="352">
        <v>19.8</v>
      </c>
      <c r="BA37" s="352">
        <v>31.9</v>
      </c>
      <c r="BB37" s="352">
        <v>13.54</v>
      </c>
      <c r="BC37" s="352">
        <v>38.08</v>
      </c>
      <c r="BD37" s="352">
        <v>17.14</v>
      </c>
    </row>
    <row r="38" spans="1:56">
      <c r="A38" s="562" t="s">
        <v>512</v>
      </c>
      <c r="B38" s="524" t="s">
        <v>168</v>
      </c>
      <c r="C38" s="524" t="s">
        <v>171</v>
      </c>
      <c r="D38" s="524" t="s">
        <v>174</v>
      </c>
      <c r="E38" s="524" t="s">
        <v>134</v>
      </c>
      <c r="F38" s="524" t="s">
        <v>134</v>
      </c>
      <c r="G38" s="524">
        <v>5.4109999999999996</v>
      </c>
      <c r="H38" s="524">
        <v>57</v>
      </c>
      <c r="I38" s="537">
        <f t="shared" ref="I38" si="1">H38*G38</f>
        <v>308.42699999999996</v>
      </c>
      <c r="J38" s="524">
        <v>14</v>
      </c>
      <c r="K38" s="524">
        <v>13</v>
      </c>
      <c r="L38" s="524">
        <v>11</v>
      </c>
      <c r="M38" s="524"/>
      <c r="N38" s="524"/>
      <c r="O38" s="524">
        <v>19</v>
      </c>
      <c r="P38" s="524">
        <v>17</v>
      </c>
      <c r="Q38" s="524" t="s">
        <v>175</v>
      </c>
      <c r="R38" s="524"/>
      <c r="S38" s="524"/>
      <c r="T38" s="524"/>
      <c r="U38" s="524"/>
      <c r="V38" s="524"/>
      <c r="W38" s="524">
        <v>0</v>
      </c>
      <c r="X38" s="524"/>
      <c r="Y38" s="524"/>
      <c r="Z38" s="524">
        <v>0.85877000000000003</v>
      </c>
      <c r="AA38" s="524"/>
      <c r="AB38" s="524"/>
      <c r="AC38" s="524"/>
      <c r="AD38" s="524"/>
      <c r="AE38" s="524"/>
      <c r="AF38" s="524">
        <v>17</v>
      </c>
      <c r="AG38" s="524">
        <v>35</v>
      </c>
      <c r="AH38" s="524">
        <v>28</v>
      </c>
      <c r="AI38" s="524">
        <v>27</v>
      </c>
      <c r="AJ38" s="524">
        <v>18</v>
      </c>
      <c r="AK38" s="524">
        <v>19</v>
      </c>
      <c r="AL38" s="524">
        <v>20</v>
      </c>
      <c r="AM38" s="524">
        <v>29</v>
      </c>
      <c r="AN38" s="524">
        <v>36</v>
      </c>
      <c r="AO38" s="524">
        <v>17</v>
      </c>
      <c r="AP38" s="524">
        <v>17</v>
      </c>
      <c r="AQ38" s="47"/>
      <c r="AR38" s="242"/>
      <c r="AS38" s="47"/>
      <c r="AT38" s="352"/>
      <c r="AU38" s="352"/>
      <c r="AV38" s="352"/>
      <c r="AW38" s="352"/>
      <c r="AX38" s="352"/>
      <c r="AY38" s="352"/>
      <c r="AZ38" s="352"/>
      <c r="BA38" s="352"/>
      <c r="BB38" s="352"/>
      <c r="BC38" s="352"/>
      <c r="BD38" s="352"/>
    </row>
    <row r="39" spans="1:56">
      <c r="A39" s="260" t="s">
        <v>95</v>
      </c>
      <c r="B39" s="554" t="s">
        <v>170</v>
      </c>
      <c r="C39" s="555" t="s">
        <v>173</v>
      </c>
      <c r="D39" s="555" t="s">
        <v>129</v>
      </c>
      <c r="E39" s="555" t="s">
        <v>134</v>
      </c>
      <c r="F39" s="556" t="s">
        <v>129</v>
      </c>
      <c r="G39" s="556">
        <v>3.3690000000000002</v>
      </c>
      <c r="H39" s="554">
        <v>78</v>
      </c>
      <c r="I39" s="556">
        <f t="shared" si="0"/>
        <v>262.78200000000004</v>
      </c>
      <c r="J39" s="554">
        <v>7</v>
      </c>
      <c r="K39" s="554">
        <v>7</v>
      </c>
      <c r="L39" s="554">
        <v>12</v>
      </c>
      <c r="M39" s="556">
        <v>154.5</v>
      </c>
      <c r="N39" s="554"/>
      <c r="O39" s="554">
        <v>19</v>
      </c>
      <c r="P39" s="555">
        <v>18</v>
      </c>
      <c r="Q39" s="554" t="s">
        <v>171</v>
      </c>
      <c r="R39" s="219"/>
      <c r="S39" s="219"/>
      <c r="T39" s="295"/>
      <c r="U39" s="557">
        <v>71.052260343736762</v>
      </c>
      <c r="V39" s="438"/>
      <c r="W39" s="558">
        <v>118.31266692535144</v>
      </c>
      <c r="X39" s="247"/>
      <c r="Y39" s="247"/>
      <c r="Z39" s="559">
        <v>0.82150000000000001</v>
      </c>
      <c r="AA39" s="559">
        <v>0.71434782608695657</v>
      </c>
      <c r="AB39" s="247"/>
      <c r="AC39" s="302"/>
      <c r="AD39" s="560">
        <v>1.06E-2</v>
      </c>
      <c r="AE39" s="247"/>
      <c r="AF39" s="561">
        <v>16.025547067857804</v>
      </c>
      <c r="AG39" s="561">
        <v>18.178497427433868</v>
      </c>
      <c r="AH39" s="561">
        <v>57.424876993157113</v>
      </c>
      <c r="AI39" s="561">
        <v>57.424876993157113</v>
      </c>
      <c r="AJ39" s="561">
        <v>29.380169624405958</v>
      </c>
      <c r="AK39" s="561">
        <v>10.683698045238527</v>
      </c>
      <c r="AL39" s="561">
        <v>15.381805515520979</v>
      </c>
      <c r="AM39" s="561">
        <v>30.59</v>
      </c>
      <c r="AN39" s="561">
        <v>50.340454414432251</v>
      </c>
      <c r="AO39" s="561">
        <v>40.125456697106088</v>
      </c>
      <c r="AP39" s="561">
        <v>13.39</v>
      </c>
      <c r="AQ39" s="47"/>
      <c r="AR39" s="242" t="s">
        <v>95</v>
      </c>
      <c r="AS39" s="47"/>
      <c r="AT39" s="352">
        <v>15.54</v>
      </c>
      <c r="AU39" s="352">
        <v>18.39</v>
      </c>
      <c r="AV39" s="352">
        <v>56.17</v>
      </c>
      <c r="AW39" s="352">
        <v>56.54</v>
      </c>
      <c r="AX39" s="352">
        <v>29.15</v>
      </c>
      <c r="AY39" s="352">
        <v>10.91</v>
      </c>
      <c r="AZ39" s="352">
        <v>15.67</v>
      </c>
      <c r="BA39" s="352">
        <v>30.24</v>
      </c>
      <c r="BB39" s="352">
        <v>49.78</v>
      </c>
      <c r="BC39" s="352">
        <v>39.450000000000003</v>
      </c>
      <c r="BD39" s="352">
        <v>13.51</v>
      </c>
    </row>
    <row r="40" spans="1:56">
      <c r="A40" s="243" t="s">
        <v>94</v>
      </c>
      <c r="B40" s="245" t="s">
        <v>168</v>
      </c>
      <c r="C40" s="244" t="s">
        <v>171</v>
      </c>
      <c r="D40" s="244" t="s">
        <v>172</v>
      </c>
      <c r="E40" s="244" t="s">
        <v>129</v>
      </c>
      <c r="F40" s="246" t="s">
        <v>129</v>
      </c>
      <c r="G40" s="246">
        <v>4.42</v>
      </c>
      <c r="H40" s="245">
        <v>69</v>
      </c>
      <c r="I40" s="246">
        <f t="shared" si="0"/>
        <v>304.98</v>
      </c>
      <c r="J40" s="245">
        <v>12</v>
      </c>
      <c r="K40" s="245">
        <v>7</v>
      </c>
      <c r="L40" s="245">
        <v>13</v>
      </c>
      <c r="M40" s="246">
        <v>208.55</v>
      </c>
      <c r="N40" s="245"/>
      <c r="O40" s="245">
        <v>12</v>
      </c>
      <c r="P40" s="244">
        <v>16.5</v>
      </c>
      <c r="Q40" s="245" t="s">
        <v>178</v>
      </c>
      <c r="R40" s="219"/>
      <c r="S40" s="219"/>
      <c r="T40" s="295"/>
      <c r="U40" s="437">
        <v>72.044535731364164</v>
      </c>
      <c r="V40" s="438"/>
      <c r="W40" s="436">
        <v>-113.02905170230626</v>
      </c>
      <c r="X40" s="247"/>
      <c r="Y40" s="247"/>
      <c r="Z40" s="435">
        <v>0.86114798866326581</v>
      </c>
      <c r="AA40" s="435">
        <v>0.74882433796805725</v>
      </c>
      <c r="AB40" s="247"/>
      <c r="AC40" s="302"/>
      <c r="AD40" s="304">
        <v>8.9999999999999993E-3</v>
      </c>
      <c r="AE40" s="247"/>
      <c r="AF40" s="440">
        <v>26.2196606864307</v>
      </c>
      <c r="AG40" s="440">
        <v>47.4374428478922</v>
      </c>
      <c r="AH40" s="440">
        <v>27.0245551537224</v>
      </c>
      <c r="AI40" s="440">
        <v>16.318308767667101</v>
      </c>
      <c r="AJ40" s="440">
        <v>25.374085924902399</v>
      </c>
      <c r="AK40" s="440">
        <v>18.455060834204101</v>
      </c>
      <c r="AL40" s="440">
        <v>12.5955387424875</v>
      </c>
      <c r="AM40" s="440">
        <v>37.341169850774399</v>
      </c>
      <c r="AN40" s="440">
        <v>50.602774806834603</v>
      </c>
      <c r="AO40" s="440">
        <v>44.676002560166999</v>
      </c>
      <c r="AP40" s="440">
        <v>12.469166549930801</v>
      </c>
      <c r="AQ40" s="47"/>
      <c r="AR40" s="242" t="s">
        <v>94</v>
      </c>
      <c r="AS40" s="47"/>
      <c r="AT40" s="352">
        <v>27.57</v>
      </c>
      <c r="AU40" s="352">
        <v>48.18</v>
      </c>
      <c r="AV40" s="352">
        <v>28.37</v>
      </c>
      <c r="AW40" s="352">
        <v>18.38</v>
      </c>
      <c r="AX40" s="352">
        <v>26.64</v>
      </c>
      <c r="AY40" s="352">
        <v>19.91</v>
      </c>
      <c r="AZ40" s="352">
        <v>14.69</v>
      </c>
      <c r="BA40" s="352">
        <v>38.86</v>
      </c>
      <c r="BB40" s="352">
        <v>51.21</v>
      </c>
      <c r="BC40" s="352">
        <v>45.24</v>
      </c>
      <c r="BD40" s="352">
        <v>14.35</v>
      </c>
    </row>
    <row r="41" spans="1:56">
      <c r="A41" s="243" t="s">
        <v>93</v>
      </c>
      <c r="B41" s="244" t="s">
        <v>166</v>
      </c>
      <c r="C41" s="244" t="s">
        <v>167</v>
      </c>
      <c r="D41" s="244" t="s">
        <v>129</v>
      </c>
      <c r="E41" s="244" t="s">
        <v>133</v>
      </c>
      <c r="F41" s="246" t="s">
        <v>129</v>
      </c>
      <c r="G41" s="246">
        <v>5.7869999999999999</v>
      </c>
      <c r="H41" s="245">
        <v>53</v>
      </c>
      <c r="I41" s="246">
        <f t="shared" si="0"/>
        <v>306.71100000000001</v>
      </c>
      <c r="J41" s="245">
        <v>17</v>
      </c>
      <c r="K41" s="245">
        <v>12</v>
      </c>
      <c r="L41" s="245">
        <v>9</v>
      </c>
      <c r="M41" s="246">
        <v>258.83</v>
      </c>
      <c r="N41" s="245"/>
      <c r="O41" s="245">
        <v>13</v>
      </c>
      <c r="P41" s="244">
        <v>25.5</v>
      </c>
      <c r="Q41" s="245" t="s">
        <v>178</v>
      </c>
      <c r="R41" s="219"/>
      <c r="S41" s="219"/>
      <c r="T41" s="295"/>
      <c r="U41" s="437">
        <v>73.228289975561424</v>
      </c>
      <c r="V41" s="438"/>
      <c r="W41" s="436">
        <v>-3.9705912057443733</v>
      </c>
      <c r="X41" s="219"/>
      <c r="Y41" s="247"/>
      <c r="Z41" s="435">
        <v>0.90100000000000002</v>
      </c>
      <c r="AA41" s="435">
        <v>0.78347826086956529</v>
      </c>
      <c r="AB41" s="247"/>
      <c r="AC41" s="302"/>
      <c r="AD41" s="304">
        <v>1.2959999999999999E-2</v>
      </c>
      <c r="AE41" s="247"/>
      <c r="AF41" s="440">
        <v>30.58</v>
      </c>
      <c r="AG41" s="440">
        <v>60.92</v>
      </c>
      <c r="AH41" s="440">
        <v>19.940000000000001</v>
      </c>
      <c r="AI41" s="440">
        <v>14.9962</v>
      </c>
      <c r="AJ41" s="440">
        <v>27.92</v>
      </c>
      <c r="AK41" s="440">
        <v>23.93</v>
      </c>
      <c r="AL41" s="440">
        <v>18.61</v>
      </c>
      <c r="AM41" s="440">
        <v>45.2</v>
      </c>
      <c r="AN41" s="440">
        <v>55.25</v>
      </c>
      <c r="AO41" s="440">
        <v>30.58</v>
      </c>
      <c r="AP41" s="440">
        <v>19.940000000000001</v>
      </c>
      <c r="AQ41" s="47"/>
      <c r="AR41" s="242" t="s">
        <v>93</v>
      </c>
      <c r="AS41" s="47"/>
      <c r="AT41" s="352">
        <v>28.95</v>
      </c>
      <c r="AU41" s="352">
        <v>55.71</v>
      </c>
      <c r="AV41" s="352">
        <v>19.440000000000001</v>
      </c>
      <c r="AW41" s="352">
        <v>14.83</v>
      </c>
      <c r="AX41" s="352">
        <v>26.67</v>
      </c>
      <c r="AY41" s="352">
        <v>23.47</v>
      </c>
      <c r="AZ41" s="352">
        <v>18.02</v>
      </c>
      <c r="BA41" s="352">
        <v>42.24</v>
      </c>
      <c r="BB41" s="352">
        <v>51.81</v>
      </c>
      <c r="BC41" s="352">
        <v>28.46</v>
      </c>
      <c r="BD41" s="352">
        <v>19.82</v>
      </c>
    </row>
    <row r="42" spans="1:56">
      <c r="A42" s="243" t="s">
        <v>67</v>
      </c>
      <c r="B42" s="245" t="s">
        <v>168</v>
      </c>
      <c r="C42" s="244" t="s">
        <v>169</v>
      </c>
      <c r="D42" s="244" t="s">
        <v>129</v>
      </c>
      <c r="E42" s="244" t="s">
        <v>129</v>
      </c>
      <c r="F42" s="246" t="s">
        <v>129</v>
      </c>
      <c r="G42" s="246">
        <v>5.2469999999999999</v>
      </c>
      <c r="H42" s="245">
        <v>58</v>
      </c>
      <c r="I42" s="246">
        <f t="shared" si="0"/>
        <v>304.32600000000002</v>
      </c>
      <c r="J42" s="245">
        <v>11</v>
      </c>
      <c r="K42" s="245">
        <v>13</v>
      </c>
      <c r="L42" s="245">
        <v>12</v>
      </c>
      <c r="M42" s="246">
        <v>246.56</v>
      </c>
      <c r="N42" s="245"/>
      <c r="O42" s="245">
        <v>14</v>
      </c>
      <c r="P42" s="244">
        <v>13.5</v>
      </c>
      <c r="Q42" s="245" t="s">
        <v>175</v>
      </c>
      <c r="R42" s="219"/>
      <c r="S42" s="219"/>
      <c r="T42" s="295"/>
      <c r="U42" s="437">
        <v>70.561377568304991</v>
      </c>
      <c r="V42" s="438"/>
      <c r="W42" s="436">
        <v>-99.506796027826297</v>
      </c>
      <c r="X42" s="247"/>
      <c r="Y42" s="247"/>
      <c r="Z42" s="435">
        <v>0.85324487339028676</v>
      </c>
      <c r="AA42" s="435">
        <v>0.74195206381764067</v>
      </c>
      <c r="AB42" s="247"/>
      <c r="AC42" s="302"/>
      <c r="AD42" s="304">
        <v>1.2999999999999999E-2</v>
      </c>
      <c r="AE42" s="247"/>
      <c r="AF42" s="440">
        <v>22.480741169518581</v>
      </c>
      <c r="AG42" s="440">
        <v>21.547840334203311</v>
      </c>
      <c r="AH42" s="440">
        <v>27.050250475461421</v>
      </c>
      <c r="AI42" s="440">
        <v>18.807856396701489</v>
      </c>
      <c r="AJ42" s="440">
        <v>28.189392419329071</v>
      </c>
      <c r="AK42" s="440">
        <v>32.842522095291343</v>
      </c>
      <c r="AL42" s="440">
        <v>33.939185807605931</v>
      </c>
      <c r="AM42" s="440">
        <v>38.972601146345482</v>
      </c>
      <c r="AN42" s="440">
        <v>34.630864088423387</v>
      </c>
      <c r="AO42" s="440">
        <v>28.888513968359945</v>
      </c>
      <c r="AP42" s="440">
        <v>17.097357990883623</v>
      </c>
      <c r="AQ42" s="47"/>
      <c r="AR42" s="242" t="s">
        <v>67</v>
      </c>
      <c r="AS42" s="47"/>
      <c r="AT42" s="352">
        <v>22.47</v>
      </c>
      <c r="AU42" s="352">
        <v>21.7</v>
      </c>
      <c r="AV42" s="352">
        <v>26.5</v>
      </c>
      <c r="AW42" s="352">
        <v>19.14</v>
      </c>
      <c r="AX42" s="352">
        <v>27.38</v>
      </c>
      <c r="AY42" s="352">
        <v>30.36</v>
      </c>
      <c r="AZ42" s="352">
        <v>32.44</v>
      </c>
      <c r="BA42" s="352">
        <v>36.71</v>
      </c>
      <c r="BB42" s="352">
        <v>33.22</v>
      </c>
      <c r="BC42" s="352">
        <v>28.03</v>
      </c>
      <c r="BD42" s="352">
        <v>17.899999999999999</v>
      </c>
    </row>
    <row r="43" spans="1:56">
      <c r="A43" s="243" t="s">
        <v>92</v>
      </c>
      <c r="B43" s="245" t="s">
        <v>168</v>
      </c>
      <c r="C43" s="244" t="s">
        <v>171</v>
      </c>
      <c r="D43" s="244" t="s">
        <v>172</v>
      </c>
      <c r="E43" s="244" t="s">
        <v>129</v>
      </c>
      <c r="F43" s="246" t="s">
        <v>133</v>
      </c>
      <c r="G43" s="246">
        <v>5.1369999999999996</v>
      </c>
      <c r="H43" s="245">
        <v>60</v>
      </c>
      <c r="I43" s="246">
        <f t="shared" si="0"/>
        <v>308.21999999999997</v>
      </c>
      <c r="J43" s="245">
        <v>11</v>
      </c>
      <c r="K43" s="245">
        <v>15</v>
      </c>
      <c r="L43" s="245">
        <v>10</v>
      </c>
      <c r="M43" s="246">
        <v>227.27</v>
      </c>
      <c r="N43" s="245"/>
      <c r="O43" s="245">
        <v>16</v>
      </c>
      <c r="P43" s="244">
        <v>19</v>
      </c>
      <c r="Q43" s="245" t="s">
        <v>178</v>
      </c>
      <c r="R43" s="219"/>
      <c r="S43" s="219"/>
      <c r="T43" s="295"/>
      <c r="U43" s="437">
        <v>56.953937283853861</v>
      </c>
      <c r="V43" s="438"/>
      <c r="W43" s="436">
        <v>-105.03662772151574</v>
      </c>
      <c r="X43" s="247"/>
      <c r="Y43" s="247"/>
      <c r="Z43" s="435">
        <v>0.84393963347735745</v>
      </c>
      <c r="AA43" s="435">
        <v>0.73386055084987611</v>
      </c>
      <c r="AB43" s="247"/>
      <c r="AC43" s="302"/>
      <c r="AD43" s="304">
        <v>1.2999999999999999E-2</v>
      </c>
      <c r="AE43" s="247"/>
      <c r="AF43" s="440">
        <v>26.87</v>
      </c>
      <c r="AG43" s="440">
        <v>47.03</v>
      </c>
      <c r="AH43" s="440">
        <v>38.630000000000003</v>
      </c>
      <c r="AI43" s="440">
        <v>33.590000000000003</v>
      </c>
      <c r="AJ43" s="440">
        <v>25.19</v>
      </c>
      <c r="AK43" s="440">
        <v>15.12</v>
      </c>
      <c r="AL43" s="440">
        <v>20.149999999999999</v>
      </c>
      <c r="AM43" s="440">
        <v>35.270000000000003</v>
      </c>
      <c r="AN43" s="440">
        <v>48.71</v>
      </c>
      <c r="AO43" s="440">
        <v>43.67</v>
      </c>
      <c r="AP43" s="440">
        <v>11.76</v>
      </c>
      <c r="AQ43" s="47"/>
      <c r="AR43" s="242" t="s">
        <v>92</v>
      </c>
      <c r="AS43" s="47"/>
      <c r="AT43" s="352">
        <v>26.94</v>
      </c>
      <c r="AU43" s="352">
        <v>45.64</v>
      </c>
      <c r="AV43" s="352">
        <v>37.630000000000003</v>
      </c>
      <c r="AW43" s="352">
        <v>32.68</v>
      </c>
      <c r="AX43" s="352">
        <v>24.35</v>
      </c>
      <c r="AY43" s="352">
        <v>16.21</v>
      </c>
      <c r="AZ43" s="352">
        <v>20.76</v>
      </c>
      <c r="BA43" s="352">
        <v>33.69</v>
      </c>
      <c r="BB43" s="352">
        <v>45.6</v>
      </c>
      <c r="BC43" s="352">
        <v>41.58</v>
      </c>
      <c r="BD43" s="352">
        <v>13.05</v>
      </c>
    </row>
    <row r="44" spans="1:56">
      <c r="A44" s="243" t="s">
        <v>91</v>
      </c>
      <c r="B44" s="245" t="s">
        <v>168</v>
      </c>
      <c r="C44" s="244" t="s">
        <v>171</v>
      </c>
      <c r="D44" s="244" t="s">
        <v>172</v>
      </c>
      <c r="E44" s="244" t="s">
        <v>150</v>
      </c>
      <c r="F44" s="246" t="s">
        <v>134</v>
      </c>
      <c r="G44" s="246">
        <v>5.1449999999999996</v>
      </c>
      <c r="H44" s="245">
        <v>60</v>
      </c>
      <c r="I44" s="246">
        <f t="shared" si="0"/>
        <v>308.7</v>
      </c>
      <c r="J44" s="245">
        <v>12</v>
      </c>
      <c r="K44" s="245">
        <v>12</v>
      </c>
      <c r="L44" s="245">
        <v>13</v>
      </c>
      <c r="M44" s="246">
        <v>224.22</v>
      </c>
      <c r="N44" s="245"/>
      <c r="O44" s="245">
        <v>16</v>
      </c>
      <c r="P44" s="244">
        <v>15</v>
      </c>
      <c r="Q44" s="245" t="s">
        <v>171</v>
      </c>
      <c r="R44" s="219"/>
      <c r="S44" s="219"/>
      <c r="T44" s="295"/>
      <c r="U44" s="437">
        <v>79.150845964948402</v>
      </c>
      <c r="V44" s="438"/>
      <c r="W44" s="436">
        <v>216.08220554688833</v>
      </c>
      <c r="X44" s="247"/>
      <c r="Y44" s="247"/>
      <c r="Z44" s="435">
        <v>0.79118259800452317</v>
      </c>
      <c r="AA44" s="435">
        <v>0.68798486783002022</v>
      </c>
      <c r="AB44" s="247"/>
      <c r="AC44" s="302"/>
      <c r="AD44" s="304">
        <v>1.2930000000000001E-2</v>
      </c>
      <c r="AE44" s="247"/>
      <c r="AF44" s="440">
        <v>31.053999999999998</v>
      </c>
      <c r="AG44" s="440">
        <v>47.65</v>
      </c>
      <c r="AH44" s="440">
        <v>26.489000000000001</v>
      </c>
      <c r="AI44" s="440">
        <v>34.880000000000003</v>
      </c>
      <c r="AJ44" s="440">
        <v>28.99</v>
      </c>
      <c r="AK44" s="440">
        <v>16.32</v>
      </c>
      <c r="AL44" s="440">
        <v>17.611999999999998</v>
      </c>
      <c r="AM44" s="440">
        <v>31.931999999999999</v>
      </c>
      <c r="AN44" s="440">
        <v>48.612000000000002</v>
      </c>
      <c r="AO44" s="440">
        <v>47.61</v>
      </c>
      <c r="AP44" s="440">
        <v>11.74</v>
      </c>
      <c r="AQ44" s="47"/>
      <c r="AR44" s="242" t="s">
        <v>91</v>
      </c>
      <c r="AS44" s="47"/>
      <c r="AT44" s="352">
        <v>31.2</v>
      </c>
      <c r="AU44" s="352">
        <v>46.89</v>
      </c>
      <c r="AV44" s="352">
        <v>26.37</v>
      </c>
      <c r="AW44" s="352">
        <v>34.61</v>
      </c>
      <c r="AX44" s="352">
        <v>29.26</v>
      </c>
      <c r="AY44" s="352">
        <v>16.350000000000001</v>
      </c>
      <c r="AZ44" s="352">
        <v>16.63</v>
      </c>
      <c r="BA44" s="352">
        <v>31.12</v>
      </c>
      <c r="BB44" s="352">
        <v>50.16</v>
      </c>
      <c r="BC44" s="352">
        <v>46.5</v>
      </c>
      <c r="BD44" s="352">
        <v>11.74</v>
      </c>
    </row>
    <row r="45" spans="1:56">
      <c r="A45" s="243" t="s">
        <v>90</v>
      </c>
      <c r="B45" s="245" t="s">
        <v>168</v>
      </c>
      <c r="C45" s="244" t="s">
        <v>167</v>
      </c>
      <c r="D45" s="244" t="s">
        <v>129</v>
      </c>
      <c r="E45" s="244" t="s">
        <v>151</v>
      </c>
      <c r="F45" s="246" t="s">
        <v>129</v>
      </c>
      <c r="G45" s="246">
        <v>5.94</v>
      </c>
      <c r="H45" s="245">
        <v>52</v>
      </c>
      <c r="I45" s="246">
        <f t="shared" si="0"/>
        <v>308.88</v>
      </c>
      <c r="J45" s="245">
        <v>19</v>
      </c>
      <c r="K45" s="245">
        <v>14</v>
      </c>
      <c r="L45" s="245">
        <v>9</v>
      </c>
      <c r="M45" s="246">
        <v>269.24</v>
      </c>
      <c r="N45" s="245"/>
      <c r="O45" s="245">
        <v>11</v>
      </c>
      <c r="P45" s="244">
        <v>21</v>
      </c>
      <c r="Q45" s="245" t="s">
        <v>166</v>
      </c>
      <c r="R45" s="219"/>
      <c r="S45" s="219"/>
      <c r="T45" s="295"/>
      <c r="U45" s="437">
        <v>71.092002105627003</v>
      </c>
      <c r="V45" s="438"/>
      <c r="W45" s="436">
        <v>90.524331063435554</v>
      </c>
      <c r="X45" s="247"/>
      <c r="Y45" s="247"/>
      <c r="Z45" s="435">
        <v>0.87133179894810786</v>
      </c>
      <c r="AA45" s="435">
        <v>0.75767982517226773</v>
      </c>
      <c r="AB45" s="247"/>
      <c r="AC45" s="302"/>
      <c r="AD45" s="304">
        <v>1.157E-2</v>
      </c>
      <c r="AE45" s="247"/>
      <c r="AF45" s="440">
        <v>22.040245251099961</v>
      </c>
      <c r="AG45" s="440">
        <v>45.654793734421354</v>
      </c>
      <c r="AH45" s="440">
        <v>26.763154947764239</v>
      </c>
      <c r="AI45" s="440">
        <v>31.486064644428517</v>
      </c>
      <c r="AJ45" s="440">
        <v>23.614548483321389</v>
      </c>
      <c r="AK45" s="440">
        <v>20.465942018878536</v>
      </c>
      <c r="AL45" s="440">
        <v>23.614548483321389</v>
      </c>
      <c r="AM45" s="440">
        <v>26.763154947764239</v>
      </c>
      <c r="AN45" s="440">
        <v>37.783277573314223</v>
      </c>
      <c r="AO45" s="440">
        <v>22.040245251099961</v>
      </c>
      <c r="AP45" s="440">
        <v>14.168729089992834</v>
      </c>
      <c r="AQ45" s="47"/>
      <c r="AR45" s="242" t="s">
        <v>90</v>
      </c>
      <c r="AS45" s="47"/>
      <c r="AT45" s="352">
        <v>22.07</v>
      </c>
      <c r="AU45" s="352">
        <v>49.05</v>
      </c>
      <c r="AV45" s="352">
        <v>28.26</v>
      </c>
      <c r="AW45" s="352">
        <v>32.380000000000003</v>
      </c>
      <c r="AX45" s="352">
        <v>23.71</v>
      </c>
      <c r="AY45" s="352">
        <v>20.46</v>
      </c>
      <c r="AZ45" s="352">
        <v>23.16</v>
      </c>
      <c r="BA45" s="352">
        <v>27.15</v>
      </c>
      <c r="BB45" s="352">
        <v>39.24</v>
      </c>
      <c r="BC45" s="352">
        <v>22.56</v>
      </c>
      <c r="BD45" s="352">
        <v>13.55</v>
      </c>
    </row>
    <row r="46" spans="1:56">
      <c r="A46" s="243" t="s">
        <v>89</v>
      </c>
      <c r="B46" s="245" t="s">
        <v>168</v>
      </c>
      <c r="C46" s="244" t="s">
        <v>167</v>
      </c>
      <c r="D46" s="244" t="s">
        <v>129</v>
      </c>
      <c r="E46" s="244" t="s">
        <v>151</v>
      </c>
      <c r="F46" s="246" t="s">
        <v>133</v>
      </c>
      <c r="G46" s="246">
        <v>3.8610000000000002</v>
      </c>
      <c r="H46" s="245">
        <v>79</v>
      </c>
      <c r="I46" s="246">
        <f t="shared" si="0"/>
        <v>305.01900000000001</v>
      </c>
      <c r="J46" s="245">
        <v>9</v>
      </c>
      <c r="K46" s="245">
        <v>11</v>
      </c>
      <c r="L46" s="245">
        <v>8</v>
      </c>
      <c r="M46" s="246">
        <v>225.75</v>
      </c>
      <c r="N46" s="245"/>
      <c r="O46" s="245">
        <v>11</v>
      </c>
      <c r="P46" s="244">
        <v>19.5</v>
      </c>
      <c r="Q46" s="245" t="s">
        <v>176</v>
      </c>
      <c r="R46" s="219"/>
      <c r="S46" s="219"/>
      <c r="T46" s="295"/>
      <c r="U46" s="437">
        <v>55.623042986253957</v>
      </c>
      <c r="V46" s="438"/>
      <c r="W46" s="436">
        <v>178.60945064365285</v>
      </c>
      <c r="X46" s="247"/>
      <c r="Y46" s="247"/>
      <c r="Z46" s="435">
        <v>0.89900000000000002</v>
      </c>
      <c r="AA46" s="435">
        <v>0.78173913043478271</v>
      </c>
      <c r="AB46" s="247"/>
      <c r="AC46" s="302"/>
      <c r="AD46" s="304">
        <v>9.4400000000000005E-3</v>
      </c>
      <c r="AE46" s="247"/>
      <c r="AF46" s="440">
        <v>26.723206356943621</v>
      </c>
      <c r="AG46" s="440">
        <v>64.089918482561458</v>
      </c>
      <c r="AH46" s="440">
        <v>27.860593136286372</v>
      </c>
      <c r="AI46" s="440">
        <v>37.401791245391642</v>
      </c>
      <c r="AJ46" s="440">
        <v>32.708931709500376</v>
      </c>
      <c r="AK46" s="440">
        <v>13.940095365118923</v>
      </c>
      <c r="AL46" s="440">
        <v>18.488475520401973</v>
      </c>
      <c r="AM46" s="440">
        <v>31.244985402457843</v>
      </c>
      <c r="AN46" s="440">
        <v>53.160165389991825</v>
      </c>
      <c r="AO46" s="440">
        <v>24.952298116152786</v>
      </c>
      <c r="AP46" s="440">
        <v>9.4319725945715334</v>
      </c>
      <c r="AQ46" s="47"/>
      <c r="AR46" s="242" t="s">
        <v>89</v>
      </c>
      <c r="AS46" s="47"/>
      <c r="AT46" s="352">
        <v>29.27</v>
      </c>
      <c r="AU46" s="352">
        <v>59.92</v>
      </c>
      <c r="AV46" s="352">
        <v>28.35</v>
      </c>
      <c r="AW46" s="352">
        <v>36.549999999999997</v>
      </c>
      <c r="AX46" s="352">
        <v>32.32</v>
      </c>
      <c r="AY46" s="352">
        <v>16.350000000000001</v>
      </c>
      <c r="AZ46" s="352">
        <v>19.739999999999998</v>
      </c>
      <c r="BA46" s="352">
        <v>30.91</v>
      </c>
      <c r="BB46" s="352">
        <v>50.35</v>
      </c>
      <c r="BC46" s="352">
        <v>25.54</v>
      </c>
      <c r="BD46" s="352">
        <v>12.8</v>
      </c>
    </row>
    <row r="47" spans="1:56">
      <c r="A47" s="243" t="s">
        <v>88</v>
      </c>
      <c r="B47" s="245" t="s">
        <v>170</v>
      </c>
      <c r="C47" s="244" t="s">
        <v>167</v>
      </c>
      <c r="D47" s="244" t="s">
        <v>172</v>
      </c>
      <c r="E47" s="244" t="s">
        <v>129</v>
      </c>
      <c r="F47" s="246" t="s">
        <v>151</v>
      </c>
      <c r="G47" s="246">
        <v>4.6920000000000002</v>
      </c>
      <c r="H47" s="245">
        <v>66</v>
      </c>
      <c r="I47" s="246">
        <f t="shared" si="0"/>
        <v>309.67200000000003</v>
      </c>
      <c r="J47" s="245">
        <v>9</v>
      </c>
      <c r="K47" s="245">
        <v>14</v>
      </c>
      <c r="L47" s="245">
        <v>11</v>
      </c>
      <c r="M47" s="246">
        <v>198.24</v>
      </c>
      <c r="N47" s="245"/>
      <c r="O47" s="245">
        <v>18</v>
      </c>
      <c r="P47" s="244">
        <v>15.5</v>
      </c>
      <c r="Q47" s="245" t="s">
        <v>166</v>
      </c>
      <c r="R47" s="219"/>
      <c r="S47" s="219"/>
      <c r="T47" s="295"/>
      <c r="U47" s="437">
        <v>63.678371902988225</v>
      </c>
      <c r="V47" s="438"/>
      <c r="W47" s="436">
        <v>140.00596248225349</v>
      </c>
      <c r="X47" s="247"/>
      <c r="Y47" s="247"/>
      <c r="Z47" s="435">
        <v>0.84556204632305676</v>
      </c>
      <c r="AA47" s="435">
        <v>0.7352713446287451</v>
      </c>
      <c r="AB47" s="247"/>
      <c r="AC47" s="302"/>
      <c r="AD47" s="304">
        <v>1.6449999999999999E-2</v>
      </c>
      <c r="AE47" s="247"/>
      <c r="AF47" s="440">
        <v>24.153110795504773</v>
      </c>
      <c r="AG47" s="440">
        <v>21.54377979655073</v>
      </c>
      <c r="AH47" s="440">
        <v>24.11074615499324</v>
      </c>
      <c r="AI47" s="440">
        <v>26.376081768358159</v>
      </c>
      <c r="AJ47" s="440">
        <v>47.50257160167051</v>
      </c>
      <c r="AK47" s="440">
        <v>21.395575698728948</v>
      </c>
      <c r="AL47" s="440">
        <v>20.481969620077955</v>
      </c>
      <c r="AM47" s="440">
        <v>22.719788603867197</v>
      </c>
      <c r="AN47" s="440">
        <v>34.335109639227078</v>
      </c>
      <c r="AO47" s="440">
        <v>52.814649109869976</v>
      </c>
      <c r="AP47" s="440">
        <v>17.427078326923258</v>
      </c>
      <c r="AQ47" s="47"/>
      <c r="AR47" s="242" t="s">
        <v>88</v>
      </c>
      <c r="AS47" s="47"/>
      <c r="AT47" s="352">
        <v>24.21</v>
      </c>
      <c r="AU47" s="352">
        <v>21.99</v>
      </c>
      <c r="AV47" s="352">
        <v>24.17</v>
      </c>
      <c r="AW47" s="352">
        <v>26.23</v>
      </c>
      <c r="AX47" s="352">
        <v>45.3</v>
      </c>
      <c r="AY47" s="352">
        <v>22.01</v>
      </c>
      <c r="AZ47" s="352">
        <v>21.43</v>
      </c>
      <c r="BA47" s="352">
        <v>23</v>
      </c>
      <c r="BB47" s="352">
        <v>33.1</v>
      </c>
      <c r="BC47" s="352">
        <v>48.73</v>
      </c>
      <c r="BD47" s="352">
        <v>18.43</v>
      </c>
    </row>
    <row r="48" spans="1:56">
      <c r="A48" s="243" t="s">
        <v>87</v>
      </c>
      <c r="B48" s="245" t="s">
        <v>168</v>
      </c>
      <c r="C48" s="244" t="s">
        <v>169</v>
      </c>
      <c r="D48" s="244" t="s">
        <v>129</v>
      </c>
      <c r="E48" s="244" t="s">
        <v>134</v>
      </c>
      <c r="F48" s="246" t="s">
        <v>129</v>
      </c>
      <c r="G48" s="246">
        <v>4.0830000000000002</v>
      </c>
      <c r="H48" s="245">
        <v>75</v>
      </c>
      <c r="I48" s="246">
        <f t="shared" si="0"/>
        <v>306.22500000000002</v>
      </c>
      <c r="J48" s="245">
        <v>7</v>
      </c>
      <c r="K48" s="245">
        <v>14</v>
      </c>
      <c r="L48" s="245">
        <v>8</v>
      </c>
      <c r="M48" s="246">
        <v>214.42</v>
      </c>
      <c r="N48" s="245"/>
      <c r="O48" s="245">
        <v>14</v>
      </c>
      <c r="P48" s="244">
        <v>14</v>
      </c>
      <c r="Q48" s="245" t="s">
        <v>171</v>
      </c>
      <c r="R48" s="219"/>
      <c r="S48" s="219"/>
      <c r="T48" s="295"/>
      <c r="U48" s="437">
        <v>71.193235616375162</v>
      </c>
      <c r="V48" s="438"/>
      <c r="W48" s="436">
        <v>154.52268635659877</v>
      </c>
      <c r="X48" s="247"/>
      <c r="Y48" s="247"/>
      <c r="Z48" s="435">
        <v>0.8155671732666061</v>
      </c>
      <c r="AA48" s="435">
        <v>0.70918884631878798</v>
      </c>
      <c r="AB48" s="247"/>
      <c r="AC48" s="302"/>
      <c r="AD48" s="304">
        <v>9.6249999999999999E-3</v>
      </c>
      <c r="AE48" s="247"/>
      <c r="AF48" s="440">
        <v>29.980140892763195</v>
      </c>
      <c r="AG48" s="440">
        <v>43.014984759181978</v>
      </c>
      <c r="AH48" s="440">
        <v>35.325595745921177</v>
      </c>
      <c r="AI48" s="440">
        <v>41.818982110478544</v>
      </c>
      <c r="AJ48" s="440">
        <v>35.622844268400108</v>
      </c>
      <c r="AK48" s="440">
        <v>28.694573357885265</v>
      </c>
      <c r="AL48" s="440">
        <v>25.406136472269928</v>
      </c>
      <c r="AM48" s="440">
        <v>31.946832748663887</v>
      </c>
      <c r="AN48" s="440">
        <v>33.030585600892664</v>
      </c>
      <c r="AO48" s="440">
        <v>26.069687732837561</v>
      </c>
      <c r="AP48" s="440">
        <v>22.078497341200734</v>
      </c>
      <c r="AQ48" s="47"/>
      <c r="AR48" s="242" t="s">
        <v>87</v>
      </c>
      <c r="AS48" s="47"/>
      <c r="AT48" s="352">
        <v>29.64</v>
      </c>
      <c r="AU48" s="352">
        <v>41.17</v>
      </c>
      <c r="AV48" s="352">
        <v>34.020000000000003</v>
      </c>
      <c r="AW48" s="352">
        <v>40.39</v>
      </c>
      <c r="AX48" s="352">
        <v>36.14</v>
      </c>
      <c r="AY48" s="352">
        <v>29.96</v>
      </c>
      <c r="AZ48" s="352">
        <v>25.52</v>
      </c>
      <c r="BA48" s="352">
        <v>31.24</v>
      </c>
      <c r="BB48" s="352">
        <v>33.659999999999997</v>
      </c>
      <c r="BC48" s="352">
        <v>26.08</v>
      </c>
      <c r="BD48" s="352">
        <v>21.88</v>
      </c>
    </row>
    <row r="49" spans="1:56">
      <c r="A49" s="243" t="s">
        <v>86</v>
      </c>
      <c r="B49" s="244" t="s">
        <v>166</v>
      </c>
      <c r="C49" s="244" t="s">
        <v>177</v>
      </c>
      <c r="D49" s="244" t="s">
        <v>129</v>
      </c>
      <c r="E49" s="244" t="s">
        <v>133</v>
      </c>
      <c r="F49" s="246" t="s">
        <v>151</v>
      </c>
      <c r="G49" s="246">
        <v>4.7359999999999998</v>
      </c>
      <c r="H49" s="245">
        <v>67</v>
      </c>
      <c r="I49" s="246">
        <f t="shared" si="0"/>
        <v>317.31200000000001</v>
      </c>
      <c r="J49" s="245">
        <v>18</v>
      </c>
      <c r="K49" s="245">
        <v>10</v>
      </c>
      <c r="L49" s="245">
        <v>6</v>
      </c>
      <c r="M49" s="246">
        <v>377</v>
      </c>
      <c r="N49" s="245"/>
      <c r="O49" s="245">
        <v>8</v>
      </c>
      <c r="P49" s="244">
        <v>10</v>
      </c>
      <c r="Q49" s="245" t="s">
        <v>171</v>
      </c>
      <c r="R49" s="219"/>
      <c r="S49" s="219"/>
      <c r="T49" s="295"/>
      <c r="U49" s="437">
        <v>63.804718624436802</v>
      </c>
      <c r="V49" s="438"/>
      <c r="W49" s="436">
        <v>75.494748521333534</v>
      </c>
      <c r="X49" s="247"/>
      <c r="Y49" s="247"/>
      <c r="Z49" s="435">
        <v>0.90834081874791761</v>
      </c>
      <c r="AA49" s="435">
        <v>0.78986158151992847</v>
      </c>
      <c r="AB49" s="247"/>
      <c r="AC49" s="302"/>
      <c r="AD49" s="304">
        <v>7.4285999999999996E-3</v>
      </c>
      <c r="AE49" s="247"/>
      <c r="AF49" s="440">
        <v>25.749925191876311</v>
      </c>
      <c r="AG49" s="440">
        <v>96.562219469536174</v>
      </c>
      <c r="AH49" s="440">
        <v>14.162458855531971</v>
      </c>
      <c r="AI49" s="440">
        <v>16.821728552895856</v>
      </c>
      <c r="AJ49" s="440">
        <v>30.899910230251574</v>
      </c>
      <c r="AK49" s="440">
        <v>18.024947634313417</v>
      </c>
      <c r="AL49" s="440">
        <v>23.17493267268868</v>
      </c>
      <c r="AM49" s="440">
        <v>27.265326105778186</v>
      </c>
      <c r="AN49" s="440">
        <v>25.749925191876311</v>
      </c>
      <c r="AO49" s="440">
        <v>36.44707853127435</v>
      </c>
      <c r="AP49" s="440">
        <v>17.320380000849013</v>
      </c>
      <c r="AQ49" s="47"/>
      <c r="AR49" s="242" t="s">
        <v>86</v>
      </c>
      <c r="AS49" s="47"/>
      <c r="AT49" s="352">
        <v>25.05</v>
      </c>
      <c r="AU49" s="352">
        <v>92.29</v>
      </c>
      <c r="AV49" s="352">
        <v>14.66</v>
      </c>
      <c r="AW49" s="352">
        <v>17.149999999999999</v>
      </c>
      <c r="AX49" s="352">
        <v>30.1</v>
      </c>
      <c r="AY49" s="352">
        <v>17.850000000000001</v>
      </c>
      <c r="AZ49" s="352">
        <v>23.09</v>
      </c>
      <c r="BA49" s="352">
        <v>26.84</v>
      </c>
      <c r="BB49" s="352">
        <v>25.52</v>
      </c>
      <c r="BC49" s="352">
        <v>35.83</v>
      </c>
      <c r="BD49" s="352">
        <v>17.32</v>
      </c>
    </row>
    <row r="50" spans="1:56" ht="12" customHeight="1">
      <c r="A50" s="243" t="s">
        <v>85</v>
      </c>
      <c r="B50" s="244" t="s">
        <v>166</v>
      </c>
      <c r="C50" s="244" t="s">
        <v>171</v>
      </c>
      <c r="D50" s="244" t="s">
        <v>172</v>
      </c>
      <c r="E50" s="244" t="s">
        <v>133</v>
      </c>
      <c r="F50" s="246" t="s">
        <v>129</v>
      </c>
      <c r="G50" s="246">
        <v>5.4119999999999999</v>
      </c>
      <c r="H50" s="245">
        <v>57</v>
      </c>
      <c r="I50" s="246">
        <f t="shared" si="0"/>
        <v>308.48399999999998</v>
      </c>
      <c r="J50" s="245">
        <v>16</v>
      </c>
      <c r="K50" s="245">
        <v>11</v>
      </c>
      <c r="L50" s="245">
        <v>9</v>
      </c>
      <c r="M50" s="246">
        <v>237.09</v>
      </c>
      <c r="N50" s="245"/>
      <c r="O50" s="245">
        <v>14</v>
      </c>
      <c r="P50" s="244">
        <v>25.5</v>
      </c>
      <c r="Q50" s="245" t="s">
        <v>176</v>
      </c>
      <c r="R50" s="219"/>
      <c r="S50" s="219"/>
      <c r="T50" s="295"/>
      <c r="U50" s="437">
        <v>75.053122658619813</v>
      </c>
      <c r="V50" s="438"/>
      <c r="W50" s="436">
        <v>-27.498219718145769</v>
      </c>
      <c r="X50" s="247"/>
      <c r="Y50" s="247"/>
      <c r="Z50" s="435">
        <v>0.92177718257237495</v>
      </c>
      <c r="AA50" s="435">
        <v>0.8015453761498913</v>
      </c>
      <c r="AB50" s="247"/>
      <c r="AC50" s="302"/>
      <c r="AD50" s="304">
        <v>1.26E-2</v>
      </c>
      <c r="AE50" s="247"/>
      <c r="AF50" s="440">
        <v>28.862784028104578</v>
      </c>
      <c r="AG50" s="440">
        <v>66.581712774269519</v>
      </c>
      <c r="AH50" s="440">
        <v>35.422507670855623</v>
      </c>
      <c r="AI50" s="440">
        <v>27.65007540129475</v>
      </c>
      <c r="AJ50" s="440">
        <v>26.238894571004163</v>
      </c>
      <c r="AK50" s="440">
        <v>32.798618213755205</v>
      </c>
      <c r="AL50" s="440">
        <v>38.046693013868293</v>
      </c>
      <c r="AM50" s="440">
        <v>33.180090481553698</v>
      </c>
      <c r="AN50" s="440">
        <v>37.963294305779193</v>
      </c>
      <c r="AO50" s="440">
        <v>38.710105561812647</v>
      </c>
      <c r="AP50" s="440">
        <v>18.267692555809404</v>
      </c>
      <c r="AQ50" s="47"/>
      <c r="AR50" s="242" t="s">
        <v>85</v>
      </c>
      <c r="AS50" s="47"/>
      <c r="AT50" s="352">
        <v>27.17</v>
      </c>
      <c r="AU50" s="352">
        <v>59.89</v>
      </c>
      <c r="AV50" s="352">
        <v>33.04</v>
      </c>
      <c r="AW50" s="352">
        <v>25.88</v>
      </c>
      <c r="AX50" s="352">
        <v>26.28</v>
      </c>
      <c r="AY50" s="352">
        <v>30.85</v>
      </c>
      <c r="AZ50" s="352">
        <v>36.21</v>
      </c>
      <c r="BA50" s="352">
        <v>30.8</v>
      </c>
      <c r="BB50" s="352">
        <v>36.119999999999997</v>
      </c>
      <c r="BC50" s="352">
        <v>35.28</v>
      </c>
      <c r="BD50" s="352">
        <v>17.690000000000001</v>
      </c>
    </row>
    <row r="51" spans="1:56">
      <c r="A51" s="243" t="s">
        <v>84</v>
      </c>
      <c r="B51" s="245" t="s">
        <v>168</v>
      </c>
      <c r="C51" s="244" t="s">
        <v>171</v>
      </c>
      <c r="D51" s="244" t="s">
        <v>129</v>
      </c>
      <c r="E51" s="244" t="s">
        <v>129</v>
      </c>
      <c r="F51" s="246" t="s">
        <v>129</v>
      </c>
      <c r="G51" s="246">
        <v>5.6440000000000001</v>
      </c>
      <c r="H51" s="245">
        <v>55</v>
      </c>
      <c r="I51" s="246">
        <f t="shared" si="0"/>
        <v>310.42</v>
      </c>
      <c r="J51" s="245">
        <v>14</v>
      </c>
      <c r="K51" s="245">
        <v>11</v>
      </c>
      <c r="L51" s="245">
        <v>14</v>
      </c>
      <c r="M51" s="246">
        <v>217.17</v>
      </c>
      <c r="N51" s="245"/>
      <c r="O51" s="245">
        <v>17</v>
      </c>
      <c r="P51" s="244">
        <v>24</v>
      </c>
      <c r="Q51" s="245" t="s">
        <v>176</v>
      </c>
      <c r="R51" s="219"/>
      <c r="S51" s="219"/>
      <c r="T51" s="295"/>
      <c r="U51" s="437">
        <v>69.573066199997996</v>
      </c>
      <c r="V51" s="438"/>
      <c r="W51" s="436">
        <v>18.738869458978101</v>
      </c>
      <c r="X51" s="247"/>
      <c r="Y51" s="247"/>
      <c r="Z51" s="435">
        <v>0.84899999999999998</v>
      </c>
      <c r="AA51" s="435">
        <v>0.73826086956521741</v>
      </c>
      <c r="AB51" s="247"/>
      <c r="AC51" s="302"/>
      <c r="AD51" s="304">
        <v>1.754E-2</v>
      </c>
      <c r="AE51" s="247"/>
      <c r="AF51" s="440">
        <v>26.104400314290757</v>
      </c>
      <c r="AG51" s="440">
        <v>48.087053210535608</v>
      </c>
      <c r="AH51" s="440">
        <v>34.347895150382577</v>
      </c>
      <c r="AI51" s="440">
        <v>26.48</v>
      </c>
      <c r="AJ51" s="440">
        <v>32.973979344367272</v>
      </c>
      <c r="AK51" s="440">
        <v>17.87</v>
      </c>
      <c r="AL51" s="440">
        <v>33.1</v>
      </c>
      <c r="AM51" s="440">
        <v>38.469642568428483</v>
      </c>
      <c r="AN51" s="440">
        <v>45.339221598504999</v>
      </c>
      <c r="AO51" s="440">
        <v>26.104400314290757</v>
      </c>
      <c r="AP51" s="440">
        <v>17.860905478198941</v>
      </c>
      <c r="AQ51" s="47"/>
      <c r="AR51" s="242" t="s">
        <v>84</v>
      </c>
      <c r="AS51" s="47"/>
      <c r="AT51" s="352">
        <v>25.28</v>
      </c>
      <c r="AU51" s="352">
        <v>44.99</v>
      </c>
      <c r="AV51" s="352">
        <v>32.81</v>
      </c>
      <c r="AW51" s="352">
        <v>26.3</v>
      </c>
      <c r="AX51" s="352">
        <v>32.94</v>
      </c>
      <c r="AY51" s="352">
        <v>18.28</v>
      </c>
      <c r="AZ51" s="352">
        <v>31.83</v>
      </c>
      <c r="BA51" s="352">
        <v>36.6</v>
      </c>
      <c r="BB51" s="352">
        <v>43.17</v>
      </c>
      <c r="BC51" s="352">
        <v>26.01</v>
      </c>
      <c r="BD51" s="352">
        <v>18.79</v>
      </c>
    </row>
    <row r="52" spans="1:56">
      <c r="A52" s="243" t="s">
        <v>83</v>
      </c>
      <c r="B52" s="245" t="s">
        <v>170</v>
      </c>
      <c r="C52" s="244" t="s">
        <v>169</v>
      </c>
      <c r="D52" s="244" t="s">
        <v>129</v>
      </c>
      <c r="E52" s="244" t="s">
        <v>129</v>
      </c>
      <c r="F52" s="246" t="s">
        <v>129</v>
      </c>
      <c r="G52" s="246">
        <v>3.1859999999999999</v>
      </c>
      <c r="H52" s="245">
        <v>80</v>
      </c>
      <c r="I52" s="246">
        <f>H52*G52</f>
        <v>254.88</v>
      </c>
      <c r="J52" s="245">
        <v>5</v>
      </c>
      <c r="K52" s="245">
        <v>10</v>
      </c>
      <c r="L52" s="245">
        <v>9</v>
      </c>
      <c r="M52" s="246">
        <v>201.82</v>
      </c>
      <c r="N52" s="245"/>
      <c r="O52" s="245">
        <v>16</v>
      </c>
      <c r="P52" s="244">
        <v>12</v>
      </c>
      <c r="Q52" s="245" t="s">
        <v>171</v>
      </c>
      <c r="R52" s="219"/>
      <c r="S52" s="219"/>
      <c r="T52" s="295"/>
      <c r="U52" s="437">
        <v>62.250032408760696</v>
      </c>
      <c r="V52" s="438"/>
      <c r="W52" s="436">
        <v>199.10398885995102</v>
      </c>
      <c r="X52" s="247"/>
      <c r="Y52" s="247"/>
      <c r="Z52" s="435">
        <v>0.86869268738392891</v>
      </c>
      <c r="AA52" s="435">
        <v>0.75538494555124258</v>
      </c>
      <c r="AB52" s="247"/>
      <c r="AC52" s="302"/>
      <c r="AD52" s="304">
        <v>9.6249999999999999E-3</v>
      </c>
      <c r="AE52" s="247"/>
      <c r="AF52" s="440">
        <v>26.18609546237666</v>
      </c>
      <c r="AG52" s="440">
        <v>30.77957287977085</v>
      </c>
      <c r="AH52" s="440">
        <v>24.73154575805269</v>
      </c>
      <c r="AI52" s="440">
        <v>27.53943276130077</v>
      </c>
      <c r="AJ52" s="440">
        <v>23.327602256428648</v>
      </c>
      <c r="AK52" s="440">
        <v>19.47860330682979</v>
      </c>
      <c r="AL52" s="440">
        <v>21.986515262816582</v>
      </c>
      <c r="AM52" s="440">
        <v>34.835790321542305</v>
      </c>
      <c r="AN52" s="440">
        <v>29.106593408271209</v>
      </c>
      <c r="AO52" s="440">
        <v>30.048653625923894</v>
      </c>
      <c r="AP52" s="440">
        <v>19.933892503333926</v>
      </c>
      <c r="AQ52" s="47"/>
      <c r="AR52" s="242" t="s">
        <v>83</v>
      </c>
      <c r="AS52" s="47"/>
      <c r="AT52" s="352">
        <v>24.93</v>
      </c>
      <c r="AU52" s="352">
        <v>30.63</v>
      </c>
      <c r="AV52" s="352">
        <v>25.18</v>
      </c>
      <c r="AW52" s="352">
        <v>27.54</v>
      </c>
      <c r="AX52" s="352">
        <v>24.22</v>
      </c>
      <c r="AY52" s="352">
        <v>20.05</v>
      </c>
      <c r="AZ52" s="352">
        <v>23.07</v>
      </c>
      <c r="BA52" s="352">
        <v>34.229999999999997</v>
      </c>
      <c r="BB52" s="352">
        <v>28.93</v>
      </c>
      <c r="BC52" s="352">
        <v>29.66</v>
      </c>
      <c r="BD52" s="352">
        <v>20.6</v>
      </c>
    </row>
    <row r="53" spans="1:56">
      <c r="A53" s="243" t="s">
        <v>82</v>
      </c>
      <c r="B53" s="245" t="s">
        <v>168</v>
      </c>
      <c r="C53" s="244" t="s">
        <v>171</v>
      </c>
      <c r="D53" s="244" t="s">
        <v>172</v>
      </c>
      <c r="E53" s="244" t="s">
        <v>133</v>
      </c>
      <c r="F53" s="246" t="s">
        <v>129</v>
      </c>
      <c r="G53" s="246">
        <v>5.45</v>
      </c>
      <c r="H53" s="245">
        <v>56</v>
      </c>
      <c r="I53" s="246">
        <f t="shared" si="0"/>
        <v>305.2</v>
      </c>
      <c r="J53" s="245">
        <v>9</v>
      </c>
      <c r="K53" s="245">
        <v>16</v>
      </c>
      <c r="L53" s="245">
        <v>15</v>
      </c>
      <c r="M53" s="246">
        <v>217.18</v>
      </c>
      <c r="N53" s="245"/>
      <c r="O53" s="245">
        <v>10</v>
      </c>
      <c r="P53" s="244">
        <v>24</v>
      </c>
      <c r="Q53" s="245" t="s">
        <v>175</v>
      </c>
      <c r="R53" s="219"/>
      <c r="S53" s="219"/>
      <c r="T53" s="295"/>
      <c r="U53" s="437">
        <v>70.429316208646256</v>
      </c>
      <c r="V53" s="438"/>
      <c r="W53" s="436">
        <v>109.84664359559501</v>
      </c>
      <c r="X53" s="247"/>
      <c r="Y53" s="247"/>
      <c r="Z53" s="435">
        <v>0.91728813940063558</v>
      </c>
      <c r="AA53" s="435">
        <v>0.79764186034837881</v>
      </c>
      <c r="AB53" s="247"/>
      <c r="AC53" s="302"/>
      <c r="AD53" s="304">
        <v>9.7300000000000008E-3</v>
      </c>
      <c r="AE53" s="247"/>
      <c r="AF53" s="440">
        <v>20.819905226073999</v>
      </c>
      <c r="AG53" s="440">
        <v>60.729075854760239</v>
      </c>
      <c r="AH53" s="440">
        <v>35.087275846396835</v>
      </c>
      <c r="AI53" s="440">
        <v>40.158907630222998</v>
      </c>
      <c r="AJ53" s="440">
        <v>35.087275846396842</v>
      </c>
      <c r="AK53" s="440">
        <v>28.317683608611599</v>
      </c>
      <c r="AL53" s="440">
        <v>27.134267935105644</v>
      </c>
      <c r="AM53" s="440">
        <v>39.92690010107227</v>
      </c>
      <c r="AN53" s="440">
        <v>44.766524355747691</v>
      </c>
      <c r="AO53" s="440">
        <v>50.392211879481899</v>
      </c>
      <c r="AP53" s="440">
        <v>18.7114376377695</v>
      </c>
      <c r="AQ53" s="47"/>
      <c r="AR53" s="242" t="s">
        <v>82</v>
      </c>
      <c r="AS53" s="47"/>
      <c r="AT53" s="352">
        <v>20.68</v>
      </c>
      <c r="AU53" s="352">
        <v>57.9</v>
      </c>
      <c r="AV53" s="352">
        <v>34.119999999999997</v>
      </c>
      <c r="AW53" s="352">
        <v>39.61</v>
      </c>
      <c r="AX53" s="352">
        <v>35.049999999999997</v>
      </c>
      <c r="AY53" s="352">
        <v>28.21</v>
      </c>
      <c r="AZ53" s="352">
        <v>26.74</v>
      </c>
      <c r="BA53" s="352">
        <v>38.840000000000003</v>
      </c>
      <c r="BB53" s="352">
        <v>43.94</v>
      </c>
      <c r="BC53" s="352">
        <v>48.88</v>
      </c>
      <c r="BD53" s="352">
        <v>18.48</v>
      </c>
    </row>
    <row r="54" spans="1:56">
      <c r="A54" s="243" t="s">
        <v>81</v>
      </c>
      <c r="B54" s="244" t="s">
        <v>166</v>
      </c>
      <c r="C54" s="244" t="s">
        <v>171</v>
      </c>
      <c r="D54" s="244" t="s">
        <v>129</v>
      </c>
      <c r="E54" s="244" t="s">
        <v>151</v>
      </c>
      <c r="F54" s="246" t="s">
        <v>134</v>
      </c>
      <c r="G54" s="246">
        <v>5.1379999999999999</v>
      </c>
      <c r="H54" s="245">
        <v>60</v>
      </c>
      <c r="I54" s="246">
        <f t="shared" si="0"/>
        <v>308.27999999999997</v>
      </c>
      <c r="J54" s="245">
        <v>11</v>
      </c>
      <c r="K54" s="245">
        <v>11</v>
      </c>
      <c r="L54" s="245">
        <v>16</v>
      </c>
      <c r="M54" s="246">
        <v>225.46</v>
      </c>
      <c r="N54" s="245"/>
      <c r="O54" s="245">
        <v>14</v>
      </c>
      <c r="P54" s="244">
        <v>22.5</v>
      </c>
      <c r="Q54" s="245" t="s">
        <v>171</v>
      </c>
      <c r="R54" s="219"/>
      <c r="S54" s="219"/>
      <c r="T54" s="295"/>
      <c r="U54" s="437">
        <v>82.749001473815824</v>
      </c>
      <c r="V54" s="438"/>
      <c r="W54" s="436">
        <v>18.873349743571421</v>
      </c>
      <c r="X54" s="247"/>
      <c r="Y54" s="247"/>
      <c r="Z54" s="435">
        <v>0.87077232970527974</v>
      </c>
      <c r="AA54" s="435">
        <v>0.75719333017850421</v>
      </c>
      <c r="AB54" s="247"/>
      <c r="AC54" s="302"/>
      <c r="AD54" s="304">
        <v>1.065E-2</v>
      </c>
      <c r="AE54" s="247"/>
      <c r="AF54" s="440">
        <v>24.63</v>
      </c>
      <c r="AG54" s="440">
        <v>52.79</v>
      </c>
      <c r="AH54" s="440">
        <v>22.87</v>
      </c>
      <c r="AI54" s="440">
        <v>26.39</v>
      </c>
      <c r="AJ54" s="440">
        <v>28.15</v>
      </c>
      <c r="AK54" s="440">
        <v>15.84</v>
      </c>
      <c r="AL54" s="440">
        <v>15.84</v>
      </c>
      <c r="AM54" s="440">
        <v>36.950000000000003</v>
      </c>
      <c r="AN54" s="440">
        <v>26.39</v>
      </c>
      <c r="AO54" s="440">
        <v>22.87</v>
      </c>
      <c r="AP54" s="440">
        <v>12.32</v>
      </c>
      <c r="AQ54" s="47"/>
      <c r="AR54" s="242" t="s">
        <v>81</v>
      </c>
      <c r="AS54" s="47"/>
      <c r="AT54" s="352">
        <v>25.02</v>
      </c>
      <c r="AU54" s="352">
        <v>53.24</v>
      </c>
      <c r="AV54" s="352">
        <v>22.38</v>
      </c>
      <c r="AW54" s="352">
        <v>26.88</v>
      </c>
      <c r="AX54" s="352">
        <v>28.29</v>
      </c>
      <c r="AY54" s="352">
        <v>17.12</v>
      </c>
      <c r="AZ54" s="352">
        <v>16.41</v>
      </c>
      <c r="BA54" s="352">
        <v>37.58</v>
      </c>
      <c r="BB54" s="352">
        <v>27.51</v>
      </c>
      <c r="BC54" s="352">
        <v>22.26</v>
      </c>
      <c r="BD54" s="352">
        <v>12.32</v>
      </c>
    </row>
    <row r="55" spans="1:56">
      <c r="A55" s="243" t="s">
        <v>80</v>
      </c>
      <c r="B55" s="245" t="s">
        <v>170</v>
      </c>
      <c r="C55" s="244" t="s">
        <v>169</v>
      </c>
      <c r="D55" s="244" t="s">
        <v>174</v>
      </c>
      <c r="E55" s="244" t="s">
        <v>129</v>
      </c>
      <c r="F55" s="246" t="s">
        <v>151</v>
      </c>
      <c r="G55" s="246">
        <v>5.0670000000000002</v>
      </c>
      <c r="H55" s="245">
        <v>61</v>
      </c>
      <c r="I55" s="246">
        <f t="shared" si="0"/>
        <v>309.08699999999999</v>
      </c>
      <c r="J55" s="245">
        <v>7</v>
      </c>
      <c r="K55" s="245">
        <v>11</v>
      </c>
      <c r="L55" s="245">
        <v>17</v>
      </c>
      <c r="M55" s="246">
        <v>214.05</v>
      </c>
      <c r="N55" s="245"/>
      <c r="O55" s="245">
        <v>23</v>
      </c>
      <c r="P55" s="244">
        <v>17</v>
      </c>
      <c r="Q55" s="245" t="s">
        <v>166</v>
      </c>
      <c r="R55" s="219"/>
      <c r="S55" s="219"/>
      <c r="T55" s="295"/>
      <c r="U55" s="437">
        <v>64.445676018350497</v>
      </c>
      <c r="V55" s="438"/>
      <c r="W55" s="436">
        <v>250.54751085921274</v>
      </c>
      <c r="X55" s="247"/>
      <c r="Y55" s="247"/>
      <c r="Z55" s="435">
        <v>0.85399999999999998</v>
      </c>
      <c r="AA55" s="435">
        <v>0.74260869565217391</v>
      </c>
      <c r="AB55" s="247"/>
      <c r="AC55" s="302"/>
      <c r="AD55" s="304">
        <v>2.23E-2</v>
      </c>
      <c r="AE55" s="247"/>
      <c r="AF55" s="440">
        <v>28.921631999999999</v>
      </c>
      <c r="AG55" s="440">
        <v>21.497836400000001</v>
      </c>
      <c r="AH55" s="440">
        <v>35.536350800000001</v>
      </c>
      <c r="AI55" s="440">
        <v>30.5753117</v>
      </c>
      <c r="AJ55" s="440">
        <v>34.727274100000002</v>
      </c>
      <c r="AK55" s="440">
        <v>26.4944019</v>
      </c>
      <c r="AL55" s="440">
        <v>28.921631999999999</v>
      </c>
      <c r="AM55" s="440">
        <v>29.479192399999999</v>
      </c>
      <c r="AN55" s="440">
        <v>45.458429199999998</v>
      </c>
      <c r="AO55" s="440">
        <v>27.000306200000001</v>
      </c>
      <c r="AP55" s="440">
        <v>24.2945119</v>
      </c>
      <c r="AQ55" s="47"/>
      <c r="AR55" s="242" t="s">
        <v>80</v>
      </c>
      <c r="AS55" s="47"/>
      <c r="AT55" s="352">
        <v>29.44</v>
      </c>
      <c r="AU55" s="352">
        <v>22.24</v>
      </c>
      <c r="AV55" s="352">
        <v>34.67</v>
      </c>
      <c r="AW55" s="352">
        <v>30.37</v>
      </c>
      <c r="AX55" s="352">
        <v>34.04</v>
      </c>
      <c r="AY55" s="352">
        <v>23.7</v>
      </c>
      <c r="AZ55" s="352">
        <v>29.27</v>
      </c>
      <c r="BA55" s="352">
        <v>29.46</v>
      </c>
      <c r="BB55" s="352">
        <v>45.58</v>
      </c>
      <c r="BC55" s="352">
        <v>26.95</v>
      </c>
      <c r="BD55" s="352">
        <v>25.68</v>
      </c>
    </row>
    <row r="56" spans="1:56">
      <c r="A56" s="243" t="s">
        <v>79</v>
      </c>
      <c r="B56" s="245" t="s">
        <v>168</v>
      </c>
      <c r="C56" s="244" t="s">
        <v>169</v>
      </c>
      <c r="D56" s="244" t="s">
        <v>129</v>
      </c>
      <c r="E56" s="244" t="s">
        <v>151</v>
      </c>
      <c r="F56" s="246" t="s">
        <v>151</v>
      </c>
      <c r="G56" s="246">
        <v>5.923</v>
      </c>
      <c r="H56" s="245">
        <v>53</v>
      </c>
      <c r="I56" s="246">
        <f t="shared" si="0"/>
        <v>313.91899999999998</v>
      </c>
      <c r="J56" s="245">
        <v>17</v>
      </c>
      <c r="K56" s="245">
        <v>10</v>
      </c>
      <c r="L56" s="245">
        <v>15</v>
      </c>
      <c r="M56" s="246">
        <v>219.95</v>
      </c>
      <c r="N56" s="245"/>
      <c r="O56" s="245">
        <v>14</v>
      </c>
      <c r="P56" s="244">
        <v>19.5</v>
      </c>
      <c r="Q56" s="245" t="s">
        <v>175</v>
      </c>
      <c r="R56" s="219"/>
      <c r="S56" s="219"/>
      <c r="T56" s="295"/>
      <c r="U56" s="437">
        <v>64.944083510408191</v>
      </c>
      <c r="V56" s="438"/>
      <c r="W56" s="436">
        <v>190.90274747223231</v>
      </c>
      <c r="X56" s="247"/>
      <c r="Y56" s="247"/>
      <c r="Z56" s="435">
        <v>0.89441572019922055</v>
      </c>
      <c r="AA56" s="435">
        <v>0.77775280017323534</v>
      </c>
      <c r="AB56" s="247"/>
      <c r="AC56" s="302"/>
      <c r="AD56" s="304">
        <v>1.2999999999999999E-2</v>
      </c>
      <c r="AE56" s="247"/>
      <c r="AF56" s="440">
        <v>20.97</v>
      </c>
      <c r="AG56" s="440">
        <v>46.78</v>
      </c>
      <c r="AH56" s="440">
        <v>24.2</v>
      </c>
      <c r="AI56" s="440">
        <v>28.49</v>
      </c>
      <c r="AJ56" s="440">
        <v>39.72</v>
      </c>
      <c r="AK56" s="440">
        <v>18.850000000000001</v>
      </c>
      <c r="AL56" s="440">
        <v>15.71</v>
      </c>
      <c r="AM56" s="440">
        <v>46.24</v>
      </c>
      <c r="AN56" s="440">
        <v>31.18</v>
      </c>
      <c r="AO56" s="440">
        <v>39.79</v>
      </c>
      <c r="AP56" s="440">
        <v>14.38</v>
      </c>
      <c r="AQ56" s="47"/>
      <c r="AR56" s="242" t="s">
        <v>79</v>
      </c>
      <c r="AS56" s="47"/>
      <c r="AT56" s="352">
        <v>21.45</v>
      </c>
      <c r="AU56" s="352">
        <v>46.63</v>
      </c>
      <c r="AV56" s="352">
        <v>25.38</v>
      </c>
      <c r="AW56" s="352">
        <v>28.82</v>
      </c>
      <c r="AX56" s="352">
        <v>37.89</v>
      </c>
      <c r="AY56" s="352">
        <v>18.7</v>
      </c>
      <c r="AZ56" s="352">
        <v>16.21</v>
      </c>
      <c r="BA56" s="352">
        <v>45.57</v>
      </c>
      <c r="BB56" s="352">
        <v>31.48</v>
      </c>
      <c r="BC56" s="352">
        <v>39.4</v>
      </c>
      <c r="BD56" s="352">
        <v>15.19</v>
      </c>
    </row>
    <row r="57" spans="1:56">
      <c r="A57" s="243" t="s">
        <v>126</v>
      </c>
      <c r="B57" s="245" t="s">
        <v>168</v>
      </c>
      <c r="C57" s="244" t="s">
        <v>169</v>
      </c>
      <c r="D57" s="245" t="s">
        <v>129</v>
      </c>
      <c r="E57" s="244" t="s">
        <v>134</v>
      </c>
      <c r="F57" s="246" t="s">
        <v>151</v>
      </c>
      <c r="G57" s="246">
        <v>5.851</v>
      </c>
      <c r="H57" s="245">
        <v>53</v>
      </c>
      <c r="I57" s="246">
        <f t="shared" si="0"/>
        <v>310.10300000000001</v>
      </c>
      <c r="J57" s="245">
        <v>8</v>
      </c>
      <c r="K57" s="245">
        <v>15</v>
      </c>
      <c r="L57" s="245">
        <v>18</v>
      </c>
      <c r="M57" s="246">
        <v>209.11</v>
      </c>
      <c r="N57" s="245"/>
      <c r="O57" s="245">
        <v>19</v>
      </c>
      <c r="P57" s="244">
        <v>23</v>
      </c>
      <c r="Q57" s="245" t="s">
        <v>171</v>
      </c>
      <c r="R57" s="219"/>
      <c r="S57" s="219"/>
      <c r="T57" s="295"/>
      <c r="U57" s="437">
        <v>64.661605645532745</v>
      </c>
      <c r="V57" s="438"/>
      <c r="W57" s="436">
        <v>152.80653157735111</v>
      </c>
      <c r="X57" s="247"/>
      <c r="Y57" s="247"/>
      <c r="Z57" s="435">
        <v>0.83399999999999996</v>
      </c>
      <c r="AA57" s="435">
        <v>0.72521739130434781</v>
      </c>
      <c r="AB57" s="247"/>
      <c r="AC57" s="302"/>
      <c r="AD57" s="304">
        <v>1.4851851851851901E-2</v>
      </c>
      <c r="AE57" s="247"/>
      <c r="AF57" s="440">
        <v>20.69</v>
      </c>
      <c r="AG57" s="440">
        <v>45.751320671669291</v>
      </c>
      <c r="AH57" s="440">
        <v>27.396718678663838</v>
      </c>
      <c r="AI57" s="440">
        <v>25.991249199906171</v>
      </c>
      <c r="AJ57" s="440">
        <v>24.595906500780767</v>
      </c>
      <c r="AK57" s="440">
        <v>15.47116143573764</v>
      </c>
      <c r="AL57" s="440">
        <v>18.808634382949997</v>
      </c>
      <c r="AM57" s="440">
        <v>30.207657636179171</v>
      </c>
      <c r="AN57" s="440">
        <v>40.560595352459515</v>
      </c>
      <c r="AO57" s="440">
        <v>21.356640261864563</v>
      </c>
      <c r="AP57" s="440">
        <v>16.360250052934553</v>
      </c>
      <c r="AQ57" s="47"/>
      <c r="AR57" s="242" t="s">
        <v>126</v>
      </c>
      <c r="AS57" s="47"/>
      <c r="AT57" s="352">
        <v>20.78</v>
      </c>
      <c r="AU57" s="352">
        <v>44.42</v>
      </c>
      <c r="AV57" s="352">
        <v>26.86</v>
      </c>
      <c r="AW57" s="352">
        <v>25.93</v>
      </c>
      <c r="AX57" s="352">
        <v>24.36</v>
      </c>
      <c r="AY57" s="352">
        <v>15.8</v>
      </c>
      <c r="AZ57" s="352">
        <v>19.079999999999998</v>
      </c>
      <c r="BA57" s="352">
        <v>30.56</v>
      </c>
      <c r="BB57" s="352">
        <v>41.04</v>
      </c>
      <c r="BC57" s="352">
        <v>21.77</v>
      </c>
      <c r="BD57" s="352">
        <v>16.77</v>
      </c>
    </row>
    <row r="58" spans="1:56">
      <c r="A58" s="243" t="s">
        <v>78</v>
      </c>
      <c r="B58" s="245" t="s">
        <v>168</v>
      </c>
      <c r="C58" s="244" t="s">
        <v>171</v>
      </c>
      <c r="D58" s="244" t="s">
        <v>129</v>
      </c>
      <c r="E58" s="244" t="s">
        <v>151</v>
      </c>
      <c r="F58" s="246" t="s">
        <v>129</v>
      </c>
      <c r="G58" s="246">
        <v>6.968</v>
      </c>
      <c r="H58" s="245">
        <v>44</v>
      </c>
      <c r="I58" s="246">
        <f t="shared" si="0"/>
        <v>306.59199999999998</v>
      </c>
      <c r="J58" s="245">
        <v>18</v>
      </c>
      <c r="K58" s="245">
        <v>16</v>
      </c>
      <c r="L58" s="245">
        <v>13</v>
      </c>
      <c r="M58" s="246">
        <v>239</v>
      </c>
      <c r="N58" s="245"/>
      <c r="O58" s="245">
        <v>22</v>
      </c>
      <c r="P58" s="244">
        <v>13.5</v>
      </c>
      <c r="Q58" s="245" t="s">
        <v>171</v>
      </c>
      <c r="R58" s="219"/>
      <c r="S58" s="219"/>
      <c r="T58" s="295"/>
      <c r="U58" s="437">
        <v>71.905650626428283</v>
      </c>
      <c r="V58" s="438"/>
      <c r="W58" s="436">
        <v>33.894320974533514</v>
      </c>
      <c r="X58" s="247"/>
      <c r="Y58" s="247"/>
      <c r="Z58" s="435">
        <v>0.88354448147196596</v>
      </c>
      <c r="AA58" s="435">
        <v>0.76829954910605747</v>
      </c>
      <c r="AB58" s="247"/>
      <c r="AC58" s="302"/>
      <c r="AD58" s="304">
        <v>2.6929999999999999E-2</v>
      </c>
      <c r="AE58" s="247"/>
      <c r="AF58" s="440">
        <v>28.125085390123001</v>
      </c>
      <c r="AG58" s="440">
        <v>52.787961861987199</v>
      </c>
      <c r="AH58" s="440">
        <v>28.142413987010698</v>
      </c>
      <c r="AI58" s="440">
        <v>32.664923239405901</v>
      </c>
      <c r="AJ58" s="440">
        <v>32.502234330829097</v>
      </c>
      <c r="AK58" s="440">
        <v>19.9554291191759</v>
      </c>
      <c r="AL58" s="440">
        <v>16.254368372538899</v>
      </c>
      <c r="AM58" s="440">
        <v>40.397519132352897</v>
      </c>
      <c r="AN58" s="440">
        <v>44.663950359028398</v>
      </c>
      <c r="AO58" s="440">
        <v>50.077051283490199</v>
      </c>
      <c r="AP58" s="440">
        <v>15.769546350337199</v>
      </c>
      <c r="AQ58" s="47"/>
      <c r="AR58" s="242" t="s">
        <v>78</v>
      </c>
      <c r="AS58" s="47"/>
      <c r="AT58" s="352">
        <v>28.52</v>
      </c>
      <c r="AU58" s="352">
        <v>48.91</v>
      </c>
      <c r="AV58" s="352">
        <v>28.05</v>
      </c>
      <c r="AW58" s="352">
        <v>32.090000000000003</v>
      </c>
      <c r="AX58" s="352">
        <v>31.56</v>
      </c>
      <c r="AY58" s="352">
        <v>21.31</v>
      </c>
      <c r="AZ58" s="352">
        <v>18.47</v>
      </c>
      <c r="BA58" s="352">
        <v>38.36</v>
      </c>
      <c r="BB58" s="352">
        <v>43.34</v>
      </c>
      <c r="BC58" s="352">
        <v>46.58</v>
      </c>
      <c r="BD58" s="352">
        <v>17.77</v>
      </c>
    </row>
    <row r="59" spans="1:56">
      <c r="A59" s="243" t="s">
        <v>77</v>
      </c>
      <c r="B59" s="245" t="s">
        <v>168</v>
      </c>
      <c r="C59" s="244" t="s">
        <v>169</v>
      </c>
      <c r="D59" s="244" t="s">
        <v>129</v>
      </c>
      <c r="E59" s="244" t="s">
        <v>129</v>
      </c>
      <c r="F59" s="246" t="s">
        <v>129</v>
      </c>
      <c r="G59" s="246">
        <v>5.86</v>
      </c>
      <c r="H59" s="245">
        <v>53</v>
      </c>
      <c r="I59" s="246">
        <f t="shared" si="0"/>
        <v>310.58000000000004</v>
      </c>
      <c r="J59" s="245">
        <v>11</v>
      </c>
      <c r="K59" s="245">
        <v>18</v>
      </c>
      <c r="L59" s="245">
        <v>13</v>
      </c>
      <c r="M59" s="246">
        <v>233.28</v>
      </c>
      <c r="N59" s="245"/>
      <c r="O59" s="245">
        <v>14</v>
      </c>
      <c r="P59" s="244">
        <v>15</v>
      </c>
      <c r="Q59" s="245" t="s">
        <v>176</v>
      </c>
      <c r="R59" s="219"/>
      <c r="S59" s="219"/>
      <c r="T59" s="295"/>
      <c r="U59" s="437">
        <v>73.267820978350599</v>
      </c>
      <c r="V59" s="438"/>
      <c r="W59" s="436">
        <v>71.43411874636071</v>
      </c>
      <c r="X59" s="247"/>
      <c r="Y59" s="247"/>
      <c r="Z59" s="435">
        <v>0.86570819586394276</v>
      </c>
      <c r="AA59" s="435">
        <v>0.7527897355338633</v>
      </c>
      <c r="AB59" s="247"/>
      <c r="AC59" s="302"/>
      <c r="AD59" s="304">
        <v>1.405E-2</v>
      </c>
      <c r="AE59" s="247"/>
      <c r="AF59" s="440">
        <v>17.21652085294706</v>
      </c>
      <c r="AG59" s="440">
        <v>33.744359304321769</v>
      </c>
      <c r="AH59" s="440">
        <v>22.191092810233641</v>
      </c>
      <c r="AI59" s="440">
        <v>29.178955547006691</v>
      </c>
      <c r="AJ59" s="440">
        <v>23.50091873722474</v>
      </c>
      <c r="AK59" s="440">
        <v>15.613731119984513</v>
      </c>
      <c r="AL59" s="440">
        <v>14.050879762893759</v>
      </c>
      <c r="AM59" s="440">
        <v>38.794976161964804</v>
      </c>
      <c r="AN59" s="440">
        <v>29.178955547006691</v>
      </c>
      <c r="AO59" s="440">
        <v>31.030269365444784</v>
      </c>
      <c r="AP59" s="440">
        <v>15.748815133529346</v>
      </c>
      <c r="AQ59" s="47"/>
      <c r="AR59" s="242" t="s">
        <v>77</v>
      </c>
      <c r="AS59" s="47"/>
      <c r="AT59" s="352">
        <v>17.350000000000001</v>
      </c>
      <c r="AU59" s="352">
        <v>33.58</v>
      </c>
      <c r="AV59" s="352">
        <v>22.04</v>
      </c>
      <c r="AW59" s="352">
        <v>28.97</v>
      </c>
      <c r="AX59" s="352">
        <v>23.44</v>
      </c>
      <c r="AY59" s="352">
        <v>15.56</v>
      </c>
      <c r="AZ59" s="352">
        <v>14.46</v>
      </c>
      <c r="BA59" s="352">
        <v>37.840000000000003</v>
      </c>
      <c r="BB59" s="352">
        <v>29.29</v>
      </c>
      <c r="BC59" s="352">
        <v>31.75</v>
      </c>
      <c r="BD59" s="352">
        <v>15.14</v>
      </c>
    </row>
    <row r="60" spans="1:56">
      <c r="A60" s="243" t="s">
        <v>76</v>
      </c>
      <c r="B60" s="245" t="s">
        <v>170</v>
      </c>
      <c r="C60" s="244" t="s">
        <v>169</v>
      </c>
      <c r="D60" s="244" t="s">
        <v>129</v>
      </c>
      <c r="E60" s="244" t="s">
        <v>129</v>
      </c>
      <c r="F60" s="246" t="s">
        <v>129</v>
      </c>
      <c r="G60" s="246">
        <v>5.44</v>
      </c>
      <c r="H60" s="245">
        <v>57</v>
      </c>
      <c r="I60" s="246">
        <f t="shared" si="0"/>
        <v>310.08000000000004</v>
      </c>
      <c r="J60" s="245">
        <v>11</v>
      </c>
      <c r="K60" s="245">
        <v>12</v>
      </c>
      <c r="L60" s="245">
        <v>16</v>
      </c>
      <c r="M60" s="246">
        <v>214.41</v>
      </c>
      <c r="N60" s="245"/>
      <c r="O60" s="245">
        <v>25</v>
      </c>
      <c r="P60" s="244">
        <v>14.5</v>
      </c>
      <c r="Q60" s="245" t="s">
        <v>166</v>
      </c>
      <c r="R60" s="219"/>
      <c r="S60" s="219"/>
      <c r="T60" s="295"/>
      <c r="U60" s="437">
        <v>65.42776039044233</v>
      </c>
      <c r="V60" s="438"/>
      <c r="W60" s="436">
        <v>220.66592821434202</v>
      </c>
      <c r="X60" s="247"/>
      <c r="Y60" s="247"/>
      <c r="Z60" s="435">
        <v>0.83868456302227501</v>
      </c>
      <c r="AA60" s="435">
        <v>0.72929092436719567</v>
      </c>
      <c r="AB60" s="247"/>
      <c r="AC60" s="302"/>
      <c r="AD60" s="304">
        <v>2.5999999999999999E-2</v>
      </c>
      <c r="AE60" s="247"/>
      <c r="AF60" s="440">
        <v>26.596515787179484</v>
      </c>
      <c r="AG60" s="440">
        <v>26.596515787179484</v>
      </c>
      <c r="AH60" s="440">
        <v>47.698313410503289</v>
      </c>
      <c r="AI60" s="440">
        <v>47.0813592754822</v>
      </c>
      <c r="AJ60" s="440">
        <v>21.274193763452264</v>
      </c>
      <c r="AK60" s="440">
        <v>31.982262029231599</v>
      </c>
      <c r="AL60" s="440">
        <v>16.442805126456154</v>
      </c>
      <c r="AM60" s="440">
        <v>26.596515787179484</v>
      </c>
      <c r="AN60" s="440">
        <v>31.792044166147498</v>
      </c>
      <c r="AO60" s="440">
        <v>36.238152513395427</v>
      </c>
      <c r="AP60" s="440">
        <v>21.022522156544362</v>
      </c>
      <c r="AQ60" s="47"/>
      <c r="AR60" s="242" t="s">
        <v>76</v>
      </c>
      <c r="AS60" s="47"/>
      <c r="AT60" s="352">
        <v>26.29</v>
      </c>
      <c r="AU60" s="352">
        <v>26.26</v>
      </c>
      <c r="AV60" s="352">
        <v>45.89</v>
      </c>
      <c r="AW60" s="352">
        <v>45.89</v>
      </c>
      <c r="AX60" s="352">
        <v>21.53</v>
      </c>
      <c r="AY60" s="352">
        <v>31.13</v>
      </c>
      <c r="AZ60" s="352">
        <v>16.2</v>
      </c>
      <c r="BA60" s="352">
        <v>26.08</v>
      </c>
      <c r="BB60" s="352">
        <v>31.92</v>
      </c>
      <c r="BC60" s="352">
        <v>36.840000000000003</v>
      </c>
      <c r="BD60" s="352">
        <v>21.26</v>
      </c>
    </row>
    <row r="61" spans="1:56">
      <c r="A61" s="243" t="s">
        <v>75</v>
      </c>
      <c r="B61" s="245" t="s">
        <v>168</v>
      </c>
      <c r="C61" s="244" t="s">
        <v>169</v>
      </c>
      <c r="D61" s="244" t="s">
        <v>129</v>
      </c>
      <c r="E61" s="244" t="s">
        <v>134</v>
      </c>
      <c r="F61" s="246" t="s">
        <v>129</v>
      </c>
      <c r="G61" s="246">
        <v>5.5549999999999997</v>
      </c>
      <c r="H61" s="245">
        <v>55</v>
      </c>
      <c r="I61" s="246">
        <f t="shared" si="0"/>
        <v>305.52499999999998</v>
      </c>
      <c r="J61" s="245">
        <v>12</v>
      </c>
      <c r="K61" s="245">
        <v>10</v>
      </c>
      <c r="L61" s="245">
        <v>17</v>
      </c>
      <c r="M61" s="246">
        <v>214.71</v>
      </c>
      <c r="N61" s="245"/>
      <c r="O61" s="245">
        <v>21</v>
      </c>
      <c r="P61" s="244">
        <v>18.5</v>
      </c>
      <c r="Q61" s="245" t="s">
        <v>175</v>
      </c>
      <c r="R61" s="219"/>
      <c r="S61" s="219"/>
      <c r="T61" s="295"/>
      <c r="U61" s="437">
        <v>67.292337674036204</v>
      </c>
      <c r="V61" s="438"/>
      <c r="W61" s="436">
        <v>170.54784487188203</v>
      </c>
      <c r="X61" s="247"/>
      <c r="Y61" s="247"/>
      <c r="Z61" s="435">
        <v>0.81478313046062134</v>
      </c>
      <c r="AA61" s="435">
        <v>0.70850706996575774</v>
      </c>
      <c r="AB61" s="247"/>
      <c r="AC61" s="302"/>
      <c r="AD61" s="304">
        <v>2.12E-2</v>
      </c>
      <c r="AE61" s="247"/>
      <c r="AF61" s="440">
        <v>21.35</v>
      </c>
      <c r="AG61" s="440">
        <v>13.65</v>
      </c>
      <c r="AH61" s="440">
        <v>34.880000000000003</v>
      </c>
      <c r="AI61" s="440">
        <v>41.22</v>
      </c>
      <c r="AJ61" s="440">
        <v>27.05</v>
      </c>
      <c r="AK61" s="440">
        <v>19.87</v>
      </c>
      <c r="AL61" s="440">
        <v>29.98</v>
      </c>
      <c r="AM61" s="440">
        <v>35.6</v>
      </c>
      <c r="AN61" s="440">
        <v>40.409999999999997</v>
      </c>
      <c r="AO61" s="440">
        <v>29.33</v>
      </c>
      <c r="AP61" s="440">
        <v>20.58</v>
      </c>
      <c r="AQ61" s="47"/>
      <c r="AR61" s="242" t="s">
        <v>75</v>
      </c>
      <c r="AS61" s="47"/>
      <c r="AT61" s="352">
        <v>22.65</v>
      </c>
      <c r="AU61" s="352">
        <v>15.01</v>
      </c>
      <c r="AV61" s="352">
        <v>34.76</v>
      </c>
      <c r="AW61" s="352">
        <v>39.49</v>
      </c>
      <c r="AX61" s="352">
        <v>28.35</v>
      </c>
      <c r="AY61" s="352">
        <v>31.12</v>
      </c>
      <c r="AZ61" s="352">
        <v>28.91</v>
      </c>
      <c r="BA61" s="352">
        <v>35.28</v>
      </c>
      <c r="BB61" s="352">
        <v>41.03</v>
      </c>
      <c r="BC61" s="352">
        <v>30.03</v>
      </c>
      <c r="BD61" s="352">
        <v>20.79</v>
      </c>
    </row>
    <row r="62" spans="1:56">
      <c r="A62" s="243" t="s">
        <v>74</v>
      </c>
      <c r="B62" s="245" t="s">
        <v>170</v>
      </c>
      <c r="C62" s="244" t="s">
        <v>171</v>
      </c>
      <c r="D62" s="244" t="s">
        <v>129</v>
      </c>
      <c r="E62" s="244" t="s">
        <v>129</v>
      </c>
      <c r="F62" s="246" t="s">
        <v>151</v>
      </c>
      <c r="G62" s="246">
        <v>5.6219999999999999</v>
      </c>
      <c r="H62" s="245">
        <v>55</v>
      </c>
      <c r="I62" s="246">
        <f t="shared" si="0"/>
        <v>309.20999999999998</v>
      </c>
      <c r="J62" s="245">
        <v>11</v>
      </c>
      <c r="K62" s="245">
        <v>15</v>
      </c>
      <c r="L62" s="245">
        <v>13</v>
      </c>
      <c r="M62" s="246">
        <v>213.67</v>
      </c>
      <c r="N62" s="245"/>
      <c r="O62" s="245">
        <v>18</v>
      </c>
      <c r="P62" s="244">
        <v>23.5</v>
      </c>
      <c r="Q62" s="245" t="s">
        <v>171</v>
      </c>
      <c r="R62" s="219"/>
      <c r="S62" s="219"/>
      <c r="T62" s="295"/>
      <c r="U62" s="437">
        <v>63.324795262445321</v>
      </c>
      <c r="V62" s="438"/>
      <c r="W62" s="436">
        <v>199.04988516678739</v>
      </c>
      <c r="X62" s="247"/>
      <c r="Y62" s="247"/>
      <c r="Z62" s="435">
        <v>0.83183723383835928</v>
      </c>
      <c r="AA62" s="435">
        <v>0.72333672507683422</v>
      </c>
      <c r="AB62" s="247"/>
      <c r="AC62" s="302"/>
      <c r="AD62" s="304">
        <v>2.0233750000000002E-2</v>
      </c>
      <c r="AE62" s="247"/>
      <c r="AF62" s="440">
        <v>30.5</v>
      </c>
      <c r="AG62" s="440">
        <v>48.070013673003331</v>
      </c>
      <c r="AH62" s="440">
        <v>32</v>
      </c>
      <c r="AI62" s="440">
        <v>35.5</v>
      </c>
      <c r="AJ62" s="440">
        <v>21</v>
      </c>
      <c r="AK62" s="440">
        <v>22.975939665375193</v>
      </c>
      <c r="AL62" s="440">
        <v>24.282062414926489</v>
      </c>
      <c r="AM62" s="440">
        <v>26.5</v>
      </c>
      <c r="AN62" s="440">
        <v>34.5</v>
      </c>
      <c r="AO62" s="440">
        <v>29</v>
      </c>
      <c r="AP62" s="440">
        <v>19.416151776054992</v>
      </c>
      <c r="AQ62" s="47"/>
      <c r="AR62" s="242" t="s">
        <v>74</v>
      </c>
      <c r="AS62" s="47"/>
      <c r="AT62" s="352">
        <v>28.45</v>
      </c>
      <c r="AU62" s="352">
        <v>43.18</v>
      </c>
      <c r="AV62" s="352">
        <v>30.23</v>
      </c>
      <c r="AW62" s="352">
        <v>33.700000000000003</v>
      </c>
      <c r="AX62" s="352">
        <v>20.65</v>
      </c>
      <c r="AY62" s="352">
        <v>22.44</v>
      </c>
      <c r="AZ62" s="352">
        <v>23.28</v>
      </c>
      <c r="BA62" s="352">
        <v>25.36</v>
      </c>
      <c r="BB62" s="352">
        <v>33.090000000000003</v>
      </c>
      <c r="BC62" s="352">
        <v>27.45</v>
      </c>
      <c r="BD62" s="352">
        <v>19.010000000000002</v>
      </c>
    </row>
    <row r="63" spans="1:56">
      <c r="A63" s="243" t="s">
        <v>73</v>
      </c>
      <c r="B63" s="245" t="s">
        <v>168</v>
      </c>
      <c r="C63" s="244" t="s">
        <v>171</v>
      </c>
      <c r="D63" s="244" t="s">
        <v>174</v>
      </c>
      <c r="E63" s="244" t="s">
        <v>134</v>
      </c>
      <c r="F63" s="246" t="s">
        <v>129</v>
      </c>
      <c r="G63" s="246">
        <v>4.2510000000000003</v>
      </c>
      <c r="H63" s="245">
        <v>71</v>
      </c>
      <c r="I63" s="246">
        <f t="shared" si="0"/>
        <v>301.82100000000003</v>
      </c>
      <c r="J63" s="245">
        <v>9</v>
      </c>
      <c r="K63" s="245">
        <v>13</v>
      </c>
      <c r="L63" s="245">
        <v>9</v>
      </c>
      <c r="M63" s="246">
        <v>230.5</v>
      </c>
      <c r="N63" s="245"/>
      <c r="O63" s="245">
        <v>14</v>
      </c>
      <c r="P63" s="244">
        <v>22.5</v>
      </c>
      <c r="Q63" s="245" t="s">
        <v>175</v>
      </c>
      <c r="R63" s="219"/>
      <c r="S63" s="219"/>
      <c r="T63" s="295"/>
      <c r="U63" s="437">
        <v>70.052990459141327</v>
      </c>
      <c r="V63" s="438"/>
      <c r="W63" s="436">
        <v>-14.369895619296273</v>
      </c>
      <c r="X63" s="247"/>
      <c r="Y63" s="247"/>
      <c r="Z63" s="435">
        <v>0.8228474582327111</v>
      </c>
      <c r="AA63" s="435">
        <v>0.71551952889800974</v>
      </c>
      <c r="AB63" s="247"/>
      <c r="AC63" s="302"/>
      <c r="AD63" s="304">
        <v>1.035E-2</v>
      </c>
      <c r="AE63" s="247"/>
      <c r="AF63" s="440">
        <v>41.06</v>
      </c>
      <c r="AG63" s="440">
        <v>67.55</v>
      </c>
      <c r="AH63" s="440">
        <v>50.331000000000003</v>
      </c>
      <c r="AI63" s="440">
        <v>39.74</v>
      </c>
      <c r="AJ63" s="440">
        <v>34.44</v>
      </c>
      <c r="AK63" s="440">
        <v>29.49</v>
      </c>
      <c r="AL63" s="440">
        <v>26.49</v>
      </c>
      <c r="AM63" s="440">
        <v>38.409999999999997</v>
      </c>
      <c r="AN63" s="440">
        <v>74.17</v>
      </c>
      <c r="AO63" s="440">
        <v>56.95</v>
      </c>
      <c r="AP63" s="440">
        <v>22.52</v>
      </c>
      <c r="AQ63" s="47"/>
      <c r="AR63" s="242" t="s">
        <v>73</v>
      </c>
      <c r="AS63" s="47"/>
      <c r="AT63" s="352">
        <v>39.47</v>
      </c>
      <c r="AU63" s="352">
        <v>63.41</v>
      </c>
      <c r="AV63" s="352">
        <v>48.26</v>
      </c>
      <c r="AW63" s="352">
        <v>38.22</v>
      </c>
      <c r="AX63" s="352">
        <v>33.24</v>
      </c>
      <c r="AY63" s="352">
        <v>28.26</v>
      </c>
      <c r="AZ63" s="352">
        <v>26.17</v>
      </c>
      <c r="BA63" s="352">
        <v>36.99</v>
      </c>
      <c r="BB63" s="352">
        <v>69.52</v>
      </c>
      <c r="BC63" s="352">
        <v>54.04</v>
      </c>
      <c r="BD63" s="352">
        <v>22.42</v>
      </c>
    </row>
    <row r="64" spans="1:56" ht="15" customHeight="1">
      <c r="A64" s="243" t="s">
        <v>72</v>
      </c>
      <c r="B64" s="245" t="s">
        <v>168</v>
      </c>
      <c r="C64" s="244" t="s">
        <v>169</v>
      </c>
      <c r="D64" s="244" t="s">
        <v>129</v>
      </c>
      <c r="E64" s="244" t="s">
        <v>134</v>
      </c>
      <c r="F64" s="246" t="s">
        <v>129</v>
      </c>
      <c r="G64" s="246">
        <v>4.2610000000000001</v>
      </c>
      <c r="H64" s="245">
        <v>70</v>
      </c>
      <c r="I64" s="246">
        <f t="shared" si="0"/>
        <v>298.27</v>
      </c>
      <c r="J64" s="245">
        <v>11</v>
      </c>
      <c r="K64" s="245">
        <v>9</v>
      </c>
      <c r="L64" s="245">
        <v>10</v>
      </c>
      <c r="M64" s="246">
        <v>223.26</v>
      </c>
      <c r="N64" s="245"/>
      <c r="O64" s="245">
        <v>17</v>
      </c>
      <c r="P64" s="244">
        <v>19.5</v>
      </c>
      <c r="Q64" s="245" t="s">
        <v>166</v>
      </c>
      <c r="R64" s="219"/>
      <c r="S64" s="219"/>
      <c r="T64" s="295"/>
      <c r="U64" s="437">
        <v>64.810773157221831</v>
      </c>
      <c r="V64" s="438"/>
      <c r="W64" s="436">
        <v>158.48563789560453</v>
      </c>
      <c r="X64" s="247"/>
      <c r="Y64" s="247"/>
      <c r="Z64" s="435">
        <v>0.84128385000000006</v>
      </c>
      <c r="AA64" s="435">
        <v>0.73155117391304358</v>
      </c>
      <c r="AB64" s="247"/>
      <c r="AC64" s="302"/>
      <c r="AD64" s="304">
        <v>1.3650000000000001E-2</v>
      </c>
      <c r="AE64" s="247"/>
      <c r="AF64" s="440">
        <v>18.697011853445936</v>
      </c>
      <c r="AG64" s="440">
        <v>20.751678499131074</v>
      </c>
      <c r="AH64" s="440">
        <v>26.089303491758944</v>
      </c>
      <c r="AI64" s="440">
        <v>23.013257501781784</v>
      </c>
      <c r="AJ64" s="440">
        <v>21.194409235820263</v>
      </c>
      <c r="AK64" s="440">
        <v>24.233011856334361</v>
      </c>
      <c r="AL64" s="440">
        <v>22.529139686688911</v>
      </c>
      <c r="AM64" s="440">
        <v>41.363418588128646</v>
      </c>
      <c r="AN64" s="440">
        <v>29.706554719875868</v>
      </c>
      <c r="AO64" s="440">
        <v>32.241395471713261</v>
      </c>
      <c r="AP64" s="440">
        <v>19.740569213250616</v>
      </c>
      <c r="AQ64" s="47"/>
      <c r="AR64" s="242" t="s">
        <v>72</v>
      </c>
      <c r="AS64" s="47"/>
      <c r="AT64" s="352">
        <v>17.440000000000001</v>
      </c>
      <c r="AU64" s="352">
        <v>19.86</v>
      </c>
      <c r="AV64" s="352">
        <v>25.24</v>
      </c>
      <c r="AW64" s="352">
        <v>22.78</v>
      </c>
      <c r="AX64" s="352">
        <v>20.51</v>
      </c>
      <c r="AY64" s="352">
        <v>22.81</v>
      </c>
      <c r="AZ64" s="352">
        <v>21.45</v>
      </c>
      <c r="BA64" s="352">
        <v>40.97</v>
      </c>
      <c r="BB64" s="352">
        <v>29.02</v>
      </c>
      <c r="BC64" s="352">
        <v>31.95</v>
      </c>
      <c r="BD64" s="352">
        <v>18.46</v>
      </c>
    </row>
    <row r="65" spans="1:56">
      <c r="A65" s="248">
        <v>1</v>
      </c>
      <c r="B65" s="248">
        <v>2</v>
      </c>
      <c r="C65" s="248">
        <v>3</v>
      </c>
      <c r="D65" s="248">
        <v>4</v>
      </c>
      <c r="E65" s="248">
        <v>5</v>
      </c>
      <c r="F65" s="248">
        <v>6</v>
      </c>
      <c r="G65" s="248">
        <v>7</v>
      </c>
      <c r="H65" s="248">
        <v>8</v>
      </c>
      <c r="I65" s="248">
        <v>9</v>
      </c>
      <c r="J65" s="248">
        <v>10</v>
      </c>
      <c r="K65" s="248">
        <v>11</v>
      </c>
      <c r="L65" s="248">
        <v>12</v>
      </c>
      <c r="M65" s="248">
        <v>13</v>
      </c>
      <c r="N65" s="248">
        <v>14</v>
      </c>
      <c r="O65" s="248">
        <v>15</v>
      </c>
      <c r="P65" s="248">
        <v>16</v>
      </c>
      <c r="Q65" s="248">
        <v>17</v>
      </c>
      <c r="R65" s="248">
        <v>18</v>
      </c>
      <c r="S65" s="248">
        <v>19</v>
      </c>
      <c r="T65" s="248">
        <v>20</v>
      </c>
      <c r="U65" s="248">
        <v>21</v>
      </c>
      <c r="V65" s="248">
        <v>22</v>
      </c>
      <c r="W65" s="248">
        <v>23</v>
      </c>
      <c r="X65" s="248">
        <v>24</v>
      </c>
      <c r="Y65" s="248">
        <v>25</v>
      </c>
      <c r="Z65" s="248">
        <v>26</v>
      </c>
      <c r="AA65" s="248">
        <v>27</v>
      </c>
      <c r="AB65" s="248">
        <v>28</v>
      </c>
      <c r="AC65" s="248">
        <v>29</v>
      </c>
      <c r="AD65" s="248">
        <v>30</v>
      </c>
      <c r="AE65" s="248">
        <v>31</v>
      </c>
      <c r="AF65" s="248">
        <v>32</v>
      </c>
      <c r="AG65" s="248">
        <v>33</v>
      </c>
      <c r="AH65" s="248">
        <v>34</v>
      </c>
      <c r="AI65" s="248">
        <v>35</v>
      </c>
      <c r="AJ65" s="248">
        <v>36</v>
      </c>
      <c r="AK65" s="248">
        <v>37</v>
      </c>
      <c r="AL65" s="248">
        <v>38</v>
      </c>
      <c r="AM65" s="248">
        <v>39</v>
      </c>
      <c r="AN65" s="248">
        <v>40</v>
      </c>
      <c r="AO65" s="248">
        <v>41</v>
      </c>
      <c r="AP65" s="248">
        <v>42</v>
      </c>
      <c r="AQ65" s="248">
        <v>43</v>
      </c>
      <c r="AR65" s="248">
        <v>44</v>
      </c>
      <c r="AS65" s="216"/>
      <c r="AT65" s="216"/>
      <c r="AU65" s="216"/>
      <c r="AV65" s="216"/>
      <c r="AW65" s="216"/>
      <c r="AX65" s="216"/>
      <c r="AY65" s="216"/>
      <c r="AZ65" s="216"/>
      <c r="BA65" s="216"/>
      <c r="BB65" s="216"/>
      <c r="BC65" s="216"/>
      <c r="BD65" s="216"/>
    </row>
    <row r="66" spans="1:56">
      <c r="A66" s="296" t="s">
        <v>512</v>
      </c>
      <c r="B66" s="247" t="s">
        <v>168</v>
      </c>
      <c r="C66" s="247" t="s">
        <v>171</v>
      </c>
      <c r="D66" s="247" t="s">
        <v>174</v>
      </c>
      <c r="E66" s="247" t="s">
        <v>134</v>
      </c>
      <c r="F66" s="247" t="s">
        <v>134</v>
      </c>
      <c r="G66" s="247">
        <v>5.4109999999999996</v>
      </c>
      <c r="H66" s="247">
        <v>57</v>
      </c>
      <c r="I66" s="246">
        <f t="shared" si="0"/>
        <v>308.42699999999996</v>
      </c>
      <c r="J66" s="247">
        <v>14</v>
      </c>
      <c r="K66" s="247">
        <v>13</v>
      </c>
      <c r="L66" s="247">
        <v>11</v>
      </c>
      <c r="M66" s="247"/>
      <c r="N66" s="247"/>
      <c r="O66" s="247">
        <v>19</v>
      </c>
      <c r="P66" s="247">
        <v>17</v>
      </c>
      <c r="Q66" s="247" t="s">
        <v>175</v>
      </c>
      <c r="R66" s="247"/>
      <c r="S66" s="247"/>
      <c r="T66" s="247"/>
      <c r="U66" s="247"/>
      <c r="V66" s="247"/>
      <c r="W66" s="247">
        <v>0</v>
      </c>
      <c r="X66" s="247"/>
      <c r="Y66" s="247"/>
      <c r="Z66" s="247">
        <v>0.85877000000000003</v>
      </c>
      <c r="AA66" s="247"/>
      <c r="AB66" s="247"/>
      <c r="AC66" s="247"/>
      <c r="AD66" s="247"/>
      <c r="AE66" s="247"/>
      <c r="AF66" s="247">
        <v>17</v>
      </c>
      <c r="AG66" s="247">
        <v>35</v>
      </c>
      <c r="AH66" s="247">
        <v>28</v>
      </c>
      <c r="AI66" s="247">
        <v>27</v>
      </c>
      <c r="AJ66" s="247">
        <v>18</v>
      </c>
      <c r="AK66" s="247">
        <v>19</v>
      </c>
      <c r="AL66" s="247">
        <v>20</v>
      </c>
      <c r="AM66" s="247">
        <v>29</v>
      </c>
      <c r="AN66" s="247">
        <v>36</v>
      </c>
      <c r="AO66" s="247">
        <v>17</v>
      </c>
      <c r="AP66" s="247">
        <v>17</v>
      </c>
      <c r="AQ66" s="247"/>
      <c r="AR66" s="247"/>
      <c r="AS66" s="247"/>
      <c r="AT66" s="247"/>
      <c r="AU66" s="247"/>
      <c r="AV66" s="247"/>
      <c r="AW66" s="247"/>
      <c r="AX66" s="247"/>
      <c r="AY66" s="247"/>
      <c r="AZ66" s="247"/>
      <c r="BA66" s="247"/>
      <c r="BB66" s="247"/>
      <c r="BC66" s="247"/>
      <c r="BD66" s="247"/>
    </row>
    <row r="67" spans="1:56">
      <c r="A67" s="217"/>
      <c r="B67" s="217"/>
      <c r="C67" s="217"/>
      <c r="D67" s="217"/>
      <c r="E67" s="217"/>
      <c r="F67" s="217"/>
      <c r="G67" s="217"/>
      <c r="H67" s="217"/>
      <c r="I67" s="217"/>
      <c r="J67" s="217"/>
      <c r="K67" s="217"/>
      <c r="L67" s="217"/>
      <c r="M67" s="217"/>
    </row>
    <row r="68" spans="1:56">
      <c r="A68" s="581" t="s">
        <v>155</v>
      </c>
      <c r="B68" s="582"/>
      <c r="C68" s="582"/>
      <c r="D68" s="582"/>
      <c r="E68" s="582"/>
      <c r="F68" s="582"/>
      <c r="G68" s="582"/>
      <c r="H68" s="582"/>
      <c r="I68" s="583"/>
      <c r="J68" s="259"/>
      <c r="K68" s="581" t="s">
        <v>203</v>
      </c>
      <c r="L68" s="582"/>
      <c r="M68" s="583"/>
    </row>
    <row r="69" spans="1:56">
      <c r="A69" s="258"/>
      <c r="B69" s="260" t="s">
        <v>139</v>
      </c>
      <c r="C69" s="260" t="s">
        <v>154</v>
      </c>
      <c r="D69" s="258"/>
      <c r="E69" s="258"/>
      <c r="F69" s="258"/>
      <c r="G69" s="258"/>
      <c r="H69" s="258"/>
      <c r="I69" s="258"/>
      <c r="J69" s="258"/>
      <c r="K69" s="258"/>
      <c r="L69" s="258"/>
      <c r="M69" s="258"/>
    </row>
    <row r="70" spans="1:56">
      <c r="A70" s="243" t="s">
        <v>64</v>
      </c>
      <c r="B70" s="256">
        <v>0.16650000000000001</v>
      </c>
      <c r="C70" s="257">
        <f>B70*Module!$B$3</f>
        <v>39.793500000000002</v>
      </c>
      <c r="D70" s="258"/>
      <c r="E70" s="258"/>
      <c r="F70" s="256">
        <v>0.16700000000000001</v>
      </c>
      <c r="G70" s="256">
        <v>0.16650000000000001</v>
      </c>
      <c r="H70" s="257">
        <f>G70*Module!$F$3</f>
        <v>39.793500000000002</v>
      </c>
      <c r="I70" s="258"/>
      <c r="J70" s="219"/>
      <c r="K70" s="249" t="s">
        <v>204</v>
      </c>
      <c r="L70" s="220"/>
      <c r="M70" s="235">
        <v>6</v>
      </c>
    </row>
    <row r="71" spans="1:56">
      <c r="A71" s="243" t="s">
        <v>62</v>
      </c>
      <c r="B71" s="256">
        <v>0.249</v>
      </c>
      <c r="C71" s="257">
        <f>B71*Module!$B$4</f>
        <v>21.414000000000001</v>
      </c>
      <c r="D71" s="258"/>
      <c r="E71" s="258"/>
      <c r="F71" s="256">
        <v>0.249</v>
      </c>
      <c r="G71" s="256">
        <v>0.249</v>
      </c>
      <c r="H71" s="257">
        <f>G71*Module!$F$4</f>
        <v>21.414000000000001</v>
      </c>
      <c r="I71" s="258"/>
      <c r="J71" s="219"/>
      <c r="K71" s="219"/>
      <c r="L71" s="219"/>
      <c r="M71" s="247"/>
    </row>
    <row r="72" spans="1:56">
      <c r="A72" s="243" t="s">
        <v>60</v>
      </c>
      <c r="B72" s="256">
        <v>0.14549999999999999</v>
      </c>
      <c r="C72" s="257">
        <f>B72*Module!$B$5</f>
        <v>0</v>
      </c>
      <c r="D72" s="258"/>
      <c r="E72" s="258"/>
      <c r="F72" s="256">
        <v>0.14499999999999999</v>
      </c>
      <c r="G72" s="256">
        <v>0.14549999999999999</v>
      </c>
      <c r="H72" s="257">
        <f>G72*Module!$F$5</f>
        <v>0</v>
      </c>
      <c r="I72" s="258"/>
      <c r="J72" s="219"/>
      <c r="K72" s="249" t="s">
        <v>208</v>
      </c>
      <c r="L72" s="235" t="s">
        <v>482</v>
      </c>
      <c r="M72" s="245">
        <v>6</v>
      </c>
    </row>
    <row r="73" spans="1:56">
      <c r="A73" s="243" t="s">
        <v>58</v>
      </c>
      <c r="B73" s="256">
        <v>8.4699999999999998E-2</v>
      </c>
      <c r="C73" s="257">
        <f>B73*Module!$B$6</f>
        <v>5.2514000000000003</v>
      </c>
      <c r="D73" s="258"/>
      <c r="E73" s="258"/>
      <c r="F73" s="256">
        <v>8.6999999999999994E-2</v>
      </c>
      <c r="G73" s="256">
        <v>8.4699999999999998E-2</v>
      </c>
      <c r="H73" s="257">
        <f>G73*Module!$F$6</f>
        <v>5.5054999999999996</v>
      </c>
      <c r="I73" s="258"/>
      <c r="J73" s="219"/>
      <c r="K73" s="235"/>
      <c r="L73" s="235" t="s">
        <v>206</v>
      </c>
      <c r="M73" s="235">
        <v>0</v>
      </c>
    </row>
    <row r="74" spans="1:56">
      <c r="A74" s="243" t="s">
        <v>56</v>
      </c>
      <c r="B74" s="256">
        <v>0.1245</v>
      </c>
      <c r="C74" s="257">
        <f>B74*Module!$B$7</f>
        <v>20.791499999999999</v>
      </c>
      <c r="D74" s="258"/>
      <c r="E74" s="258"/>
      <c r="F74" s="256">
        <v>0.125</v>
      </c>
      <c r="G74" s="256">
        <v>0.1245</v>
      </c>
      <c r="H74" s="257">
        <f>G74*Module!$F$7</f>
        <v>21.164999999999999</v>
      </c>
      <c r="I74" s="258"/>
      <c r="J74" s="219"/>
      <c r="K74" s="247"/>
      <c r="L74" s="247"/>
      <c r="M74" s="247"/>
    </row>
    <row r="75" spans="1:56">
      <c r="A75" s="243" t="s">
        <v>54</v>
      </c>
      <c r="B75" s="256">
        <v>0.14399999999999999</v>
      </c>
      <c r="C75" s="257">
        <f>B75*Module!$B$8</f>
        <v>0</v>
      </c>
      <c r="D75" s="258"/>
      <c r="E75" s="258"/>
      <c r="F75" s="256">
        <v>0.14499999999999999</v>
      </c>
      <c r="G75" s="256">
        <v>0.14399999999999999</v>
      </c>
      <c r="H75" s="257">
        <f>G75*Module!$F$8</f>
        <v>0</v>
      </c>
      <c r="I75" s="258"/>
      <c r="J75" s="219"/>
      <c r="K75" s="249" t="s">
        <v>205</v>
      </c>
      <c r="L75" s="235" t="s">
        <v>482</v>
      </c>
      <c r="M75" s="245">
        <v>2</v>
      </c>
    </row>
    <row r="76" spans="1:56">
      <c r="A76" s="243" t="s">
        <v>53</v>
      </c>
      <c r="B76" s="256">
        <v>8.2900000000000001E-2</v>
      </c>
      <c r="C76" s="257">
        <f>B76*Module!$B$9</f>
        <v>7.2952000000000004</v>
      </c>
      <c r="D76" s="258"/>
      <c r="E76" s="258"/>
      <c r="F76" s="256">
        <v>8.2900000000000001E-2</v>
      </c>
      <c r="G76" s="256">
        <v>8.2900000000000001E-2</v>
      </c>
      <c r="H76" s="257">
        <f>G76*Module!$F$9</f>
        <v>7.3449399999999994</v>
      </c>
      <c r="I76" s="258"/>
      <c r="J76" s="219"/>
      <c r="K76" s="235"/>
      <c r="L76" s="235" t="s">
        <v>206</v>
      </c>
      <c r="M76" s="235">
        <v>0</v>
      </c>
    </row>
    <row r="77" spans="1:56">
      <c r="A77" s="243" t="s">
        <v>50</v>
      </c>
      <c r="B77" s="256">
        <v>8.3500000000000005E-2</v>
      </c>
      <c r="C77" s="257">
        <f>B77*Module!$B$10</f>
        <v>20.708000000000002</v>
      </c>
      <c r="D77" s="243" t="s">
        <v>69</v>
      </c>
      <c r="E77" s="258"/>
      <c r="F77" s="256">
        <v>8.4000000000000005E-2</v>
      </c>
      <c r="G77" s="256">
        <v>8.3500000000000005E-2</v>
      </c>
      <c r="H77" s="257">
        <f>G77*Module!$F$10</f>
        <v>0</v>
      </c>
      <c r="I77" s="243" t="s">
        <v>69</v>
      </c>
      <c r="J77" s="219"/>
      <c r="K77" s="247"/>
      <c r="L77" s="247"/>
      <c r="M77" s="247"/>
    </row>
    <row r="78" spans="1:56">
      <c r="A78" s="275" t="s">
        <v>49</v>
      </c>
      <c r="B78" s="276">
        <v>-8.2699999999999996E-2</v>
      </c>
      <c r="C78" s="277">
        <f>B78*Module!$B$12</f>
        <v>-5.9543999999999997</v>
      </c>
      <c r="D78" s="278">
        <f>SUM(C70:C78)</f>
        <v>109.29919999999998</v>
      </c>
      <c r="E78" s="258"/>
      <c r="F78" s="276">
        <v>-8.2699999999999996E-2</v>
      </c>
      <c r="G78" s="276">
        <v>-8.2699999999999996E-2</v>
      </c>
      <c r="H78" s="277">
        <f>G78*Module!$F$12</f>
        <v>-5.9543999999999997</v>
      </c>
      <c r="I78" s="278">
        <f>SUM(H70:H78)</f>
        <v>89.268540000000002</v>
      </c>
      <c r="J78" s="219"/>
      <c r="K78" s="249" t="s">
        <v>308</v>
      </c>
      <c r="L78" s="220"/>
      <c r="M78" s="235">
        <v>-1</v>
      </c>
    </row>
    <row r="79" spans="1:56">
      <c r="A79" s="279"/>
      <c r="B79" s="280"/>
      <c r="C79" s="281"/>
      <c r="D79" s="282"/>
      <c r="E79" s="283"/>
      <c r="F79" s="280"/>
      <c r="G79" s="280"/>
      <c r="H79" s="281"/>
      <c r="I79" s="282"/>
      <c r="J79" s="219"/>
      <c r="K79" s="219"/>
      <c r="L79" s="219"/>
      <c r="M79" s="247"/>
    </row>
    <row r="80" spans="1:56">
      <c r="A80" s="40"/>
      <c r="B80" s="40"/>
      <c r="C80" s="40"/>
      <c r="D80" s="40"/>
      <c r="E80" s="40"/>
      <c r="F80" s="40"/>
      <c r="G80" s="40"/>
      <c r="H80" s="40"/>
      <c r="I80" s="40"/>
      <c r="J80" s="40"/>
      <c r="K80" s="40"/>
      <c r="L80" s="40"/>
      <c r="M80" s="40"/>
    </row>
    <row r="81" spans="1:30">
      <c r="A81" s="584" t="s">
        <v>153</v>
      </c>
      <c r="B81" s="584"/>
      <c r="C81" s="584"/>
      <c r="D81" s="584"/>
      <c r="E81" s="584"/>
      <c r="F81" s="584"/>
      <c r="G81" s="584"/>
      <c r="H81" s="584"/>
      <c r="I81" s="217"/>
      <c r="J81" s="217"/>
      <c r="K81" s="217"/>
      <c r="L81" s="217"/>
      <c r="M81" s="217"/>
    </row>
    <row r="82" spans="1:30">
      <c r="A82" s="245"/>
      <c r="B82" s="243" t="s">
        <v>132</v>
      </c>
      <c r="C82" s="243" t="s">
        <v>143</v>
      </c>
      <c r="D82" s="243" t="s">
        <v>131</v>
      </c>
      <c r="E82" s="243" t="s">
        <v>142</v>
      </c>
      <c r="F82" s="243" t="s">
        <v>141</v>
      </c>
      <c r="G82" s="243" t="s">
        <v>140</v>
      </c>
      <c r="H82" s="243" t="s">
        <v>3</v>
      </c>
      <c r="I82" s="40"/>
      <c r="J82" s="40"/>
      <c r="K82" s="40"/>
      <c r="L82" s="40"/>
      <c r="M82" s="40"/>
    </row>
    <row r="83" spans="1:30">
      <c r="A83" s="243" t="s">
        <v>139</v>
      </c>
      <c r="B83" s="256">
        <v>-1.01165457155397E-4</v>
      </c>
      <c r="C83" s="256">
        <v>7.0608061378709094E-5</v>
      </c>
      <c r="D83" s="256">
        <v>-8.6645502152733194E-5</v>
      </c>
      <c r="E83" s="256">
        <v>-1.6391545280336901E-4</v>
      </c>
      <c r="F83" s="256">
        <v>-1.26912680856842E-2</v>
      </c>
      <c r="G83" s="256">
        <v>-8.3557977071091003E-3</v>
      </c>
      <c r="H83" s="435">
        <f>SUM((B83*Module!B3),(C83*Module!B5),(D83*Module!B6),(E83*Module!B7),(F83*Module!B24),(G83*Module!B33))</f>
        <v>-0.12006564339015187</v>
      </c>
      <c r="I83" s="40"/>
      <c r="J83" s="40"/>
      <c r="K83" s="40"/>
      <c r="L83" s="40"/>
      <c r="M83" s="40"/>
    </row>
    <row r="84" spans="1:30">
      <c r="A84" s="40"/>
      <c r="B84" s="40"/>
      <c r="C84" s="40"/>
      <c r="D84" s="40"/>
      <c r="E84" s="40"/>
      <c r="F84" s="40"/>
      <c r="G84" s="40"/>
      <c r="H84" s="40"/>
      <c r="I84" s="40"/>
      <c r="J84" s="40"/>
      <c r="K84" s="40"/>
      <c r="L84" s="40"/>
      <c r="M84" s="40"/>
    </row>
    <row r="85" spans="1:30">
      <c r="A85" s="53"/>
      <c r="B85" s="40"/>
      <c r="C85" s="40"/>
      <c r="D85" s="40"/>
      <c r="E85" s="40"/>
      <c r="F85" s="40"/>
      <c r="G85" s="40"/>
      <c r="H85" s="40"/>
      <c r="I85" s="40"/>
      <c r="J85" s="40"/>
      <c r="K85" s="40"/>
      <c r="L85" s="40"/>
      <c r="M85" s="40"/>
    </row>
    <row r="86" spans="1:30">
      <c r="A86" s="575" t="s">
        <v>328</v>
      </c>
      <c r="B86" s="575"/>
      <c r="C86" s="575"/>
      <c r="D86" s="575"/>
      <c r="E86" s="575"/>
      <c r="F86" s="575"/>
      <c r="G86" s="575" t="s">
        <v>329</v>
      </c>
      <c r="H86" s="575"/>
      <c r="I86" s="575"/>
      <c r="J86" s="575"/>
      <c r="K86" s="575"/>
      <c r="L86" s="575"/>
      <c r="M86" s="217"/>
    </row>
    <row r="87" spans="1:30">
      <c r="A87" s="245"/>
      <c r="B87" s="245"/>
      <c r="C87" s="245"/>
      <c r="D87" s="245"/>
      <c r="E87" s="245"/>
      <c r="F87" s="245"/>
      <c r="G87" s="245"/>
      <c r="H87" s="245"/>
      <c r="I87" s="245"/>
      <c r="J87" s="245"/>
      <c r="K87" s="245"/>
      <c r="L87" s="245"/>
      <c r="M87" s="40"/>
    </row>
    <row r="88" spans="1:30">
      <c r="A88" s="574" t="s">
        <v>59</v>
      </c>
      <c r="B88" s="261">
        <f>ROUNDDOWN(VLOOKUP(Module!H2,INFO!$A$3:$H$871,8,0)/(Module!C53+1),0)</f>
        <v>19</v>
      </c>
      <c r="C88" s="261">
        <f>IF(Module!C53&gt;=1,ROUNDDOWN(VLOOKUP(Module!H2,INFO!$A$3:$H$871,8,0)/(Module!C53+1),0),"-")</f>
        <v>19</v>
      </c>
      <c r="D88" s="261">
        <f>IF(Module!C53&gt;=2,ROUNDDOWN(VLOOKUP(Module!H2,INFO!$A$3:$H$871,8,0)/(Module!C53+1),0),"-")</f>
        <v>19</v>
      </c>
      <c r="E88" s="261" t="str">
        <f>IF(Module!C53&gt;=3,ROUNDDOWN(VLOOKUP(Module!H2,INFO!$A$3:$H$871,8,0)/(Module!C53+1),0),"-")</f>
        <v>-</v>
      </c>
      <c r="F88" s="261" t="str">
        <f>IF(Module!C53&gt;=4,ROUNDDOWN(VLOOKUP(Module!H2,INFO!$A$3:$H$871,8,0)/(Module!C53+1),0),"-")</f>
        <v>-</v>
      </c>
      <c r="G88" s="574" t="s">
        <v>59</v>
      </c>
      <c r="H88" s="261">
        <f>ROUNDDOWN(VLOOKUP(Module!H2,INFO!$A$3:$H$871,8,0)/(Module!C63+1),0)</f>
        <v>19</v>
      </c>
      <c r="I88" s="261">
        <f>IF(Module!C53&gt;=1,ROUNDDOWN(VLOOKUP(Module!H2,INFO!$A$3:$H$871,8,0)/(Module!C63+1),0),"-")</f>
        <v>19</v>
      </c>
      <c r="J88" s="261">
        <f>IF(Module!C53&gt;=2,ROUNDDOWN(VLOOKUP(Module!H2,INFO!$A$3:$H$871,8,0)/(Module!C63+1),0),"-")</f>
        <v>19</v>
      </c>
      <c r="K88" s="261" t="str">
        <f>IF(Module!C53&gt;=3,ROUNDDOWN(VLOOKUP(Module!H2,INFO!$A$3:$H$871,8,0)/(Module!C63+1),0),"-")</f>
        <v>-</v>
      </c>
      <c r="L88" s="261" t="str">
        <f>IF(Module!C53&gt;=4,ROUNDDOWN(VLOOKUP(Module!H2,INFO!$A$3:$H$871,8,0)/(Module!C63+1),0),"-")</f>
        <v>-</v>
      </c>
      <c r="M88" s="40"/>
    </row>
    <row r="89" spans="1:30">
      <c r="A89" s="574"/>
      <c r="B89" s="261">
        <f>IF(VLOOKUP(Module!H2,INFO!$A$3:$H$871,8,0)-SUM(B88:F88)&gt;0,1,0)</f>
        <v>0</v>
      </c>
      <c r="C89" s="261">
        <f>IF(VLOOKUP(Module!H2,INFO!$A$3:$H$871,8,0)-SUM(B88:F88)&gt;1,1,0)</f>
        <v>0</v>
      </c>
      <c r="D89" s="261">
        <f>IF(VLOOKUP(Module!H2,INFO!$A$3:$H$871,8,0)-SUM(B88:F88)&gt;2,1,0)</f>
        <v>0</v>
      </c>
      <c r="E89" s="261">
        <f>IF(VLOOKUP(Module!H2,INFO!$A$3:$H$871,8,0)-SUM(B88:F88)&gt;3,1,0)</f>
        <v>0</v>
      </c>
      <c r="F89" s="261">
        <f>IF(VLOOKUP(Module!H2,INFO!$A$3:$H$871,8,0)-SUM(B88:F88)&gt;4,1,0)</f>
        <v>0</v>
      </c>
      <c r="G89" s="574"/>
      <c r="H89" s="261">
        <f>IF(VLOOKUP(Module!H2,INFO!$A$3:$H$871,8,0)-SUM(H88:L88)&gt;0,1,0)</f>
        <v>0</v>
      </c>
      <c r="I89" s="261">
        <f>IF(VLOOKUP(Module!H2,INFO!$A$3:$H$871,8,0)-SUM(H88:L88)&gt;1,1,0)</f>
        <v>0</v>
      </c>
      <c r="J89" s="261">
        <f>IF(VLOOKUP(Module!H2,INFO!$A$3:$H$871,8,0)-SUM(H88:L88)&gt;2,1,0)</f>
        <v>0</v>
      </c>
      <c r="K89" s="261">
        <f>IF(VLOOKUP(Module!H2,INFO!$A$3:$H$871,8,0)-SUM(H88:L88)&gt;3,1,0)</f>
        <v>0</v>
      </c>
      <c r="L89" s="261">
        <f>IF(VLOOKUP(Module!H2,INFO!$A$3:$H$871,8,0)-SUM(H88:L88)&gt;4,1,0)</f>
        <v>0</v>
      </c>
      <c r="M89" s="40"/>
    </row>
    <row r="90" spans="1:30">
      <c r="A90" s="219"/>
      <c r="B90" s="219"/>
      <c r="C90" s="219"/>
      <c r="D90" s="219"/>
      <c r="E90" s="219"/>
      <c r="F90" s="219"/>
      <c r="G90" s="219"/>
      <c r="H90" s="219"/>
      <c r="I90" s="219"/>
      <c r="J90" s="219"/>
      <c r="K90" s="219"/>
      <c r="L90" s="219"/>
    </row>
    <row r="91" spans="1:30">
      <c r="A91" s="219"/>
      <c r="B91" s="219"/>
      <c r="C91" s="219"/>
      <c r="D91" s="219"/>
      <c r="E91" s="219"/>
      <c r="F91" s="219"/>
      <c r="G91" s="219"/>
      <c r="H91" s="219"/>
      <c r="I91" s="219"/>
      <c r="J91" s="219"/>
      <c r="K91" s="247"/>
      <c r="L91" s="247"/>
      <c r="M91" s="48"/>
      <c r="N91" s="48"/>
      <c r="O91" s="48"/>
      <c r="P91" s="48"/>
      <c r="Q91" s="48"/>
      <c r="R91" s="48"/>
      <c r="S91" s="48"/>
      <c r="AC91" s="39"/>
      <c r="AD91" s="39"/>
    </row>
    <row r="92" spans="1:30" ht="15" customHeight="1">
      <c r="A92" s="575" t="s">
        <v>330</v>
      </c>
      <c r="B92" s="575"/>
      <c r="C92" s="575"/>
      <c r="D92" s="575"/>
      <c r="E92" s="575"/>
      <c r="F92" s="575"/>
      <c r="G92" s="575" t="s">
        <v>332</v>
      </c>
      <c r="H92" s="575"/>
      <c r="I92" s="575"/>
      <c r="J92" s="575"/>
      <c r="K92" s="575"/>
      <c r="L92" s="575"/>
      <c r="M92" s="48"/>
      <c r="AC92" s="39"/>
      <c r="AD92" s="39"/>
    </row>
    <row r="93" spans="1:30" ht="15" customHeight="1">
      <c r="A93" s="245"/>
      <c r="B93" s="245"/>
      <c r="C93" s="245"/>
      <c r="D93" s="245"/>
      <c r="E93" s="245"/>
      <c r="F93" s="245"/>
      <c r="G93" s="245"/>
      <c r="H93" s="245"/>
      <c r="I93" s="245"/>
      <c r="J93" s="245"/>
      <c r="K93" s="245"/>
      <c r="L93" s="245"/>
      <c r="M93" s="48"/>
      <c r="AC93" s="39"/>
      <c r="AD93" s="39"/>
    </row>
    <row r="94" spans="1:30">
      <c r="A94" s="574" t="s">
        <v>59</v>
      </c>
      <c r="B94" s="261">
        <f>ROUNDDOWN(VLOOKUP(Module!H2,INFO!$A$3:$H$871,8,0)/('Help Me'!J67+1),0)</f>
        <v>14</v>
      </c>
      <c r="C94" s="261">
        <f>IF('Help Me'!J67&gt;=1,ROUNDDOWN(VLOOKUP(Module!H2,INFO!$A$3:$H$871,8,0)/('Help Me'!J67+1),0),"-")</f>
        <v>14</v>
      </c>
      <c r="D94" s="261">
        <f>IF('Help Me'!J67&gt;=2,ROUNDDOWN(VLOOKUP(Module!H2,INFO!$A$3:$H$871,8,0)/('Help Me'!J67+1),0),"-")</f>
        <v>14</v>
      </c>
      <c r="E94" s="261">
        <f>IF('Help Me'!J67&gt;=3,ROUNDDOWN(VLOOKUP(Module!H2,INFO!$A$3:$H$871,8,0)/('Help Me'!J67+1),0),"-")</f>
        <v>14</v>
      </c>
      <c r="F94" s="261" t="str">
        <f>IF('Help Me'!J67&gt;=4,ROUNDDOWN(VLOOKUP(Module!H2,INFO!$A$3:$H$871,8,0)/('Help Me'!J67+1),0),"-")</f>
        <v>-</v>
      </c>
      <c r="G94" s="574" t="s">
        <v>59</v>
      </c>
      <c r="H94" s="261">
        <f>ROUNDDOWN(VLOOKUP(Module!H2,INFO!$A$3:$H$871,8,0)/('Help Me'!J83+1),0)</f>
        <v>28</v>
      </c>
      <c r="I94" s="261">
        <f>IF('Help Me'!J83&gt;=1,ROUNDDOWN(VLOOKUP(Module!H2,INFO!$A$3:$H$871,8,0)/('Help Me'!J83+1),0),"-")</f>
        <v>28</v>
      </c>
      <c r="J94" s="261" t="str">
        <f>IF('Help Me'!J83&gt;=2,ROUNDDOWN(VLOOKUP(Module!H2,INFO!$A$3:$H$871,8,0)/('Help Me'!J83+1),0),"-")</f>
        <v>-</v>
      </c>
      <c r="K94" s="261" t="str">
        <f>IF('Help Me'!J83&gt;=3,ROUNDDOWN(VLOOKUP(Module!H2,INFO!$A$3:$H$871,8,0)/('Help Me'!J83+1),0),"-")</f>
        <v>-</v>
      </c>
      <c r="L94" s="261" t="str">
        <f>IF('Help Me'!J83&gt;=4,ROUNDDOWN(VLOOKUP(Module!H2,INFO!$A$3:$H$871,8,0)/('Help Me'!J83+1),0),"-")</f>
        <v>-</v>
      </c>
      <c r="M94" s="48"/>
      <c r="AC94" s="39"/>
      <c r="AD94" s="39"/>
    </row>
    <row r="95" spans="1:30">
      <c r="A95" s="574"/>
      <c r="B95" s="261">
        <f>IF(VLOOKUP(Module!H2,INFO!$A$3:$H$871,8,0)-SUM(B94:F94)&gt;0,1,0)</f>
        <v>1</v>
      </c>
      <c r="C95" s="261">
        <f>IF(VLOOKUP(Module!H2,INFO!$A$3:$H$871,8,0)-SUM(B94:F94)&gt;1,1,0)</f>
        <v>0</v>
      </c>
      <c r="D95" s="261">
        <f>IF(VLOOKUP(Module!H2,INFO!$A$3:$H$871,8,0)-SUM(B94:F94)&gt;2,1,0)</f>
        <v>0</v>
      </c>
      <c r="E95" s="261">
        <f>IF(VLOOKUP(Module!H2,INFO!$A$3:$H$871,8,0)-SUM(B94:F94)&gt;3,1,0)</f>
        <v>0</v>
      </c>
      <c r="F95" s="261">
        <f>IF(VLOOKUP(Module!H2,INFO!$A$3:$H$871,8,0)-SUM(B94:F94)&gt;4,1,0)</f>
        <v>0</v>
      </c>
      <c r="G95" s="574"/>
      <c r="H95" s="261">
        <f>IF(VLOOKUP(Module!H2,INFO!$A$3:$H$871,8,0)-SUM(H94:L94)&gt;0,1,0)</f>
        <v>1</v>
      </c>
      <c r="I95" s="261">
        <f>IF(VLOOKUP(Module!H2,INFO!$A$3:$H$871,8,0)-SUM(H94:L94)&gt;1,1,0)</f>
        <v>0</v>
      </c>
      <c r="J95" s="261">
        <f>IF(VLOOKUP(Module!H2,INFO!$A$3:$H$871,8,0)-SUM(H94:L94)&gt;2,1,0)</f>
        <v>0</v>
      </c>
      <c r="K95" s="261">
        <f>IF(VLOOKUP(Module!H2,INFO!$A$3:$H$871,8,0)-SUM(H94:L94)&gt;3,1,0)</f>
        <v>0</v>
      </c>
      <c r="L95" s="261">
        <f>IF(VLOOKUP(Module!H2,INFO!$A$3:$H$871,8,0)-SUM(H94:L94)&gt;4,1,0)</f>
        <v>0</v>
      </c>
      <c r="M95" s="48"/>
      <c r="AC95" s="39"/>
      <c r="AD95" s="39"/>
    </row>
    <row r="96" spans="1:30">
      <c r="A96" s="219"/>
      <c r="B96" s="219"/>
      <c r="C96" s="219"/>
      <c r="D96" s="219"/>
      <c r="E96" s="219"/>
      <c r="F96" s="219"/>
      <c r="G96" s="219"/>
      <c r="H96" s="219"/>
      <c r="I96" s="219"/>
      <c r="J96" s="219"/>
      <c r="K96" s="219"/>
      <c r="L96" s="219"/>
      <c r="AC96" s="39"/>
      <c r="AD96" s="39"/>
    </row>
    <row r="97" spans="1:74">
      <c r="A97" s="573" t="s">
        <v>331</v>
      </c>
      <c r="B97" s="573"/>
      <c r="C97" s="573"/>
      <c r="D97" s="573"/>
      <c r="E97" s="573"/>
      <c r="F97" s="573"/>
      <c r="G97" s="573" t="s">
        <v>333</v>
      </c>
      <c r="H97" s="573"/>
      <c r="I97" s="573"/>
      <c r="J97" s="573"/>
      <c r="K97" s="573"/>
      <c r="L97" s="573"/>
      <c r="AC97" s="39"/>
      <c r="AD97" s="39"/>
    </row>
    <row r="98" spans="1:74">
      <c r="A98" s="245"/>
      <c r="B98" s="245"/>
      <c r="C98" s="245"/>
      <c r="D98" s="245"/>
      <c r="E98" s="245"/>
      <c r="F98" s="245"/>
      <c r="G98" s="245"/>
      <c r="H98" s="245"/>
      <c r="I98" s="245"/>
      <c r="J98" s="245"/>
      <c r="K98" s="245"/>
      <c r="L98" s="245"/>
      <c r="AC98" s="39"/>
      <c r="AD98" s="39"/>
    </row>
    <row r="99" spans="1:74">
      <c r="A99" s="574" t="s">
        <v>59</v>
      </c>
      <c r="B99" s="261">
        <f>ROUNDDOWN(VLOOKUP(Module!H2,INFO!$A$3:$H$871,8,0)/('Help Me'!J75+1),0)</f>
        <v>19</v>
      </c>
      <c r="C99" s="261">
        <f>IF('Help Me'!J75&gt;=1,ROUNDDOWN(VLOOKUP(Module!H2,INFO!$A$3:$H$871,8,0)/('Help Me'!J75+1),0),"-")</f>
        <v>19</v>
      </c>
      <c r="D99" s="261">
        <f>IF('Help Me'!J75&gt;=2,ROUNDDOWN(VLOOKUP(Module!H2,INFO!$A$3:$H$871,8,0)/('Help Me'!J75+1),0),"-")</f>
        <v>19</v>
      </c>
      <c r="E99" s="261" t="str">
        <f>IF('Help Me'!J75&gt;=3,ROUNDDOWN(VLOOKUP(Module!H2,INFO!$A$3:$H$871,8,0)/('Help Me'!J75+1),0),"-")</f>
        <v>-</v>
      </c>
      <c r="F99" s="261" t="str">
        <f>IF('Help Me'!J75&gt;=4,ROUNDDOWN(VLOOKUP(Module!H2,INFO!$A$3:$H$871,8,0)/('Help Me'!J75+1),0),"-")</f>
        <v>-</v>
      </c>
      <c r="G99" s="574" t="s">
        <v>59</v>
      </c>
      <c r="H99" s="261">
        <f>ROUNDDOWN(VLOOKUP(Module!H2,INFO!$A$3:$H$871,8,0)/('Help Me'!J91+1),0)</f>
        <v>28</v>
      </c>
      <c r="I99" s="261">
        <f>IF('Help Me'!J91&gt;=1,ROUNDDOWN(VLOOKUP(Module!H2,INFO!$A$3:$H$871,8,0)/('Help Me'!J91+1),0),"-")</f>
        <v>28</v>
      </c>
      <c r="J99" s="261" t="str">
        <f>IF('Help Me'!J91&gt;=2,ROUNDDOWN(VLOOKUP(Module!H2,INFO!$A$3:$H$871,8,0)/('Help Me'!J91+1),0),"-")</f>
        <v>-</v>
      </c>
      <c r="K99" s="261" t="str">
        <f>IF('Help Me'!J91&gt;=3,ROUNDDOWN(VLOOKUP(Module!H2,INFO!$A$3:$H$871,8,0)/('Help Me'!J91+1),0),"-")</f>
        <v>-</v>
      </c>
      <c r="L99" s="261" t="str">
        <f>IF('Help Me'!J91&gt;=4,ROUNDDOWN(VLOOKUP(Module!H2,INFO!$A$3:$H$871,8,0)/('Help Me'!J91+1),0),"-")</f>
        <v>-</v>
      </c>
      <c r="AC99" s="39"/>
      <c r="AD99" s="39"/>
    </row>
    <row r="100" spans="1:74">
      <c r="A100" s="574"/>
      <c r="B100" s="261">
        <f>IF(VLOOKUP(Module!H2,INFO!$A$3:$H$871,8,0)-SUM(B99:F99)&gt;0,1,0)</f>
        <v>0</v>
      </c>
      <c r="C100" s="261">
        <f>IF(VLOOKUP(Module!H2,INFO!$A$3:$H$871,8,0)-SUM(B99:F99)&gt;1,1,0)</f>
        <v>0</v>
      </c>
      <c r="D100" s="261">
        <f>IF(VLOOKUP(Module!H2,INFO!$A$3:$H$871,8,0)-SUM(B99:F99)&gt;2,1,0)</f>
        <v>0</v>
      </c>
      <c r="E100" s="261">
        <f>IF(VLOOKUP(Module!H2,INFO!$A$3:$H$871,8,0)-SUM(B99:F99)&gt;3,1,0)</f>
        <v>0</v>
      </c>
      <c r="F100" s="261">
        <f>IF(VLOOKUP(Module!H2,INFO!$A$3:$H$871,8,0)-SUM(B99:F99)&gt;4,1,0)</f>
        <v>0</v>
      </c>
      <c r="G100" s="574"/>
      <c r="H100" s="261">
        <f>IF(VLOOKUP(Module!H2,INFO!$A$3:$H$871,8,0)-SUM(H99:L99)&gt;0,1,0)</f>
        <v>1</v>
      </c>
      <c r="I100" s="261">
        <f>IF(VLOOKUP(Module!H2,INFO!$A$3:$H$871,8,0)-SUM(H99:L99)&gt;1,1,0)</f>
        <v>0</v>
      </c>
      <c r="J100" s="261">
        <f>IF(VLOOKUP(Module!H2,INFO!$A$3:$H$871,8,0)-SUM(H99:L99)&gt;2,1,0)</f>
        <v>0</v>
      </c>
      <c r="K100" s="261">
        <f>IF(VLOOKUP(Module!H2,INFO!$A$3:$H$871,8,0)-SUM(H99:L99)&gt;3,1,0)</f>
        <v>0</v>
      </c>
      <c r="L100" s="261">
        <f>IF(VLOOKUP(Module!H2,INFO!$A$3:$H$871,8,0)-SUM(H99:L99)&gt;4,1,0)</f>
        <v>0</v>
      </c>
      <c r="AC100" s="39"/>
      <c r="AD100" s="39"/>
    </row>
    <row r="101" spans="1:74">
      <c r="A101" s="262"/>
      <c r="B101" s="262"/>
      <c r="C101" s="262"/>
      <c r="D101" s="262"/>
      <c r="E101" s="262"/>
      <c r="F101" s="262"/>
      <c r="G101" s="262"/>
      <c r="H101" s="262"/>
      <c r="I101" s="262"/>
      <c r="J101" s="262"/>
      <c r="K101" s="262"/>
      <c r="L101" s="262"/>
      <c r="M101" s="262"/>
      <c r="AC101" s="39"/>
      <c r="AD101" s="39"/>
    </row>
    <row r="102" spans="1:74" ht="15" customHeight="1">
      <c r="A102" s="262"/>
      <c r="B102" s="576" t="s">
        <v>325</v>
      </c>
      <c r="C102" s="577"/>
      <c r="D102" s="577"/>
      <c r="E102" s="577"/>
      <c r="F102" s="577"/>
      <c r="G102" s="577"/>
      <c r="H102" s="577"/>
      <c r="I102" s="578"/>
      <c r="J102" s="262"/>
      <c r="K102" s="262"/>
      <c r="L102" s="262"/>
      <c r="M102" s="262"/>
      <c r="AC102" s="39"/>
      <c r="AD102" s="39"/>
    </row>
    <row r="103" spans="1:74">
      <c r="A103" s="219"/>
      <c r="B103" s="228" t="s">
        <v>44</v>
      </c>
      <c r="C103" s="228" t="s">
        <v>32</v>
      </c>
      <c r="D103" s="228" t="s">
        <v>25</v>
      </c>
      <c r="E103" s="229" t="s">
        <v>321</v>
      </c>
      <c r="F103" s="229" t="s">
        <v>320</v>
      </c>
      <c r="G103" s="225">
        <v>211</v>
      </c>
      <c r="H103" s="225">
        <v>-4.87</v>
      </c>
      <c r="I103" s="225">
        <v>4.5</v>
      </c>
      <c r="AC103" s="39"/>
      <c r="AD103" s="39"/>
    </row>
    <row r="104" spans="1:74">
      <c r="A104" s="249" t="s">
        <v>316</v>
      </c>
      <c r="B104" s="221">
        <f>Module!Q3</f>
        <v>225</v>
      </c>
      <c r="C104" s="222"/>
      <c r="D104" s="222"/>
      <c r="E104" s="223" t="str">
        <f>Module!J10</f>
        <v>Sec</v>
      </c>
      <c r="F104" s="224">
        <f>Module!I10</f>
        <v>23</v>
      </c>
      <c r="G104" s="225">
        <v>-242</v>
      </c>
      <c r="H104" s="225">
        <v>4.7300000000000004</v>
      </c>
      <c r="I104" s="225">
        <v>-3.75</v>
      </c>
      <c r="AC104" s="39"/>
      <c r="AD104" s="39"/>
    </row>
    <row r="105" spans="1:74">
      <c r="A105" s="249" t="s">
        <v>317</v>
      </c>
      <c r="B105" s="221">
        <f>Module!Q4</f>
        <v>375</v>
      </c>
      <c r="C105" s="222"/>
      <c r="D105" s="222"/>
      <c r="E105" s="223" t="str">
        <f>Module!J11</f>
        <v>Sec</v>
      </c>
      <c r="F105" s="224">
        <f>Module!I11</f>
        <v>19</v>
      </c>
      <c r="G105" s="225">
        <v>99.5</v>
      </c>
      <c r="H105" s="225">
        <v>-2</v>
      </c>
      <c r="I105" s="225">
        <v>5.9</v>
      </c>
      <c r="AC105" s="39"/>
      <c r="AD105" s="39"/>
    </row>
    <row r="106" spans="1:74">
      <c r="A106" s="249" t="s">
        <v>15</v>
      </c>
      <c r="B106" s="221">
        <f>Module!Q5</f>
        <v>472</v>
      </c>
      <c r="C106" s="221">
        <f>B106+ROUNDUP(IF(AND($E$104="pluie",$E$105="pluie"),($F$105-$F$104)*(INFO!$I104+INFO!$H104),IF(AND($E$104="pluie",$E$105="sec"),-(INFO!$G104+(INFO!$H104*$F$104)-($F$105-$F$104)*(INFO!$I104)),IF(AND($E$104="sec",$E$105="pluie"),(INFO!$G104+(INFO!$H104*$F$104)+($F$105-$F$104)*(INFO!$I104+INFO!$H104)),($F$105-$F$104)*INFO!$I104))),0)</f>
        <v>487</v>
      </c>
      <c r="D106" s="221">
        <f>B106+ROUNDUP(IF(AND($E$104="pluie",$E$106="pluie"),($F$106-$F$104)*(INFO!$I104+INFO!$H104),IF(AND($E$104="pluie",$E$106="sec"),-(INFO!$G104+(INFO!$H104*$F$104)-($F$106-$F$104)*(INFO!$I104)),IF(AND($E$104="sec",$E$106="pluie"),(INFO!$G104+(INFO!$H104*$F$104)+($F$106-$F$104)*(INFO!$I104+INFO!$H104)),($F$106-$F$104)*INFO!$I104))),0)</f>
        <v>495</v>
      </c>
      <c r="E106" s="223" t="str">
        <f>Module!J12</f>
        <v>Sec</v>
      </c>
      <c r="F106" s="224">
        <f>Module!I12</f>
        <v>17</v>
      </c>
      <c r="G106" s="225">
        <v>-9.6999999999999993</v>
      </c>
      <c r="H106" s="225">
        <v>-4.25</v>
      </c>
      <c r="I106" s="225">
        <v>-4.2</v>
      </c>
      <c r="AC106" s="39"/>
      <c r="AD106" s="39"/>
    </row>
    <row r="107" spans="1:74">
      <c r="A107" s="249" t="s">
        <v>14</v>
      </c>
      <c r="B107" s="221">
        <f>Module!Q6</f>
        <v>773</v>
      </c>
      <c r="C107" s="221">
        <f>B107+ROUNDUP(IF(AND($E$104="pluie",$E$105="pluie"),($F$105-$F$104)*(INFO!$I105+INFO!$H105),IF(AND($E$104="pluie",$E$105="sec"),-(INFO!$G105+(INFO!$H105*$F$104)-($F$105-$F$104)*(INFO!$I105)),IF(AND($E$104="sec",$E$105="pluie"),(INFO!$G105+(INFO!$H105*$F$104)+($F$105-$F$104)*(INFO!$I105+INFO!$H105)),($F$105-$F$104)*INFO!$I105))),0)</f>
        <v>749</v>
      </c>
      <c r="D107" s="221">
        <f>B107+ROUNDUP(IF(AND($E$104="pluie",$E$106="pluie"),($F$106-$F$104)*(INFO!$I105+INFO!$H105),IF(AND($E$104="pluie",$E$106="sec"),-(INFO!$G105+(INFO!$H105*$F$104)-($F$106-$F$104)*(INFO!$I105)),IF(AND($E$104="sec",$E$106="pluie"),(INFO!$G105+(INFO!$H105*$F$104)+($F$106-$F$104)*(INFO!$I105+INFO!$H105)),($F$106-$F$104)*INFO!$I105))),0)</f>
        <v>737</v>
      </c>
      <c r="E107" s="226"/>
      <c r="F107" s="227"/>
      <c r="G107" s="225">
        <v>-243</v>
      </c>
      <c r="H107" s="225">
        <v>4.9000000000000004</v>
      </c>
      <c r="I107" s="225">
        <v>-6</v>
      </c>
      <c r="AC107" s="39"/>
      <c r="AD107" s="39"/>
    </row>
    <row r="108" spans="1:74">
      <c r="A108" s="249" t="s">
        <v>318</v>
      </c>
      <c r="B108" s="221">
        <f>Module!Q7</f>
        <v>608</v>
      </c>
      <c r="C108" s="221">
        <f>B108+ROUNDUP(IF(AND($E$104="pluie",$E$105="pluie"),($F$105-$F$104)*(INFO!$I106+INFO!$H106),IF(AND($E$104="pluie",$E$105="sec"),-(INFO!$G106+(INFO!$H106*$F$104)-($F$105-$F$104)*(INFO!$I106)),IF(AND($E$104="sec",$E$105="pluie"),(INFO!$G106+(INFO!$H106*$F$104)+($F$105-$F$104)*(INFO!$I106+INFO!$H106)),($F$105-$F$104)*INFO!$I106))),0)</f>
        <v>625</v>
      </c>
      <c r="D108" s="221">
        <f>B108+ROUNDUP(IF(AND($E$104="pluie",$E$106="pluie"),($F$106-$F$104)*(INFO!$I106+INFO!$H106),IF(AND($E$104="pluie",$E$106="sec"),-(INFO!$G106+(INFO!$H106*$F$104)-($F$106-$F$104)*(INFO!$I106)),IF(AND($E$104="sec",$E$106="pluie"),(INFO!$G106+(INFO!$H106*$F$104)+($F$106-$F$104)*(INFO!$I106+INFO!$H106)),($F$106-$F$104)*INFO!$I106))),0)</f>
        <v>634</v>
      </c>
      <c r="E108" s="222"/>
      <c r="F108" s="222"/>
      <c r="G108" s="222"/>
      <c r="H108" s="222"/>
      <c r="I108" s="222"/>
      <c r="AC108" s="39"/>
      <c r="AD108" s="39"/>
    </row>
    <row r="109" spans="1:74">
      <c r="A109" s="249" t="s">
        <v>10</v>
      </c>
      <c r="B109" s="221">
        <f>Module!Q8</f>
        <v>304</v>
      </c>
      <c r="C109" s="221">
        <f>B109+ROUNDUP(IF(AND($E$104="pluie",$E$105="pluie"),($F$105-$F$104)*(INFO!$I107+INFO!$H107),IF(AND($E$104="pluie",$E$105="sec"),-(INFO!$G107+(INFO!$H107*$F$104)-($F$105-$F$104)*(INFO!$I107)),IF(AND($E$104="sec",$E$105="pluie"),(INFO!$G107+(INFO!$H107*$F$104)+($F$105-$F$104)*(INFO!$I107+INFO!$H107)),($F$105-$F$104)*INFO!$I107))),0)</f>
        <v>328</v>
      </c>
      <c r="D109" s="221">
        <f>B109+ROUNDUP(IF(AND($E$104="pluie",$E$106="pluie"),($F$106-$F$104)*(INFO!$I107+INFO!$H107),IF(AND($E$104="pluie",$E$106="sec"),-(INFO!$G107+(INFO!$H107*$F$104)-($F$106-$F$104)*(INFO!$I107)),IF(AND($E$104="sec",$E$106="pluie"),(INFO!$G107+(INFO!$H107*$F$104)+($F$106-$F$104)*(INFO!$I107+INFO!$H107)),($F$106-$F$104)*INFO!$I107))),0)</f>
        <v>340</v>
      </c>
      <c r="E109" s="222"/>
      <c r="F109" s="222"/>
      <c r="G109" s="222"/>
      <c r="H109" s="222"/>
      <c r="I109" s="222"/>
      <c r="AC109" s="39"/>
      <c r="AD109" s="39"/>
    </row>
    <row r="110" spans="1:74">
      <c r="A110" s="249"/>
      <c r="B110" s="222"/>
      <c r="C110" s="222"/>
      <c r="D110" s="222"/>
      <c r="E110" s="222"/>
      <c r="F110" s="222"/>
      <c r="G110" s="222"/>
      <c r="H110" s="222"/>
      <c r="I110" s="222"/>
      <c r="AC110" s="39"/>
      <c r="AD110" s="39"/>
    </row>
    <row r="111" spans="1:74">
      <c r="A111" s="249" t="s">
        <v>316</v>
      </c>
      <c r="B111" s="222"/>
      <c r="C111" s="221">
        <f>B104+ROUNDUP(IF(AND($E$104="pluie",$E$105="pluie"),($F$105-$F$104)*(INFO!$I103+INFO!$H103),IF(AND($E$104="pluie",$E$105="sec"),-(INFO!$G103+(INFO!$H103*$F$104)-($F$105-$F$104)*(INFO!$I103)),IF(AND($E$104="sec",$E$105="pluie"),(INFO!$G103+(INFO!$H103*$F$104)+($F$105-$F$104)*(INFO!$I103+INFO!$H103)),($F$105-$F$104)*INFO!$I103))),0)</f>
        <v>207</v>
      </c>
      <c r="D111" s="221">
        <f>B104+ROUNDUP(IF(AND($E$104="pluie",$E$106="pluie"),($F$106-$F$104)*(INFO!$I103+INFO!$H103),IF(AND($E$104="pluie",$E$106="sec"),-(INFO!$G103+(INFO!$H103*$F$104)-($F$106-$F$104)*(INFO!$I103)),IF(AND($E$104="sec",$E$106="pluie"),(INFO!$G103+(INFO!$H103*$F$104)+($F$106-$F$104)*(INFO!$I103+INFO!$H103)),($F$106-$F$104)*INFO!$I103))),0)</f>
        <v>198</v>
      </c>
      <c r="E111" s="222"/>
      <c r="F111" s="222"/>
      <c r="G111" s="222"/>
      <c r="H111" s="222"/>
      <c r="I111" s="222"/>
      <c r="AC111" s="39"/>
      <c r="AD111" s="39"/>
    </row>
    <row r="112" spans="1:74">
      <c r="A112" s="249" t="s">
        <v>317</v>
      </c>
      <c r="B112" s="222"/>
      <c r="C112" s="221">
        <f>B105+ROUNDUP(IF(AND($E$104="pluie",$E$105="pluie"),($F$105-$F$104)*(INFO!$I103+INFO!$H103),IF(AND($E$104="pluie",$E$105="sec"),-(INFO!$G103+(INFO!$H103*$F$104)-($F$105-$F$104)*(INFO!$I103)),IF(AND($E$104="sec",$E$105="pluie"),(INFO!$G103+(INFO!$H103*$F$104)+($F$105-$F$104)*(INFO!$I103+INFO!$H103)),($F$105-$F$104)*INFO!$I103))),0)</f>
        <v>357</v>
      </c>
      <c r="D112" s="221">
        <f>B105+ROUNDUP(IF(AND($E$104="pluie",$E$106="pluie"),($F$106-$F$104)*(INFO!$I103+INFO!$H103),IF(AND($E$104="pluie",$E$106="sec"),-(INFO!$G103+(INFO!$H103*$F$104)-($F$106-$F$104)*(INFO!$I103)),IF(AND($E$104="sec",$E$106="pluie"),(INFO!$G103+(INFO!$H103*$F$104)+($F$106-$F$104)*(INFO!$I103+INFO!$H103)),($F$106-$F$104)*INFO!$I103))),0)</f>
        <v>348</v>
      </c>
      <c r="E112" s="222"/>
      <c r="F112" s="222"/>
      <c r="G112" s="222"/>
      <c r="H112" s="222"/>
      <c r="I112" s="222"/>
      <c r="J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50"/>
      <c r="AZ112" s="50"/>
      <c r="BA112" s="50"/>
      <c r="BB112" s="50"/>
      <c r="BC112" s="50"/>
      <c r="BD112" s="50"/>
      <c r="BE112" s="50"/>
      <c r="BF112" s="50"/>
      <c r="BG112" s="50"/>
      <c r="BH112" s="50"/>
      <c r="BI112" s="50"/>
      <c r="BJ112" s="50"/>
      <c r="BK112" s="50"/>
      <c r="BL112" s="50"/>
      <c r="BM112" s="50"/>
      <c r="BN112" s="50"/>
      <c r="BO112" s="50"/>
      <c r="BP112" s="50"/>
      <c r="BQ112" s="50"/>
      <c r="BR112" s="50"/>
      <c r="BS112" s="50"/>
      <c r="BT112" s="50"/>
      <c r="BU112" s="50"/>
      <c r="BV112" s="50"/>
    </row>
    <row r="113" spans="1:74" ht="15" customHeight="1">
      <c r="A113" s="249" t="s">
        <v>319</v>
      </c>
      <c r="B113" s="255">
        <f>(B104+B105)/2</f>
        <v>300</v>
      </c>
      <c r="C113" s="255">
        <f>(C111+C112)/2</f>
        <v>282</v>
      </c>
      <c r="D113" s="255">
        <f>(D111+D112)/2</f>
        <v>273</v>
      </c>
      <c r="E113" s="222"/>
      <c r="F113" s="222"/>
      <c r="G113" s="222"/>
      <c r="H113" s="222"/>
      <c r="I113" s="222"/>
      <c r="J113" s="50"/>
      <c r="S113" s="50"/>
      <c r="T113" s="50"/>
      <c r="U113" s="50"/>
      <c r="V113" s="50"/>
      <c r="W113" s="50"/>
      <c r="X113" s="50"/>
      <c r="Y113" s="50"/>
      <c r="Z113" s="50"/>
      <c r="AA113" s="50"/>
      <c r="AB113" s="50"/>
      <c r="AC113" s="50"/>
      <c r="AD113" s="50"/>
      <c r="AE113" s="50"/>
      <c r="AF113" s="50"/>
      <c r="AG113" s="50"/>
      <c r="AH113" s="50"/>
      <c r="AI113" s="50"/>
      <c r="AJ113" s="50"/>
      <c r="AK113" s="50"/>
      <c r="AL113" s="50"/>
      <c r="AM113" s="50"/>
      <c r="AN113" s="50"/>
      <c r="AO113" s="50"/>
      <c r="AP113" s="50"/>
      <c r="AQ113" s="50"/>
      <c r="AR113" s="50"/>
      <c r="AS113" s="50"/>
      <c r="AT113" s="50"/>
      <c r="AU113" s="50"/>
      <c r="AV113" s="50"/>
      <c r="AW113" s="50"/>
      <c r="AX113" s="50"/>
      <c r="AY113" s="50"/>
      <c r="AZ113" s="50"/>
      <c r="BA113" s="50"/>
      <c r="BB113" s="50"/>
      <c r="BC113" s="50"/>
      <c r="BD113" s="50"/>
      <c r="BE113" s="50"/>
      <c r="BF113" s="50"/>
      <c r="BG113" s="50"/>
      <c r="BH113" s="50"/>
      <c r="BI113" s="50"/>
      <c r="BJ113" s="50"/>
      <c r="BK113" s="50"/>
      <c r="BL113" s="50"/>
      <c r="BM113" s="50"/>
      <c r="BN113" s="50"/>
      <c r="BO113" s="50"/>
      <c r="BP113" s="50"/>
      <c r="BQ113" s="50"/>
      <c r="BR113" s="50"/>
      <c r="BS113" s="50"/>
      <c r="BT113" s="50"/>
      <c r="BU113" s="50"/>
      <c r="BV113" s="50"/>
    </row>
    <row r="114" spans="1:74" ht="15" customHeight="1">
      <c r="B114" s="50"/>
      <c r="C114" s="50"/>
      <c r="D114" s="218"/>
      <c r="E114" s="218"/>
      <c r="F114" s="218"/>
      <c r="G114" s="50"/>
      <c r="H114" s="50"/>
      <c r="I114" s="50"/>
      <c r="J114" s="50"/>
      <c r="K114" s="50"/>
      <c r="L114" s="50"/>
      <c r="M114" s="50"/>
      <c r="N114" s="50"/>
      <c r="O114" s="50"/>
      <c r="P114" s="50"/>
      <c r="Q114" s="50"/>
      <c r="R114" s="50"/>
      <c r="S114" s="50"/>
      <c r="T114" s="50"/>
      <c r="U114" s="50"/>
      <c r="V114" s="50"/>
      <c r="W114" s="50"/>
      <c r="X114" s="50"/>
      <c r="Y114" s="50"/>
      <c r="Z114" s="50"/>
      <c r="AA114" s="50"/>
      <c r="AB114" s="50"/>
      <c r="AC114" s="50"/>
      <c r="AD114" s="50"/>
      <c r="AE114" s="50"/>
      <c r="AF114" s="50"/>
      <c r="AG114" s="50"/>
      <c r="AH114" s="50"/>
      <c r="AI114" s="50"/>
      <c r="AJ114" s="50"/>
      <c r="AK114" s="50"/>
      <c r="AL114" s="50"/>
      <c r="AM114" s="50"/>
      <c r="AN114" s="50"/>
      <c r="AO114" s="50"/>
      <c r="AP114" s="50"/>
      <c r="AQ114" s="50"/>
      <c r="AR114" s="50"/>
      <c r="AS114" s="50"/>
      <c r="AT114" s="50"/>
      <c r="AU114" s="50"/>
      <c r="AV114" s="50"/>
      <c r="AW114" s="50"/>
      <c r="AX114" s="50"/>
      <c r="AY114" s="50"/>
      <c r="AZ114" s="50"/>
      <c r="BA114" s="50"/>
      <c r="BB114" s="50"/>
      <c r="BC114" s="50"/>
      <c r="BD114" s="50"/>
      <c r="BE114" s="50"/>
      <c r="BF114" s="50"/>
      <c r="BG114" s="50"/>
      <c r="BH114" s="50"/>
      <c r="BI114" s="50"/>
      <c r="BJ114" s="50"/>
      <c r="BK114" s="50"/>
      <c r="BL114" s="50"/>
      <c r="BM114" s="50"/>
      <c r="BN114" s="50"/>
      <c r="BO114" s="50"/>
      <c r="BP114" s="50"/>
      <c r="BQ114" s="50"/>
      <c r="BR114" s="50"/>
      <c r="BS114" s="50"/>
      <c r="BT114" s="50"/>
      <c r="BU114" s="50"/>
      <c r="BV114" s="50"/>
    </row>
    <row r="115" spans="1:74" ht="16.5">
      <c r="K115" s="50"/>
      <c r="L115" s="50"/>
      <c r="M115" s="51"/>
      <c r="N115" s="50"/>
      <c r="O115" s="50"/>
      <c r="P115" s="50"/>
      <c r="Q115" s="50"/>
      <c r="R115" s="50"/>
      <c r="S115" s="50"/>
      <c r="T115" s="50"/>
      <c r="U115" s="50"/>
      <c r="V115" s="50"/>
      <c r="W115" s="50"/>
      <c r="X115" s="50"/>
      <c r="Y115" s="50"/>
      <c r="Z115" s="50"/>
      <c r="AA115" s="50"/>
      <c r="AB115" s="50"/>
      <c r="AC115" s="50"/>
      <c r="AD115" s="50"/>
      <c r="AE115" s="50"/>
      <c r="AF115" s="50"/>
      <c r="AG115" s="50"/>
      <c r="AH115" s="50"/>
      <c r="AI115" s="50"/>
      <c r="AJ115" s="50"/>
      <c r="AK115" s="50"/>
      <c r="AL115" s="50"/>
      <c r="AM115" s="50"/>
      <c r="AN115" s="50"/>
      <c r="AO115" s="50"/>
      <c r="AP115" s="50"/>
      <c r="AQ115" s="50"/>
      <c r="AR115" s="50"/>
      <c r="AS115" s="50"/>
      <c r="AT115" s="50"/>
      <c r="AU115" s="50"/>
      <c r="AV115" s="50"/>
      <c r="AW115" s="50"/>
      <c r="AX115" s="50"/>
      <c r="AY115" s="50"/>
      <c r="AZ115" s="50"/>
      <c r="BA115" s="50"/>
      <c r="BB115" s="50"/>
      <c r="BC115" s="50"/>
      <c r="BD115" s="50"/>
      <c r="BE115" s="50"/>
      <c r="BF115" s="50"/>
      <c r="BG115" s="50"/>
      <c r="BH115" s="50"/>
      <c r="BI115" s="50"/>
      <c r="BJ115" s="50"/>
      <c r="BK115" s="50"/>
      <c r="BL115" s="50"/>
      <c r="BM115" s="50"/>
      <c r="BN115" s="50"/>
      <c r="BO115" s="50"/>
      <c r="BP115" s="50"/>
      <c r="BQ115" s="50"/>
      <c r="BR115" s="50"/>
      <c r="BS115" s="50"/>
      <c r="BT115" s="50"/>
      <c r="BU115" s="50"/>
      <c r="BV115" s="50"/>
    </row>
    <row r="116" spans="1:74" ht="16.5">
      <c r="B116" s="573" t="s">
        <v>315</v>
      </c>
      <c r="C116" s="573"/>
      <c r="D116" s="573"/>
      <c r="E116" s="573"/>
      <c r="F116" s="573"/>
      <c r="G116" s="573"/>
      <c r="H116" s="573"/>
      <c r="I116" s="573"/>
      <c r="J116" s="573"/>
      <c r="K116" s="50"/>
      <c r="L116" s="50"/>
      <c r="M116" s="51"/>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50"/>
      <c r="AZ116" s="50"/>
      <c r="BA116" s="50"/>
      <c r="BB116" s="50"/>
      <c r="BC116" s="50"/>
      <c r="BD116" s="50"/>
      <c r="BE116" s="50"/>
      <c r="BF116" s="50"/>
      <c r="BG116" s="50"/>
      <c r="BH116" s="50"/>
      <c r="BI116" s="50"/>
      <c r="BJ116" s="50"/>
      <c r="BK116" s="50"/>
      <c r="BL116" s="50"/>
      <c r="BM116" s="50"/>
      <c r="BN116" s="50"/>
      <c r="BO116" s="50"/>
      <c r="BP116" s="50"/>
      <c r="BQ116" s="50"/>
      <c r="BR116" s="50"/>
      <c r="BS116" s="50"/>
      <c r="BT116" s="50"/>
      <c r="BU116" s="50"/>
      <c r="BV116" s="50"/>
    </row>
    <row r="117" spans="1:74" ht="16.5">
      <c r="A117" s="249" t="s">
        <v>326</v>
      </c>
      <c r="B117" s="234">
        <v>1</v>
      </c>
      <c r="C117" s="234">
        <v>2</v>
      </c>
      <c r="D117" s="234">
        <v>3</v>
      </c>
      <c r="E117" s="234">
        <v>4</v>
      </c>
      <c r="F117" s="234">
        <v>5</v>
      </c>
      <c r="G117" s="234">
        <v>6</v>
      </c>
      <c r="H117" s="234">
        <v>7</v>
      </c>
      <c r="I117" s="234">
        <v>8</v>
      </c>
      <c r="J117" s="234">
        <v>9</v>
      </c>
      <c r="K117" s="50"/>
      <c r="L117" s="50"/>
      <c r="M117" s="51"/>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50"/>
      <c r="AZ117" s="50"/>
      <c r="BA117" s="50"/>
      <c r="BB117" s="50"/>
      <c r="BC117" s="50"/>
      <c r="BD117" s="50"/>
      <c r="BE117" s="50"/>
      <c r="BF117" s="50"/>
      <c r="BG117" s="50"/>
      <c r="BH117" s="50"/>
      <c r="BI117" s="50"/>
      <c r="BJ117" s="50"/>
      <c r="BK117" s="50"/>
      <c r="BL117" s="50"/>
      <c r="BM117" s="50"/>
      <c r="BN117" s="50"/>
      <c r="BO117" s="50"/>
      <c r="BP117" s="50"/>
      <c r="BQ117" s="50"/>
      <c r="BR117" s="50"/>
      <c r="BS117" s="50"/>
      <c r="BT117" s="50"/>
      <c r="BU117" s="50"/>
      <c r="BV117" s="50"/>
    </row>
    <row r="118" spans="1:74" ht="16.5">
      <c r="A118" s="249" t="s">
        <v>327</v>
      </c>
      <c r="B118" s="235">
        <v>1</v>
      </c>
      <c r="C118" s="235">
        <v>0.94099999999999995</v>
      </c>
      <c r="D118" s="235">
        <v>0.88200000000000001</v>
      </c>
      <c r="E118" s="235">
        <v>0.82199999999999995</v>
      </c>
      <c r="F118" s="235">
        <v>0.76300000000000001</v>
      </c>
      <c r="G118" s="235">
        <v>0.70399999999999996</v>
      </c>
      <c r="H118" s="235">
        <v>0.73</v>
      </c>
      <c r="I118" s="235">
        <v>0.75600000000000001</v>
      </c>
      <c r="J118" s="235">
        <v>0.78200000000000003</v>
      </c>
      <c r="K118" s="50"/>
      <c r="L118" s="50"/>
      <c r="M118" s="51"/>
      <c r="N118" s="50"/>
      <c r="O118" s="50"/>
      <c r="P118" s="50"/>
      <c r="Q118" s="50"/>
      <c r="R118" s="50"/>
      <c r="S118" s="50"/>
      <c r="T118" s="50"/>
      <c r="U118" s="50"/>
      <c r="V118" s="50"/>
      <c r="W118" s="50"/>
      <c r="X118" s="50"/>
      <c r="Y118" s="50"/>
      <c r="Z118" s="50"/>
      <c r="AA118" s="50"/>
      <c r="AB118" s="50"/>
      <c r="AC118" s="50"/>
      <c r="AD118" s="50"/>
      <c r="AE118" s="50"/>
      <c r="AF118" s="50"/>
      <c r="AG118" s="50"/>
      <c r="AH118" s="50"/>
      <c r="AI118" s="50"/>
      <c r="AJ118" s="50"/>
      <c r="AK118" s="50"/>
      <c r="AL118" s="50"/>
      <c r="AM118" s="50"/>
      <c r="AN118" s="50"/>
      <c r="AO118" s="50"/>
      <c r="AP118" s="50"/>
      <c r="AQ118" s="50"/>
      <c r="AR118" s="50"/>
      <c r="AS118" s="50"/>
      <c r="AT118" s="50"/>
      <c r="AU118" s="50"/>
      <c r="AV118" s="50"/>
      <c r="AW118" s="50"/>
      <c r="AX118" s="50"/>
      <c r="AY118" s="50"/>
      <c r="AZ118" s="50"/>
      <c r="BA118" s="50"/>
      <c r="BB118" s="50"/>
      <c r="BC118" s="50"/>
      <c r="BD118" s="50"/>
      <c r="BE118" s="50"/>
      <c r="BF118" s="50"/>
      <c r="BG118" s="50"/>
      <c r="BH118" s="50"/>
      <c r="BI118" s="50"/>
      <c r="BJ118" s="50"/>
      <c r="BK118" s="50"/>
      <c r="BL118" s="50"/>
      <c r="BM118" s="50"/>
      <c r="BN118" s="50"/>
      <c r="BO118" s="50"/>
      <c r="BP118" s="50"/>
      <c r="BQ118" s="50"/>
      <c r="BR118" s="50"/>
      <c r="BS118" s="50"/>
      <c r="BT118" s="50"/>
      <c r="BU118" s="50"/>
      <c r="BV118" s="50"/>
    </row>
    <row r="119" spans="1:74">
      <c r="B119" s="50"/>
      <c r="C119" s="50"/>
      <c r="D119" s="52"/>
      <c r="E119" s="52"/>
      <c r="F119" s="52"/>
      <c r="G119" s="52"/>
      <c r="H119" s="52"/>
      <c r="I119" s="52"/>
      <c r="J119" s="52"/>
      <c r="K119" s="52"/>
      <c r="L119" s="52"/>
      <c r="M119" s="52"/>
      <c r="N119" s="52"/>
      <c r="O119" s="52"/>
      <c r="P119" s="52"/>
      <c r="Q119" s="52"/>
      <c r="R119" s="52"/>
      <c r="S119" s="52"/>
      <c r="T119" s="52"/>
      <c r="U119" s="52"/>
      <c r="V119" s="52"/>
      <c r="W119" s="52"/>
      <c r="X119" s="52"/>
      <c r="Y119" s="52"/>
      <c r="Z119" s="52"/>
      <c r="AA119" s="52"/>
      <c r="AB119" s="52"/>
      <c r="AC119" s="52"/>
      <c r="AD119" s="52"/>
      <c r="AE119" s="52"/>
      <c r="AF119" s="52"/>
      <c r="AG119" s="52"/>
      <c r="AH119" s="52"/>
      <c r="AI119" s="52"/>
      <c r="AJ119" s="52"/>
      <c r="AK119" s="52"/>
      <c r="AL119" s="52"/>
      <c r="AM119" s="52"/>
      <c r="AN119" s="52"/>
      <c r="AO119" s="52"/>
      <c r="AP119" s="52"/>
      <c r="AQ119" s="52"/>
      <c r="AR119" s="52"/>
      <c r="AS119" s="52"/>
      <c r="AT119" s="52"/>
      <c r="AU119" s="52"/>
      <c r="AV119" s="52"/>
      <c r="AW119" s="52"/>
      <c r="AX119" s="52"/>
      <c r="AY119" s="52"/>
      <c r="AZ119" s="52"/>
      <c r="BA119" s="52"/>
      <c r="BB119" s="52"/>
      <c r="BC119" s="52"/>
      <c r="BD119" s="52"/>
      <c r="BE119" s="52"/>
      <c r="BF119" s="52"/>
      <c r="BG119" s="52"/>
      <c r="BH119" s="52"/>
      <c r="BI119" s="52"/>
      <c r="BJ119" s="52"/>
      <c r="BK119" s="52"/>
      <c r="BL119" s="52"/>
      <c r="BM119" s="52"/>
      <c r="BN119" s="50"/>
      <c r="BO119" s="50"/>
      <c r="BP119" s="50"/>
      <c r="BQ119" s="50"/>
      <c r="BR119" s="50"/>
      <c r="BS119" s="50"/>
      <c r="BT119" s="50"/>
      <c r="BU119" s="50"/>
      <c r="BV119" s="50"/>
    </row>
    <row r="120" spans="1:74">
      <c r="B120" s="50"/>
      <c r="C120" s="50"/>
      <c r="D120" s="50"/>
      <c r="E120" s="50"/>
      <c r="F120" s="50"/>
      <c r="G120" s="50"/>
      <c r="H120" s="50"/>
      <c r="I120" s="50"/>
      <c r="J120" s="50"/>
      <c r="K120" s="50"/>
      <c r="L120" s="50"/>
      <c r="M120" s="50"/>
      <c r="N120" s="50"/>
      <c r="O120" s="50"/>
      <c r="P120" s="50"/>
      <c r="Q120" s="50"/>
      <c r="R120" s="50"/>
      <c r="S120" s="50"/>
      <c r="T120" s="50"/>
      <c r="U120" s="50"/>
      <c r="V120" s="50"/>
      <c r="W120" s="50"/>
      <c r="X120" s="50"/>
      <c r="Y120" s="50"/>
      <c r="Z120" s="50"/>
      <c r="AA120" s="50"/>
      <c r="AB120" s="50"/>
      <c r="AC120" s="50"/>
      <c r="AD120" s="50"/>
      <c r="AE120" s="50"/>
      <c r="AF120" s="50"/>
      <c r="AG120" s="50"/>
      <c r="AH120" s="50"/>
      <c r="AI120" s="50"/>
      <c r="AJ120" s="50"/>
      <c r="AK120" s="50"/>
      <c r="AL120" s="50"/>
      <c r="AM120" s="50"/>
      <c r="AN120" s="50"/>
      <c r="AO120" s="50"/>
      <c r="AP120" s="50"/>
      <c r="AQ120" s="50"/>
      <c r="AR120" s="50"/>
      <c r="AS120" s="50"/>
      <c r="AT120" s="50"/>
      <c r="AU120" s="50"/>
      <c r="AV120" s="50"/>
      <c r="AW120" s="50"/>
      <c r="AX120" s="50"/>
      <c r="AY120" s="50"/>
      <c r="AZ120" s="50"/>
      <c r="BA120" s="50"/>
      <c r="BB120" s="50"/>
      <c r="BC120" s="50"/>
      <c r="BD120" s="50"/>
      <c r="BE120" s="50"/>
      <c r="BF120" s="50"/>
      <c r="BG120" s="50"/>
      <c r="BH120" s="50"/>
      <c r="BI120" s="50"/>
      <c r="BJ120" s="50"/>
      <c r="BK120" s="50"/>
      <c r="BL120" s="50"/>
      <c r="BM120" s="50"/>
      <c r="BN120" s="50"/>
      <c r="BO120" s="50"/>
      <c r="BP120" s="50"/>
      <c r="BQ120" s="50"/>
      <c r="BR120" s="50"/>
      <c r="BS120" s="50"/>
      <c r="BT120" s="50"/>
      <c r="BU120" s="50"/>
      <c r="BV120" s="50"/>
    </row>
    <row r="121" spans="1:74">
      <c r="A121" s="573" t="s">
        <v>220</v>
      </c>
      <c r="B121" s="573"/>
      <c r="C121" s="573"/>
      <c r="D121" s="573"/>
      <c r="E121" s="573"/>
      <c r="F121" s="573"/>
      <c r="G121" s="573"/>
      <c r="H121" s="1"/>
      <c r="I121" s="570" t="s">
        <v>224</v>
      </c>
      <c r="J121" s="571"/>
      <c r="K121" s="571"/>
      <c r="L121" s="572"/>
      <c r="Q121" s="50"/>
      <c r="R121" s="50"/>
      <c r="S121" s="50"/>
      <c r="T121" s="50"/>
      <c r="U121" s="50"/>
      <c r="V121" s="50"/>
      <c r="W121" s="50"/>
      <c r="X121" s="50"/>
      <c r="Y121" s="50"/>
      <c r="Z121" s="50"/>
      <c r="AA121" s="50"/>
      <c r="AB121" s="50"/>
      <c r="AC121" s="50"/>
      <c r="AD121" s="50"/>
      <c r="AE121" s="50"/>
      <c r="AF121" s="50"/>
      <c r="AG121" s="50"/>
      <c r="AH121" s="50"/>
      <c r="AI121" s="50"/>
      <c r="AJ121" s="50"/>
      <c r="AK121" s="50"/>
      <c r="AL121" s="50"/>
      <c r="AM121" s="50"/>
      <c r="AN121" s="50"/>
      <c r="AO121" s="50"/>
      <c r="AP121" s="50"/>
      <c r="AQ121" s="50"/>
      <c r="AR121" s="50"/>
      <c r="AS121" s="50"/>
      <c r="AT121" s="50"/>
      <c r="AU121" s="50"/>
      <c r="AV121" s="50"/>
      <c r="AW121" s="50"/>
      <c r="AX121" s="50"/>
      <c r="AY121" s="50"/>
      <c r="AZ121" s="50"/>
      <c r="BA121" s="50"/>
      <c r="BB121" s="50"/>
      <c r="BC121" s="50"/>
      <c r="BD121" s="50"/>
      <c r="BE121" s="50"/>
      <c r="BF121" s="50"/>
      <c r="BG121" s="50"/>
      <c r="BH121" s="50"/>
      <c r="BI121" s="50"/>
      <c r="BJ121" s="50"/>
      <c r="BK121" s="50"/>
      <c r="BL121" s="50"/>
      <c r="BM121" s="50"/>
      <c r="BN121" s="50"/>
      <c r="BO121" s="50"/>
      <c r="BP121" s="50"/>
      <c r="BQ121" s="50"/>
      <c r="BR121" s="50"/>
      <c r="BS121" s="50"/>
      <c r="BT121" s="50"/>
      <c r="BU121" s="50"/>
      <c r="BV121" s="50"/>
    </row>
    <row r="122" spans="1:74">
      <c r="A122" s="254" t="s">
        <v>16</v>
      </c>
      <c r="B122" s="230">
        <f>Module!D32</f>
        <v>10</v>
      </c>
      <c r="D122" s="250"/>
      <c r="E122" s="251"/>
      <c r="F122" s="231"/>
      <c r="G122" s="252">
        <f>Module!A18</f>
        <v>33</v>
      </c>
      <c r="H122" s="3"/>
      <c r="I122" s="40"/>
      <c r="J122" s="40"/>
      <c r="K122" s="40"/>
      <c r="L122" s="40"/>
      <c r="Q122" s="50"/>
      <c r="R122" s="50"/>
      <c r="S122" s="50"/>
      <c r="T122" s="50"/>
      <c r="U122" s="50"/>
      <c r="V122" s="50"/>
      <c r="W122" s="50"/>
      <c r="X122" s="50"/>
      <c r="Y122" s="50"/>
      <c r="Z122" s="50"/>
      <c r="AA122" s="50"/>
      <c r="AB122" s="50"/>
      <c r="AC122" s="50"/>
      <c r="AD122" s="50"/>
      <c r="AE122" s="50"/>
      <c r="AF122" s="50"/>
      <c r="AG122" s="50"/>
      <c r="AH122" s="50"/>
      <c r="AI122" s="50"/>
      <c r="AJ122" s="50"/>
      <c r="AK122" s="50"/>
      <c r="AL122" s="50"/>
      <c r="AM122" s="50"/>
      <c r="AN122" s="50"/>
      <c r="AO122" s="50"/>
      <c r="AP122" s="50"/>
      <c r="AQ122" s="50"/>
      <c r="AR122" s="50"/>
      <c r="AS122" s="50"/>
      <c r="AT122" s="50"/>
      <c r="AU122" s="50"/>
      <c r="AV122" s="50"/>
      <c r="AW122" s="50"/>
      <c r="AX122" s="50"/>
      <c r="AY122" s="50"/>
      <c r="AZ122" s="50"/>
      <c r="BA122" s="50"/>
      <c r="BB122" s="50"/>
      <c r="BC122" s="50"/>
      <c r="BD122" s="50"/>
      <c r="BE122" s="50"/>
      <c r="BF122" s="50"/>
      <c r="BG122" s="50"/>
      <c r="BH122" s="50"/>
      <c r="BI122" s="50"/>
      <c r="BJ122" s="50"/>
      <c r="BK122" s="50"/>
      <c r="BL122" s="50"/>
      <c r="BM122" s="50"/>
      <c r="BN122" s="50"/>
      <c r="BO122" s="50"/>
      <c r="BP122" s="50"/>
      <c r="BQ122" s="50"/>
      <c r="BR122" s="50"/>
      <c r="BS122" s="50"/>
      <c r="BT122" s="50"/>
      <c r="BU122" s="50"/>
      <c r="BV122" s="50"/>
    </row>
    <row r="123" spans="1:74">
      <c r="A123" s="40"/>
      <c r="B123" s="254" t="s">
        <v>218</v>
      </c>
      <c r="C123" s="254" t="s">
        <v>217</v>
      </c>
      <c r="D123" s="254" t="s">
        <v>216</v>
      </c>
      <c r="E123" s="46"/>
      <c r="F123" s="46"/>
      <c r="G123" s="254" t="s">
        <v>215</v>
      </c>
      <c r="H123" s="1"/>
      <c r="I123" s="254" t="s">
        <v>223</v>
      </c>
      <c r="J123" s="42">
        <f>(0.998789138^Module!B3)*(0.998751839^Module!B4)*(0.998707677^Module!B6)</f>
        <v>0.6205456518611977</v>
      </c>
      <c r="K123" s="40"/>
      <c r="L123" s="4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row>
    <row r="124" spans="1:74">
      <c r="A124" s="254" t="s">
        <v>34</v>
      </c>
      <c r="B124" s="42">
        <f>Module!C23</f>
        <v>35</v>
      </c>
      <c r="C124" s="43">
        <f>VLOOKUP(Module!$H$2,$A$3:$AP$64,32,0)*VLOOKUP(Module!B23,$J$126:$K$134,2,0)^Module!D32*$J$123</f>
        <v>19.266955337918073</v>
      </c>
      <c r="D124" s="253">
        <f t="shared" ref="D124:D134" si="2">C124+B124</f>
        <v>54.266955337918077</v>
      </c>
      <c r="E124" s="253">
        <f>B124+(C124/(Module!$I$5))*(Module!$I$5-Module!$D$22)</f>
        <v>51.224804495088904</v>
      </c>
      <c r="F124" s="253">
        <f>((C124/(Module!$I$5))+((C124/(Module!$I$5))*$G$122)/100)*Module!$D$22</f>
        <v>4.0460606209627956</v>
      </c>
      <c r="G124" s="253">
        <f t="shared" ref="G124:G134" si="3">E124+F124</f>
        <v>55.270865116051702</v>
      </c>
      <c r="H124" s="1"/>
      <c r="I124" s="40"/>
      <c r="J124" s="40"/>
      <c r="K124" s="40"/>
      <c r="L124" s="4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c r="BA124" s="50"/>
      <c r="BB124" s="50"/>
      <c r="BC124" s="50"/>
      <c r="BD124" s="50"/>
      <c r="BE124" s="50"/>
      <c r="BF124" s="50"/>
      <c r="BG124" s="50"/>
      <c r="BH124" s="50"/>
      <c r="BI124" s="50"/>
      <c r="BJ124" s="50"/>
      <c r="BK124" s="50"/>
      <c r="BL124" s="50"/>
      <c r="BM124" s="50"/>
      <c r="BN124" s="50"/>
      <c r="BO124" s="50"/>
      <c r="BP124" s="50"/>
      <c r="BQ124" s="50"/>
      <c r="BR124" s="50"/>
      <c r="BS124" s="50"/>
      <c r="BT124" s="50"/>
      <c r="BU124" s="50"/>
      <c r="BV124" s="50"/>
    </row>
    <row r="125" spans="1:74">
      <c r="A125" s="254" t="s">
        <v>15</v>
      </c>
      <c r="B125" s="42">
        <f>Module!C24</f>
        <v>0</v>
      </c>
      <c r="C125" s="43">
        <f>VLOOKUP(Module!$H$2,$A$3:$AP$64,33,0)*VLOOKUP(Module!B24,$J$126:$K$134,2,0)^Module!$D$32*$J$123</f>
        <v>44.445708532302781</v>
      </c>
      <c r="D125" s="253">
        <f t="shared" si="2"/>
        <v>44.445708532302781</v>
      </c>
      <c r="E125" s="253">
        <f>B125+(C125/(Module!$I$5))*(Module!$I$5-Module!$D$22)</f>
        <v>37.427965079833925</v>
      </c>
      <c r="F125" s="253">
        <f>((C125/(Module!$I$5))+((C125/(Module!$I$5))*$G$122)/100)*Module!$D$22</f>
        <v>9.3335987917835848</v>
      </c>
      <c r="G125" s="253">
        <f t="shared" si="3"/>
        <v>46.761563871617511</v>
      </c>
      <c r="H125" s="1"/>
      <c r="I125" s="40"/>
      <c r="J125" s="46" t="s">
        <v>222</v>
      </c>
      <c r="K125" s="46" t="s">
        <v>221</v>
      </c>
      <c r="L125" s="40"/>
      <c r="Q125" s="50"/>
      <c r="R125" s="50"/>
      <c r="S125" s="50"/>
      <c r="T125" s="50"/>
      <c r="U125" s="50"/>
      <c r="V125" s="50"/>
      <c r="W125" s="50"/>
      <c r="X125" s="50"/>
      <c r="Y125" s="50"/>
      <c r="Z125" s="50"/>
      <c r="AA125" s="50"/>
      <c r="AB125" s="50"/>
      <c r="AC125" s="50"/>
      <c r="AD125" s="50"/>
      <c r="AE125" s="50"/>
      <c r="AF125" s="50"/>
      <c r="AG125" s="50"/>
      <c r="AH125" s="50"/>
      <c r="AI125" s="50"/>
      <c r="AJ125" s="50"/>
      <c r="AK125" s="50"/>
      <c r="AL125" s="50"/>
      <c r="AM125" s="50"/>
      <c r="AN125" s="50"/>
      <c r="AO125" s="50"/>
      <c r="AP125" s="50"/>
      <c r="AQ125" s="50"/>
      <c r="AR125" s="50"/>
      <c r="AS125" s="50"/>
      <c r="AT125" s="50"/>
      <c r="AU125" s="50"/>
      <c r="AV125" s="50"/>
      <c r="AW125" s="50"/>
      <c r="AX125" s="50"/>
      <c r="AY125" s="50"/>
      <c r="AZ125" s="50"/>
      <c r="BA125" s="50"/>
      <c r="BB125" s="50"/>
      <c r="BC125" s="50"/>
      <c r="BD125" s="50"/>
      <c r="BE125" s="50"/>
      <c r="BF125" s="50"/>
      <c r="BG125" s="50"/>
      <c r="BH125" s="50"/>
      <c r="BI125" s="50"/>
      <c r="BJ125" s="50"/>
      <c r="BK125" s="50"/>
      <c r="BL125" s="50"/>
      <c r="BM125" s="50"/>
      <c r="BN125" s="50"/>
      <c r="BO125" s="50"/>
      <c r="BP125" s="50"/>
      <c r="BQ125" s="50"/>
      <c r="BR125" s="50"/>
      <c r="BS125" s="50"/>
      <c r="BT125" s="50"/>
      <c r="BU125" s="50"/>
      <c r="BV125" s="50"/>
    </row>
    <row r="126" spans="1:74">
      <c r="A126" s="254" t="s">
        <v>21</v>
      </c>
      <c r="B126" s="42">
        <f>Module!C25</f>
        <v>0</v>
      </c>
      <c r="C126" s="43">
        <f>VLOOKUP(Module!$H$2,$A$3:$AP$64,34,0)*VLOOKUP(Module!B25,$J$126:$K$134,2,0)^Module!D32*$J$123</f>
        <v>23.645808823808547</v>
      </c>
      <c r="D126" s="253">
        <f t="shared" si="2"/>
        <v>23.645808823808547</v>
      </c>
      <c r="E126" s="253">
        <f>B126+(C126/(Module!$I$5))*(Module!$I$5-Module!$D$22)</f>
        <v>19.912260062154566</v>
      </c>
      <c r="F126" s="253">
        <f>((C126/(Module!$I$5))+((C126/(Module!$I$5))*$G$122)/100)*Module!$D$22</f>
        <v>4.9656198529997946</v>
      </c>
      <c r="G126" s="253">
        <f t="shared" si="3"/>
        <v>24.877879915154359</v>
      </c>
      <c r="H126" s="1"/>
      <c r="I126" s="567" t="s">
        <v>334</v>
      </c>
      <c r="J126" s="42">
        <v>1</v>
      </c>
      <c r="K126" s="41">
        <v>1.0193267935988299</v>
      </c>
      <c r="L126" s="41">
        <v>1.0193267935988299</v>
      </c>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c r="BA126" s="50"/>
      <c r="BB126" s="50"/>
      <c r="BC126" s="50"/>
      <c r="BD126" s="50"/>
      <c r="BE126" s="50"/>
      <c r="BF126" s="50"/>
      <c r="BG126" s="50"/>
      <c r="BH126" s="50"/>
      <c r="BI126" s="50"/>
      <c r="BJ126" s="50"/>
      <c r="BK126" s="50"/>
      <c r="BL126" s="50"/>
      <c r="BM126" s="50"/>
      <c r="BN126" s="50"/>
      <c r="BO126" s="50"/>
      <c r="BP126" s="50"/>
      <c r="BQ126" s="50"/>
      <c r="BR126" s="50"/>
      <c r="BS126" s="50"/>
      <c r="BT126" s="50"/>
      <c r="BU126" s="50"/>
      <c r="BV126" s="50"/>
    </row>
    <row r="127" spans="1:74">
      <c r="A127" s="254" t="s">
        <v>18</v>
      </c>
      <c r="B127" s="42">
        <f>Module!C26</f>
        <v>39</v>
      </c>
      <c r="C127" s="43">
        <f>VLOOKUP(Module!$H$2,$A$3:$AP$64,35,0)*VLOOKUP(Module!B26,$J$126:$K$134,2,0)^Module!D32*$J$123</f>
        <v>18.457428338447006</v>
      </c>
      <c r="D127" s="253">
        <f t="shared" si="2"/>
        <v>57.457428338447002</v>
      </c>
      <c r="E127" s="253">
        <f>B127+(C127/(Module!$I$5))*(Module!$I$5-Module!$D$22)</f>
        <v>54.543097548165903</v>
      </c>
      <c r="F127" s="253">
        <f>((C127/(Module!$I$5))+((C127/(Module!$I$5))*$G$122)/100)*Module!$D$22</f>
        <v>3.8760599510738709</v>
      </c>
      <c r="G127" s="253">
        <f t="shared" si="3"/>
        <v>58.419157499239773</v>
      </c>
      <c r="H127" s="1"/>
      <c r="I127" s="568"/>
      <c r="J127" s="42">
        <v>2</v>
      </c>
      <c r="K127" s="41">
        <v>1.00995581572653</v>
      </c>
      <c r="L127" s="4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c r="BA127" s="50"/>
      <c r="BB127" s="50"/>
      <c r="BC127" s="50"/>
      <c r="BD127" s="50"/>
      <c r="BE127" s="50"/>
      <c r="BF127" s="50"/>
      <c r="BG127" s="50"/>
      <c r="BH127" s="50"/>
      <c r="BI127" s="50"/>
      <c r="BJ127" s="50"/>
      <c r="BK127" s="50"/>
      <c r="BL127" s="50"/>
      <c r="BM127" s="50"/>
      <c r="BN127" s="50"/>
      <c r="BO127" s="50"/>
      <c r="BP127" s="50"/>
      <c r="BQ127" s="50"/>
      <c r="BR127" s="50"/>
      <c r="BS127" s="50"/>
      <c r="BT127" s="50"/>
      <c r="BU127" s="50"/>
      <c r="BV127" s="50"/>
    </row>
    <row r="128" spans="1:74">
      <c r="A128" s="254" t="s">
        <v>201</v>
      </c>
      <c r="B128" s="42">
        <f>Module!C27</f>
        <v>17</v>
      </c>
      <c r="C128" s="43">
        <f>VLOOKUP(Module!$H$2,$A$3:$AP$64,36,0)*VLOOKUP(Module!B27,$J$126:$K$134,2,0)^Module!D32*$J$123</f>
        <v>17.515413943561885</v>
      </c>
      <c r="D128" s="253">
        <f t="shared" si="2"/>
        <v>34.515413943561882</v>
      </c>
      <c r="E128" s="253">
        <f>B128+(C128/(Module!$I$5))*(Module!$I$5-Module!$D$22)</f>
        <v>31.749822268262641</v>
      </c>
      <c r="F128" s="253">
        <f>((C128/(Module!$I$5))+((C128/(Module!$I$5))*$G$122)/100)*Module!$D$22</f>
        <v>3.6782369281479963</v>
      </c>
      <c r="G128" s="253">
        <f t="shared" si="3"/>
        <v>35.428059196410636</v>
      </c>
      <c r="H128" s="1"/>
      <c r="I128" s="568"/>
      <c r="J128" s="42">
        <v>3</v>
      </c>
      <c r="K128" s="41">
        <v>1.0073261618496101</v>
      </c>
      <c r="L128" s="40"/>
      <c r="Q128" s="50"/>
      <c r="R128" s="50"/>
      <c r="S128" s="50"/>
      <c r="T128" s="50"/>
      <c r="U128" s="50"/>
      <c r="V128" s="50"/>
      <c r="W128" s="50"/>
      <c r="X128" s="50"/>
      <c r="Y128" s="50"/>
      <c r="Z128" s="50"/>
      <c r="AA128" s="50"/>
      <c r="AB128" s="50"/>
      <c r="AC128" s="50"/>
      <c r="AD128" s="50"/>
      <c r="AE128" s="50"/>
      <c r="AF128" s="50"/>
      <c r="AG128" s="50"/>
      <c r="AH128" s="50"/>
      <c r="AI128" s="50"/>
      <c r="AJ128" s="50"/>
      <c r="AK128" s="50"/>
      <c r="AL128" s="50"/>
      <c r="AM128" s="50"/>
      <c r="AN128" s="50"/>
      <c r="AO128" s="50"/>
      <c r="AP128" s="50"/>
      <c r="AQ128" s="50"/>
      <c r="AR128" s="50"/>
      <c r="AS128" s="50"/>
      <c r="AT128" s="50"/>
      <c r="AU128" s="50"/>
      <c r="AV128" s="50"/>
      <c r="AW128" s="50"/>
      <c r="AX128" s="50"/>
      <c r="AY128" s="50"/>
      <c r="AZ128" s="50"/>
      <c r="BA128" s="50"/>
      <c r="BB128" s="50"/>
      <c r="BC128" s="50"/>
      <c r="BD128" s="50"/>
      <c r="BE128" s="50"/>
      <c r="BF128" s="50"/>
      <c r="BG128" s="50"/>
      <c r="BH128" s="50"/>
      <c r="BI128" s="50"/>
      <c r="BJ128" s="50"/>
      <c r="BK128" s="50"/>
      <c r="BL128" s="50"/>
      <c r="BM128" s="50"/>
      <c r="BN128" s="50"/>
      <c r="BO128" s="50"/>
      <c r="BP128" s="50"/>
      <c r="BQ128" s="50"/>
      <c r="BR128" s="50"/>
      <c r="BS128" s="50"/>
      <c r="BT128" s="50"/>
      <c r="BU128" s="50"/>
      <c r="BV128" s="50"/>
    </row>
    <row r="129" spans="1:74">
      <c r="A129" s="254" t="s">
        <v>200</v>
      </c>
      <c r="B129" s="42">
        <f>Module!C28</f>
        <v>57</v>
      </c>
      <c r="C129" s="43">
        <f>VLOOKUP(Module!$H$2,$A$3:$AP$64,37,0)*VLOOKUP(Module!B28,$J$126:$K$134,2,0)^Module!D32*$J$123</f>
        <v>21.894267429452356</v>
      </c>
      <c r="D129" s="253">
        <f t="shared" si="2"/>
        <v>78.894267429452356</v>
      </c>
      <c r="E129" s="253">
        <f>B129+(C129/(Module!$I$5))*(Module!$I$5-Module!$D$22)</f>
        <v>75.437277835328302</v>
      </c>
      <c r="F129" s="253">
        <f>((C129/(Module!$I$5))+((C129/(Module!$I$5))*$G$122)/100)*Module!$D$22</f>
        <v>4.5977961601849948</v>
      </c>
      <c r="G129" s="253">
        <f t="shared" si="3"/>
        <v>80.035073995513301</v>
      </c>
      <c r="H129" s="1"/>
      <c r="I129" s="568"/>
      <c r="J129" s="42">
        <v>4</v>
      </c>
      <c r="K129" s="41">
        <v>1.0053141448054901</v>
      </c>
      <c r="L129" s="40"/>
      <c r="Q129" s="50"/>
      <c r="R129" s="50"/>
      <c r="S129" s="50"/>
      <c r="T129" s="50"/>
      <c r="U129" s="50"/>
      <c r="V129" s="50"/>
      <c r="W129" s="50"/>
      <c r="X129" s="50"/>
      <c r="Y129" s="50"/>
      <c r="Z129" s="50"/>
      <c r="AA129" s="50"/>
      <c r="AB129" s="50"/>
      <c r="AC129" s="50"/>
      <c r="AD129" s="50"/>
      <c r="AE129" s="50"/>
      <c r="AF129" s="50"/>
      <c r="AG129" s="50"/>
      <c r="AH129" s="50"/>
      <c r="AI129" s="50"/>
      <c r="AJ129" s="50"/>
      <c r="AK129" s="50"/>
      <c r="AL129" s="50"/>
      <c r="AM129" s="50"/>
      <c r="AN129" s="50"/>
      <c r="AO129" s="50"/>
      <c r="AP129" s="50"/>
      <c r="AQ129" s="50"/>
      <c r="AR129" s="50"/>
      <c r="AS129" s="50"/>
      <c r="AT129" s="50"/>
      <c r="AU129" s="50"/>
      <c r="AV129" s="50"/>
      <c r="AW129" s="50"/>
      <c r="AX129" s="50"/>
      <c r="AY129" s="50"/>
      <c r="AZ129" s="50"/>
      <c r="BA129" s="50"/>
      <c r="BB129" s="50"/>
      <c r="BC129" s="50"/>
      <c r="BD129" s="50"/>
      <c r="BE129" s="50"/>
      <c r="BF129" s="50"/>
      <c r="BG129" s="50"/>
      <c r="BH129" s="50"/>
      <c r="BI129" s="50"/>
      <c r="BJ129" s="50"/>
      <c r="BK129" s="50"/>
      <c r="BL129" s="50"/>
      <c r="BM129" s="50"/>
      <c r="BN129" s="50"/>
      <c r="BO129" s="50"/>
      <c r="BP129" s="50"/>
      <c r="BQ129" s="50"/>
      <c r="BR129" s="50"/>
      <c r="BS129" s="50"/>
      <c r="BT129" s="50"/>
      <c r="BU129" s="50"/>
      <c r="BV129" s="50"/>
    </row>
    <row r="130" spans="1:74">
      <c r="A130" s="254" t="s">
        <v>28</v>
      </c>
      <c r="B130" s="42">
        <f>Module!C29</f>
        <v>43</v>
      </c>
      <c r="C130" s="43">
        <f>VLOOKUP(Module!$H$2,$A$3:$AP$64,38,0)*VLOOKUP(Module!B29,$J$126:$K$134,2,0)^Module!D32*$J$123</f>
        <v>25.397547732744442</v>
      </c>
      <c r="D130" s="253">
        <f t="shared" si="2"/>
        <v>68.397547732744442</v>
      </c>
      <c r="E130" s="253">
        <f>B130+(C130/(Module!$I$5))*(Module!$I$5-Module!$D$22)</f>
        <v>64.387408617047953</v>
      </c>
      <c r="F130" s="253">
        <f>((C130/(Module!$I$5))+((C130/(Module!$I$5))*$G$122)/100)*Module!$D$22</f>
        <v>5.3334850238763325</v>
      </c>
      <c r="G130" s="253">
        <f t="shared" si="3"/>
        <v>69.720893640924288</v>
      </c>
      <c r="H130" s="1"/>
      <c r="I130" s="568"/>
      <c r="J130" s="42">
        <v>5</v>
      </c>
      <c r="K130" s="41">
        <v>1.0043268635857201</v>
      </c>
      <c r="L130" s="40"/>
      <c r="Q130" s="50"/>
      <c r="R130" s="50"/>
      <c r="S130" s="50"/>
      <c r="T130" s="50"/>
      <c r="U130" s="50"/>
      <c r="V130" s="50"/>
      <c r="W130" s="50"/>
      <c r="X130" s="50"/>
      <c r="Y130" s="50"/>
      <c r="Z130" s="50"/>
      <c r="AA130" s="50"/>
      <c r="AB130" s="50"/>
      <c r="AC130" s="50"/>
      <c r="AD130" s="50"/>
      <c r="AE130" s="50"/>
      <c r="AF130" s="50"/>
      <c r="AG130" s="50"/>
      <c r="AH130" s="50"/>
      <c r="AI130" s="50"/>
      <c r="AJ130" s="50"/>
      <c r="AK130" s="50"/>
      <c r="AL130" s="50"/>
      <c r="AM130" s="50"/>
      <c r="AN130" s="50"/>
      <c r="AO130" s="50"/>
      <c r="AP130" s="50"/>
      <c r="AQ130" s="50"/>
      <c r="AR130" s="50"/>
      <c r="AS130" s="50"/>
      <c r="AT130" s="50"/>
      <c r="AU130" s="50"/>
      <c r="AV130" s="50"/>
      <c r="AW130" s="50"/>
      <c r="AX130" s="50"/>
      <c r="AY130" s="50"/>
      <c r="AZ130" s="50"/>
      <c r="BA130" s="50"/>
      <c r="BB130" s="50"/>
      <c r="BC130" s="50"/>
      <c r="BD130" s="50"/>
      <c r="BE130" s="50"/>
      <c r="BF130" s="50"/>
      <c r="BG130" s="50"/>
      <c r="BH130" s="50"/>
      <c r="BI130" s="50"/>
      <c r="BJ130" s="50"/>
      <c r="BK130" s="50"/>
      <c r="BL130" s="50"/>
      <c r="BM130" s="50"/>
      <c r="BN130" s="50"/>
      <c r="BO130" s="50"/>
      <c r="BP130" s="50"/>
      <c r="BQ130" s="50"/>
      <c r="BR130" s="50"/>
      <c r="BS130" s="50"/>
      <c r="BT130" s="50"/>
      <c r="BU130" s="50"/>
      <c r="BV130" s="50"/>
    </row>
    <row r="131" spans="1:74">
      <c r="A131" s="254" t="s">
        <v>11</v>
      </c>
      <c r="B131" s="42">
        <f>Module!C30</f>
        <v>64</v>
      </c>
      <c r="C131" s="43">
        <f>VLOOKUP(Module!$H$2,$A$3:$AP$64,39,0)*VLOOKUP(Module!B30,$J$126:$K$134,2,0)^Module!D32*$J$123</f>
        <v>22.148914006136405</v>
      </c>
      <c r="D131" s="253">
        <f t="shared" si="2"/>
        <v>86.148914006136408</v>
      </c>
      <c r="E131" s="253">
        <f>B131+(C131/(Module!$I$5))*(Module!$I$5-Module!$D$22)</f>
        <v>82.651717057799075</v>
      </c>
      <c r="F131" s="253">
        <f>((C131/(Module!$I$5))+((C131/(Module!$I$5))*$G$122)/100)*Module!$D$22</f>
        <v>4.6512719412886456</v>
      </c>
      <c r="G131" s="253">
        <f t="shared" si="3"/>
        <v>87.302988999087717</v>
      </c>
      <c r="H131" s="1"/>
      <c r="I131" s="568"/>
      <c r="J131" s="42">
        <v>6</v>
      </c>
      <c r="K131" s="41">
        <v>1.0036669136885199</v>
      </c>
      <c r="L131" s="40"/>
      <c r="Q131" s="50"/>
      <c r="R131" s="50"/>
      <c r="S131" s="50"/>
      <c r="T131" s="50"/>
      <c r="U131" s="50"/>
      <c r="V131" s="50"/>
      <c r="W131" s="50"/>
      <c r="X131" s="50"/>
      <c r="Y131" s="50"/>
      <c r="Z131" s="50"/>
      <c r="AA131" s="50"/>
      <c r="AB131" s="50"/>
      <c r="AC131" s="50"/>
      <c r="AD131" s="50"/>
      <c r="AE131" s="50"/>
      <c r="AF131" s="50"/>
      <c r="AG131" s="50"/>
      <c r="AH131" s="50"/>
      <c r="AI131" s="50"/>
      <c r="AJ131" s="50"/>
      <c r="AK131" s="50"/>
      <c r="AL131" s="50"/>
      <c r="AM131" s="50"/>
      <c r="AN131" s="50"/>
      <c r="AO131" s="50"/>
      <c r="AP131" s="50"/>
      <c r="AQ131" s="50"/>
      <c r="AR131" s="50"/>
      <c r="AS131" s="50"/>
      <c r="AT131" s="50"/>
      <c r="AU131" s="50"/>
      <c r="AV131" s="50"/>
      <c r="AW131" s="50"/>
      <c r="AX131" s="50"/>
      <c r="AY131" s="50"/>
      <c r="AZ131" s="50"/>
      <c r="BA131" s="50"/>
      <c r="BB131" s="50"/>
      <c r="BC131" s="50"/>
      <c r="BD131" s="50"/>
      <c r="BE131" s="50"/>
      <c r="BF131" s="50"/>
      <c r="BG131" s="50"/>
      <c r="BH131" s="50"/>
      <c r="BI131" s="50"/>
      <c r="BJ131" s="50"/>
      <c r="BK131" s="50"/>
      <c r="BL131" s="50"/>
      <c r="BM131" s="50"/>
      <c r="BN131" s="50"/>
      <c r="BO131" s="50"/>
      <c r="BP131" s="50"/>
      <c r="BQ131" s="50"/>
      <c r="BR131" s="50"/>
      <c r="BS131" s="50"/>
      <c r="BT131" s="50"/>
      <c r="BU131" s="50"/>
      <c r="BV131" s="50"/>
    </row>
    <row r="132" spans="1:74">
      <c r="A132" s="254" t="s">
        <v>14</v>
      </c>
      <c r="B132" s="42">
        <f>Module!C31</f>
        <v>63</v>
      </c>
      <c r="C132" s="43">
        <f>VLOOKUP(Module!$H$2,$A$3:$AP$64,40,0)*VLOOKUP(Module!B31,$J$126:$K$134,2,0)^Module!D32*$J$123</f>
        <v>25.341876069802012</v>
      </c>
      <c r="D132" s="253">
        <f t="shared" si="2"/>
        <v>88.341876069802012</v>
      </c>
      <c r="E132" s="253">
        <f>B132+(C132/(Module!$I$5))*(Module!$I$5-Module!$D$22)</f>
        <v>84.340527216675383</v>
      </c>
      <c r="F132" s="253">
        <f>((C132/(Module!$I$5))+((C132/(Module!$I$5))*$G$122)/100)*Module!$D$22</f>
        <v>5.3217939746584229</v>
      </c>
      <c r="G132" s="253">
        <f t="shared" si="3"/>
        <v>89.662321191333803</v>
      </c>
      <c r="H132" s="1"/>
      <c r="I132" s="568"/>
      <c r="J132" s="42">
        <v>7</v>
      </c>
      <c r="K132" s="41">
        <v>1.00430482472465</v>
      </c>
      <c r="L132" s="40"/>
      <c r="Q132" s="50"/>
      <c r="R132" s="50"/>
      <c r="S132" s="50"/>
      <c r="T132" s="50"/>
      <c r="U132" s="50"/>
      <c r="V132" s="50"/>
      <c r="W132" s="50"/>
      <c r="X132" s="50"/>
      <c r="Y132" s="50"/>
      <c r="Z132" s="50"/>
      <c r="AA132" s="50"/>
      <c r="AB132" s="50"/>
      <c r="AC132" s="50"/>
      <c r="AD132" s="50"/>
      <c r="AE132" s="50"/>
      <c r="AF132" s="50"/>
      <c r="AG132" s="50"/>
      <c r="AH132" s="50"/>
      <c r="AI132" s="50"/>
      <c r="AJ132" s="50"/>
      <c r="AK132" s="50"/>
      <c r="AL132" s="50"/>
      <c r="AM132" s="50"/>
      <c r="AN132" s="50"/>
      <c r="AO132" s="50"/>
      <c r="AP132" s="50"/>
      <c r="AQ132" s="50"/>
      <c r="AR132" s="50"/>
      <c r="AS132" s="50"/>
      <c r="AT132" s="50"/>
      <c r="AU132" s="50"/>
      <c r="AV132" s="50"/>
      <c r="AW132" s="50"/>
      <c r="AX132" s="50"/>
      <c r="AY132" s="50"/>
      <c r="AZ132" s="50"/>
      <c r="BA132" s="50"/>
      <c r="BB132" s="50"/>
      <c r="BC132" s="50"/>
      <c r="BD132" s="50"/>
      <c r="BE132" s="50"/>
      <c r="BF132" s="50"/>
      <c r="BG132" s="50"/>
      <c r="BH132" s="50"/>
      <c r="BI132" s="50"/>
      <c r="BJ132" s="50"/>
      <c r="BK132" s="50"/>
      <c r="BL132" s="50"/>
      <c r="BM132" s="50"/>
      <c r="BN132" s="50"/>
      <c r="BO132" s="50"/>
      <c r="BP132" s="50"/>
      <c r="BQ132" s="50"/>
      <c r="BR132" s="50"/>
      <c r="BS132" s="50"/>
      <c r="BT132" s="50"/>
      <c r="BU132" s="50"/>
      <c r="BV132" s="50"/>
    </row>
    <row r="133" spans="1:74">
      <c r="A133" s="254" t="s">
        <v>10</v>
      </c>
      <c r="B133" s="42">
        <f>Module!C32</f>
        <v>57</v>
      </c>
      <c r="C133" s="43">
        <f>VLOOKUP(Module!$H$2,$A$3:$AP$64,41,0)*VLOOKUP(Module!B32,$J$126:$K$134,2,0)^Module!D32*$J$123</f>
        <v>25.840399673825811</v>
      </c>
      <c r="D133" s="253">
        <f t="shared" si="2"/>
        <v>82.840399673825814</v>
      </c>
      <c r="E133" s="253">
        <f>B133+(C133/(Module!$I$5))*(Module!$I$5-Module!$D$22)</f>
        <v>78.760336567432262</v>
      </c>
      <c r="F133" s="253">
        <f>((C133/(Module!$I$5))+((C133/(Module!$I$5))*$G$122)/100)*Module!$D$22</f>
        <v>5.4264839315034203</v>
      </c>
      <c r="G133" s="253">
        <f t="shared" si="3"/>
        <v>84.186820498935688</v>
      </c>
      <c r="H133" s="1"/>
      <c r="I133" s="568"/>
      <c r="J133" s="42">
        <v>8</v>
      </c>
      <c r="K133" s="41">
        <v>1.0094700000000001</v>
      </c>
      <c r="L133" s="232"/>
      <c r="Q133" s="50"/>
      <c r="R133" s="50"/>
      <c r="S133" s="50"/>
      <c r="T133" s="50"/>
      <c r="U133" s="50"/>
      <c r="V133" s="50"/>
      <c r="W133" s="50"/>
      <c r="X133" s="50"/>
      <c r="Y133" s="50"/>
      <c r="Z133" s="50"/>
      <c r="AA133" s="50"/>
      <c r="AB133" s="50"/>
      <c r="AC133" s="50"/>
      <c r="AD133" s="50"/>
      <c r="AE133" s="50"/>
      <c r="AF133" s="50"/>
      <c r="AG133" s="50"/>
      <c r="AH133" s="50"/>
      <c r="AI133" s="50"/>
      <c r="AJ133" s="50"/>
      <c r="AK133" s="50"/>
      <c r="AL133" s="50"/>
      <c r="AM133" s="50"/>
      <c r="AN133" s="50"/>
      <c r="AO133" s="50"/>
      <c r="AP133" s="50"/>
      <c r="AQ133" s="50"/>
      <c r="AR133" s="50"/>
      <c r="AS133" s="50"/>
      <c r="AT133" s="50"/>
      <c r="AU133" s="50"/>
      <c r="AV133" s="50"/>
      <c r="AW133" s="50"/>
      <c r="AX133" s="50"/>
      <c r="AY133" s="50"/>
      <c r="AZ133" s="50"/>
      <c r="BA133" s="50"/>
      <c r="BB133" s="50"/>
      <c r="BC133" s="50"/>
      <c r="BD133" s="50"/>
      <c r="BE133" s="50"/>
      <c r="BF133" s="50"/>
      <c r="BG133" s="50"/>
      <c r="BH133" s="50"/>
      <c r="BI133" s="50"/>
      <c r="BJ133" s="50"/>
      <c r="BK133" s="50"/>
      <c r="BL133" s="50"/>
      <c r="BM133" s="50"/>
      <c r="BN133" s="50"/>
      <c r="BO133" s="50"/>
      <c r="BP133" s="50"/>
      <c r="BQ133" s="50"/>
      <c r="BR133" s="50"/>
      <c r="BS133" s="50"/>
      <c r="BT133" s="50"/>
      <c r="BU133" s="50"/>
      <c r="BV133" s="50"/>
    </row>
    <row r="134" spans="1:74">
      <c r="A134" s="254" t="s">
        <v>26</v>
      </c>
      <c r="B134" s="42">
        <f>Module!C33</f>
        <v>0</v>
      </c>
      <c r="C134" s="43">
        <f>VLOOKUP(Module!$H$2,$A$3:$AP$64,42,0)*VLOOKUP(Module!B33,$J$126:$K$134,2,0)^Module!D32*$J$123</f>
        <v>12.19434744260572</v>
      </c>
      <c r="D134" s="253">
        <f t="shared" si="2"/>
        <v>12.19434744260572</v>
      </c>
      <c r="E134" s="253">
        <f>B134+(C134/(Module!$I$5))*(Module!$I$5-Module!$D$22)</f>
        <v>10.26892416219429</v>
      </c>
      <c r="F134" s="253">
        <f>((C134/(Module!$I$5))+((C134/(Module!$I$5))*$G$122)/100)*Module!$D$22</f>
        <v>2.5608129629472014</v>
      </c>
      <c r="G134" s="253">
        <f t="shared" si="3"/>
        <v>12.829737125141492</v>
      </c>
      <c r="H134" s="1"/>
      <c r="I134" s="569"/>
      <c r="J134" s="42">
        <v>9</v>
      </c>
      <c r="K134" s="41">
        <v>1.014</v>
      </c>
      <c r="L134" s="232"/>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50"/>
      <c r="AZ134" s="50"/>
      <c r="BA134" s="50"/>
      <c r="BB134" s="50"/>
      <c r="BC134" s="50"/>
      <c r="BD134" s="50"/>
      <c r="BE134" s="50"/>
      <c r="BF134" s="50"/>
      <c r="BG134" s="50"/>
      <c r="BH134" s="50"/>
      <c r="BI134" s="50"/>
      <c r="BJ134" s="50"/>
      <c r="BK134" s="50"/>
      <c r="BL134" s="50"/>
      <c r="BM134" s="50"/>
      <c r="BN134" s="50"/>
      <c r="BO134" s="50"/>
      <c r="BP134" s="50"/>
      <c r="BQ134" s="50"/>
      <c r="BR134" s="50"/>
      <c r="BS134" s="50"/>
      <c r="BT134" s="50"/>
      <c r="BU134" s="50"/>
      <c r="BV134" s="50"/>
    </row>
    <row r="135" spans="1:74">
      <c r="A135" s="1"/>
      <c r="B135" s="1"/>
      <c r="C135" s="1"/>
      <c r="D135" s="1"/>
      <c r="E135" s="1"/>
      <c r="F135" s="1"/>
      <c r="G135" s="1"/>
      <c r="H135" s="1"/>
      <c r="I135" s="1"/>
      <c r="J135" s="1"/>
      <c r="K135" s="1"/>
      <c r="L135" s="1"/>
      <c r="M135" s="1"/>
      <c r="N135" s="1"/>
      <c r="O135" s="1"/>
      <c r="P135" s="1"/>
      <c r="Q135" s="50"/>
      <c r="R135" s="50"/>
      <c r="S135" s="50"/>
      <c r="T135" s="50"/>
      <c r="U135" s="50"/>
      <c r="V135" s="50"/>
      <c r="W135" s="50"/>
      <c r="X135" s="50"/>
      <c r="Y135" s="50"/>
      <c r="Z135" s="50"/>
      <c r="AA135" s="50"/>
      <c r="AB135" s="50"/>
      <c r="AC135" s="50"/>
      <c r="AD135" s="50"/>
      <c r="AE135" s="50"/>
      <c r="AF135" s="50"/>
      <c r="AG135" s="50"/>
      <c r="AH135" s="50"/>
      <c r="AI135" s="50"/>
      <c r="AJ135" s="50"/>
      <c r="AK135" s="50"/>
      <c r="AL135" s="50"/>
      <c r="AM135" s="50"/>
      <c r="AN135" s="50"/>
      <c r="AO135" s="50"/>
      <c r="AP135" s="50"/>
      <c r="AQ135" s="50"/>
      <c r="AR135" s="50"/>
      <c r="AS135" s="50"/>
      <c r="AT135" s="50"/>
      <c r="AU135" s="50"/>
      <c r="AV135" s="50"/>
      <c r="AW135" s="50"/>
      <c r="AX135" s="50"/>
      <c r="AY135" s="50"/>
      <c r="AZ135" s="50"/>
      <c r="BA135" s="50"/>
      <c r="BB135" s="50"/>
      <c r="BC135" s="50"/>
      <c r="BD135" s="50"/>
      <c r="BE135" s="50"/>
      <c r="BF135" s="50"/>
      <c r="BG135" s="50"/>
      <c r="BH135" s="50"/>
      <c r="BI135" s="50"/>
      <c r="BJ135" s="50"/>
      <c r="BK135" s="50"/>
      <c r="BL135" s="50"/>
      <c r="BM135" s="50"/>
      <c r="BN135" s="50"/>
      <c r="BO135" s="50"/>
      <c r="BP135" s="50"/>
      <c r="BQ135" s="50"/>
      <c r="BR135" s="50"/>
      <c r="BS135" s="50"/>
      <c r="BT135" s="50"/>
      <c r="BU135" s="50"/>
      <c r="BV135" s="50"/>
    </row>
    <row r="136" spans="1:74">
      <c r="A136" s="233" t="s">
        <v>177</v>
      </c>
      <c r="B136" s="233">
        <v>1</v>
      </c>
      <c r="C136" s="1"/>
      <c r="D136" s="1"/>
      <c r="E136" s="1"/>
      <c r="F136" s="1"/>
      <c r="G136" s="1"/>
      <c r="H136" s="1"/>
      <c r="I136" s="1"/>
      <c r="J136" s="1"/>
      <c r="K136" s="1"/>
      <c r="L136" s="1"/>
      <c r="M136" s="1"/>
      <c r="N136" s="1"/>
      <c r="O136" s="1"/>
      <c r="P136" s="1"/>
      <c r="Q136" s="50"/>
      <c r="R136" s="50"/>
      <c r="S136" s="50"/>
      <c r="T136" s="50"/>
      <c r="U136" s="50"/>
      <c r="V136" s="50"/>
      <c r="W136" s="50"/>
      <c r="X136" s="50"/>
      <c r="Y136" s="50"/>
      <c r="Z136" s="50"/>
      <c r="AA136" s="50"/>
      <c r="AB136" s="50"/>
      <c r="AC136" s="50"/>
      <c r="AD136" s="50"/>
      <c r="AE136" s="50"/>
      <c r="AF136" s="50"/>
      <c r="AG136" s="50"/>
      <c r="AH136" s="50"/>
      <c r="AI136" s="50"/>
      <c r="AJ136" s="50"/>
      <c r="AK136" s="50"/>
      <c r="AL136" s="50"/>
      <c r="AM136" s="50"/>
      <c r="AN136" s="50"/>
      <c r="AO136" s="50"/>
      <c r="AP136" s="50"/>
      <c r="AQ136" s="50"/>
      <c r="AR136" s="50"/>
      <c r="AS136" s="50"/>
      <c r="AT136" s="50"/>
      <c r="AU136" s="50"/>
      <c r="AV136" s="50"/>
      <c r="AW136" s="50"/>
      <c r="AX136" s="50"/>
      <c r="AY136" s="50"/>
      <c r="AZ136" s="50"/>
      <c r="BA136" s="50"/>
      <c r="BB136" s="50"/>
      <c r="BC136" s="50"/>
      <c r="BD136" s="50"/>
      <c r="BE136" s="50"/>
      <c r="BF136" s="50"/>
      <c r="BG136" s="50"/>
      <c r="BH136" s="50"/>
      <c r="BI136" s="50"/>
      <c r="BJ136" s="50"/>
      <c r="BK136" s="50"/>
      <c r="BL136" s="50"/>
      <c r="BM136" s="50"/>
      <c r="BN136" s="50"/>
      <c r="BO136" s="50"/>
      <c r="BP136" s="50"/>
      <c r="BQ136" s="50"/>
      <c r="BR136" s="50"/>
      <c r="BS136" s="50"/>
      <c r="BT136" s="50"/>
      <c r="BU136" s="50"/>
      <c r="BV136" s="50"/>
    </row>
    <row r="137" spans="1:74">
      <c r="A137" s="233" t="s">
        <v>167</v>
      </c>
      <c r="B137" s="233">
        <v>1.2</v>
      </c>
      <c r="C137" s="1"/>
      <c r="D137" s="1"/>
      <c r="E137" s="1"/>
      <c r="F137" s="1"/>
      <c r="G137" s="1"/>
      <c r="H137" s="1"/>
      <c r="I137" s="1"/>
      <c r="J137" s="1"/>
      <c r="K137" s="1"/>
      <c r="L137" s="1"/>
      <c r="M137" s="1"/>
      <c r="N137" s="1"/>
      <c r="O137" s="1"/>
      <c r="P137" s="1"/>
      <c r="Q137" s="50"/>
      <c r="R137" s="50"/>
      <c r="S137" s="50"/>
      <c r="T137" s="50"/>
      <c r="U137" s="50"/>
      <c r="V137" s="50"/>
      <c r="W137" s="50"/>
      <c r="X137" s="50"/>
      <c r="Y137" s="50"/>
      <c r="Z137" s="50"/>
      <c r="AA137" s="50"/>
      <c r="AB137" s="50"/>
      <c r="AC137" s="50"/>
      <c r="AD137" s="50"/>
      <c r="AE137" s="50"/>
      <c r="AF137" s="50"/>
      <c r="AG137" s="50"/>
      <c r="AH137" s="50"/>
      <c r="AI137" s="50"/>
      <c r="AJ137" s="50"/>
      <c r="AK137" s="50"/>
      <c r="AL137" s="50"/>
      <c r="AM137" s="50"/>
      <c r="AN137" s="50"/>
      <c r="AO137" s="50"/>
      <c r="AP137" s="50"/>
      <c r="AQ137" s="50"/>
      <c r="AR137" s="50"/>
      <c r="AS137" s="50"/>
      <c r="AT137" s="50"/>
      <c r="AU137" s="50"/>
      <c r="AV137" s="50"/>
      <c r="AW137" s="50"/>
      <c r="AX137" s="50"/>
      <c r="AY137" s="50"/>
      <c r="AZ137" s="50"/>
      <c r="BA137" s="50"/>
      <c r="BB137" s="50"/>
      <c r="BC137" s="50"/>
      <c r="BD137" s="50"/>
      <c r="BE137" s="50"/>
      <c r="BF137" s="50"/>
      <c r="BG137" s="50"/>
      <c r="BH137" s="50"/>
      <c r="BI137" s="50"/>
      <c r="BJ137" s="50"/>
      <c r="BK137" s="50"/>
      <c r="BL137" s="50"/>
      <c r="BM137" s="50"/>
      <c r="BN137" s="50"/>
      <c r="BO137" s="50"/>
      <c r="BP137" s="50"/>
      <c r="BQ137" s="50"/>
      <c r="BR137" s="50"/>
      <c r="BS137" s="50"/>
      <c r="BT137" s="50"/>
      <c r="BU137" s="50"/>
      <c r="BV137" s="50"/>
    </row>
    <row r="138" spans="1:74">
      <c r="A138" s="233" t="s">
        <v>171</v>
      </c>
      <c r="B138" s="233">
        <v>1.44</v>
      </c>
      <c r="C138" s="1"/>
      <c r="D138" s="1"/>
      <c r="E138" s="1"/>
      <c r="F138" s="1"/>
      <c r="G138" s="1"/>
      <c r="H138" s="1"/>
      <c r="I138" s="1"/>
      <c r="J138" s="1"/>
      <c r="K138" s="1"/>
      <c r="L138" s="1"/>
      <c r="M138" s="1"/>
      <c r="N138" s="1"/>
      <c r="O138" s="1"/>
      <c r="P138" s="1"/>
      <c r="Q138" s="50"/>
      <c r="R138" s="50"/>
      <c r="S138" s="50"/>
      <c r="T138" s="50"/>
      <c r="U138" s="50"/>
      <c r="V138" s="50"/>
      <c r="W138" s="50"/>
      <c r="X138" s="50"/>
      <c r="Y138" s="50"/>
      <c r="Z138" s="50"/>
      <c r="AA138" s="50"/>
      <c r="AB138" s="50"/>
      <c r="AC138" s="50"/>
      <c r="AD138" s="50"/>
      <c r="AE138" s="50"/>
      <c r="AF138" s="50"/>
      <c r="AG138" s="50"/>
      <c r="AH138" s="50"/>
      <c r="AI138" s="50"/>
      <c r="AJ138" s="50"/>
      <c r="AK138" s="50"/>
      <c r="AL138" s="50"/>
      <c r="AM138" s="50"/>
      <c r="AN138" s="50"/>
      <c r="AO138" s="50"/>
      <c r="AP138" s="50"/>
      <c r="AQ138" s="50"/>
      <c r="AR138" s="50"/>
      <c r="AS138" s="50"/>
      <c r="AT138" s="50"/>
      <c r="AU138" s="50"/>
      <c r="AV138" s="50"/>
      <c r="AW138" s="50"/>
      <c r="AX138" s="50"/>
      <c r="AY138" s="50"/>
      <c r="AZ138" s="50"/>
      <c r="BA138" s="50"/>
      <c r="BB138" s="50"/>
      <c r="BC138" s="50"/>
      <c r="BD138" s="50"/>
      <c r="BE138" s="50"/>
      <c r="BF138" s="50"/>
      <c r="BG138" s="50"/>
      <c r="BH138" s="50"/>
      <c r="BI138" s="50"/>
      <c r="BJ138" s="50"/>
      <c r="BK138" s="50"/>
      <c r="BL138" s="50"/>
      <c r="BM138" s="50"/>
      <c r="BN138" s="50"/>
      <c r="BO138" s="50"/>
      <c r="BP138" s="50"/>
      <c r="BQ138" s="50"/>
      <c r="BR138" s="50"/>
      <c r="BS138" s="50"/>
      <c r="BT138" s="50"/>
      <c r="BU138" s="50"/>
      <c r="BV138" s="50"/>
    </row>
    <row r="139" spans="1:74">
      <c r="A139" s="233" t="s">
        <v>169</v>
      </c>
      <c r="B139" s="233">
        <v>1.7279999999999998</v>
      </c>
      <c r="C139" s="1"/>
      <c r="D139" s="1"/>
      <c r="E139" s="1"/>
      <c r="F139" s="1"/>
      <c r="G139" s="1"/>
      <c r="H139" s="1"/>
      <c r="I139" s="1"/>
      <c r="J139" s="1"/>
      <c r="K139" s="1"/>
      <c r="L139" s="1"/>
      <c r="M139" s="1"/>
      <c r="N139" s="1"/>
      <c r="O139" s="1"/>
      <c r="P139" s="1"/>
      <c r="Q139" s="50"/>
      <c r="R139" s="50"/>
      <c r="S139" s="50"/>
      <c r="T139" s="50"/>
      <c r="U139" s="50"/>
      <c r="V139" s="50"/>
      <c r="W139" s="50"/>
      <c r="X139" s="50"/>
      <c r="Y139" s="50"/>
      <c r="Z139" s="50"/>
      <c r="AA139" s="50"/>
      <c r="AB139" s="50"/>
      <c r="AC139" s="50"/>
      <c r="AD139" s="50"/>
      <c r="AE139" s="50"/>
      <c r="AF139" s="50"/>
      <c r="AG139" s="50"/>
      <c r="AH139" s="50"/>
      <c r="AI139" s="50"/>
      <c r="AJ139" s="50"/>
      <c r="AK139" s="50"/>
      <c r="AL139" s="50"/>
      <c r="AM139" s="50"/>
      <c r="AN139" s="50"/>
      <c r="AO139" s="50"/>
      <c r="AP139" s="50"/>
      <c r="AQ139" s="50"/>
      <c r="AR139" s="50"/>
      <c r="AS139" s="50"/>
      <c r="AT139" s="50"/>
      <c r="AU139" s="50"/>
      <c r="AV139" s="50"/>
      <c r="AW139" s="50"/>
      <c r="AX139" s="50"/>
      <c r="AY139" s="50"/>
      <c r="AZ139" s="50"/>
      <c r="BA139" s="50"/>
      <c r="BB139" s="50"/>
      <c r="BC139" s="50"/>
      <c r="BD139" s="50"/>
      <c r="BE139" s="50"/>
      <c r="BF139" s="50"/>
      <c r="BG139" s="50"/>
      <c r="BH139" s="50"/>
      <c r="BI139" s="50"/>
      <c r="BJ139" s="50"/>
      <c r="BK139" s="50"/>
      <c r="BL139" s="50"/>
      <c r="BM139" s="50"/>
      <c r="BN139" s="50"/>
      <c r="BO139" s="50"/>
      <c r="BP139" s="50"/>
      <c r="BQ139" s="50"/>
      <c r="BR139" s="50"/>
      <c r="BS139" s="50"/>
      <c r="BT139" s="50"/>
      <c r="BU139" s="50"/>
      <c r="BV139" s="50"/>
    </row>
    <row r="140" spans="1:74">
      <c r="A140" s="233" t="s">
        <v>173</v>
      </c>
      <c r="B140" s="233">
        <v>2.0735999999999999</v>
      </c>
      <c r="C140" s="1"/>
      <c r="D140" s="1"/>
      <c r="E140" s="1"/>
      <c r="F140" s="1"/>
      <c r="G140" s="1"/>
      <c r="H140" s="1"/>
      <c r="I140" s="1"/>
      <c r="J140" s="1"/>
      <c r="K140" s="1"/>
      <c r="L140" s="1"/>
      <c r="M140" s="1"/>
      <c r="N140" s="1"/>
      <c r="O140" s="1"/>
      <c r="P140" s="1"/>
      <c r="Q140" s="50"/>
      <c r="R140" s="50"/>
      <c r="S140" s="50"/>
      <c r="T140" s="50"/>
      <c r="U140" s="50"/>
      <c r="V140" s="50"/>
      <c r="W140" s="50"/>
      <c r="X140" s="50"/>
      <c r="Y140" s="50"/>
      <c r="Z140" s="50"/>
      <c r="AA140" s="50"/>
      <c r="AB140" s="50"/>
      <c r="AC140" s="50"/>
      <c r="AD140" s="50"/>
      <c r="AE140" s="50"/>
      <c r="AF140" s="50"/>
      <c r="AG140" s="50"/>
      <c r="AH140" s="50"/>
      <c r="AI140" s="50"/>
      <c r="AJ140" s="50"/>
      <c r="AK140" s="50"/>
      <c r="AL140" s="50"/>
      <c r="AM140" s="50"/>
      <c r="AN140" s="50"/>
      <c r="AO140" s="50"/>
      <c r="AP140" s="50"/>
      <c r="AQ140" s="50"/>
      <c r="AR140" s="50"/>
      <c r="AS140" s="50"/>
      <c r="AT140" s="50"/>
      <c r="AU140" s="50"/>
      <c r="AV140" s="50"/>
      <c r="AW140" s="50"/>
      <c r="AX140" s="50"/>
      <c r="AY140" s="50"/>
      <c r="AZ140" s="50"/>
      <c r="BA140" s="50"/>
      <c r="BB140" s="50"/>
      <c r="BC140" s="50"/>
      <c r="BD140" s="50"/>
      <c r="BE140" s="50"/>
      <c r="BF140" s="50"/>
      <c r="BG140" s="50"/>
      <c r="BH140" s="50"/>
      <c r="BI140" s="50"/>
      <c r="BJ140" s="50"/>
      <c r="BK140" s="50"/>
      <c r="BL140" s="50"/>
      <c r="BM140" s="50"/>
      <c r="BN140" s="50"/>
      <c r="BO140" s="50"/>
      <c r="BP140" s="50"/>
      <c r="BQ140" s="50"/>
      <c r="BR140" s="50"/>
      <c r="BS140" s="50"/>
      <c r="BT140" s="50"/>
      <c r="BU140" s="50"/>
      <c r="BV140" s="50"/>
    </row>
    <row r="141" spans="1:74">
      <c r="A141" s="296" t="s">
        <v>341</v>
      </c>
      <c r="B141" s="300" t="s">
        <v>342</v>
      </c>
      <c r="C141" s="50"/>
      <c r="D141" s="50"/>
      <c r="E141" s="50"/>
      <c r="F141" s="50"/>
      <c r="G141" s="50"/>
      <c r="H141" s="50"/>
      <c r="I141" s="50"/>
      <c r="J141" s="50"/>
      <c r="K141" s="50"/>
      <c r="L141" s="50"/>
      <c r="M141" s="50"/>
      <c r="N141" s="50"/>
      <c r="O141" s="50"/>
      <c r="P141" s="50"/>
      <c r="Q141" s="50"/>
      <c r="R141" s="50"/>
      <c r="S141" s="50"/>
      <c r="T141" s="50"/>
      <c r="U141" s="50"/>
      <c r="V141" s="50"/>
      <c r="W141" s="50"/>
      <c r="X141" s="50"/>
      <c r="Y141" s="50"/>
      <c r="Z141" s="50"/>
      <c r="AA141" s="50"/>
      <c r="AB141" s="50"/>
      <c r="AC141" s="50"/>
      <c r="AD141" s="50"/>
      <c r="AE141" s="50"/>
      <c r="AF141" s="50"/>
      <c r="AG141" s="50"/>
      <c r="AH141" s="50"/>
      <c r="AI141" s="50"/>
      <c r="AJ141" s="50"/>
      <c r="AK141" s="50"/>
      <c r="AL141" s="50"/>
      <c r="AM141" s="50"/>
      <c r="AN141" s="50"/>
      <c r="AO141" s="50"/>
      <c r="AP141" s="50"/>
      <c r="AQ141" s="50"/>
      <c r="AR141" s="50"/>
      <c r="AS141" s="50"/>
      <c r="AT141" s="50"/>
      <c r="AU141" s="50"/>
      <c r="AV141" s="50"/>
      <c r="AW141" s="50"/>
      <c r="AX141" s="50"/>
      <c r="AY141" s="50"/>
      <c r="AZ141" s="50"/>
      <c r="BA141" s="50"/>
      <c r="BB141" s="50"/>
      <c r="BC141" s="50"/>
      <c r="BD141" s="50"/>
      <c r="BE141" s="50"/>
      <c r="BF141" s="50"/>
      <c r="BG141" s="50"/>
      <c r="BH141" s="50"/>
      <c r="BI141" s="50"/>
      <c r="BJ141" s="50"/>
      <c r="BK141" s="50"/>
      <c r="BL141" s="50"/>
      <c r="BM141" s="50"/>
      <c r="BN141" s="50"/>
      <c r="BO141" s="50"/>
      <c r="BP141" s="50"/>
      <c r="BQ141" s="50"/>
      <c r="BR141" s="50"/>
      <c r="BS141" s="50"/>
      <c r="BT141" s="50"/>
      <c r="BU141" s="50"/>
      <c r="BV141" s="50"/>
    </row>
    <row r="142" spans="1:74">
      <c r="B142" s="50"/>
      <c r="C142" s="50"/>
      <c r="D142" s="50"/>
      <c r="E142" s="50"/>
      <c r="F142" s="50"/>
      <c r="G142" s="50"/>
      <c r="H142" s="50"/>
      <c r="I142" s="50"/>
      <c r="J142" s="50"/>
      <c r="K142" s="50"/>
      <c r="L142" s="50"/>
      <c r="M142" s="50"/>
      <c r="N142" s="50"/>
      <c r="O142" s="50"/>
      <c r="P142" s="50"/>
      <c r="Q142" s="50"/>
      <c r="R142" s="50"/>
      <c r="S142" s="50"/>
      <c r="T142" s="50"/>
      <c r="U142" s="50"/>
      <c r="V142" s="50"/>
      <c r="W142" s="50"/>
      <c r="X142" s="50"/>
      <c r="Y142" s="50"/>
      <c r="Z142" s="50"/>
      <c r="AA142" s="50"/>
      <c r="AB142" s="50"/>
      <c r="AC142" s="50"/>
      <c r="AD142" s="50"/>
      <c r="AE142" s="50"/>
      <c r="AF142" s="50"/>
      <c r="AG142" s="50"/>
      <c r="AH142" s="50"/>
      <c r="AI142" s="50"/>
      <c r="AJ142" s="50"/>
      <c r="AK142" s="50"/>
      <c r="AL142" s="50"/>
      <c r="AM142" s="50"/>
      <c r="AN142" s="50"/>
      <c r="AO142" s="50"/>
      <c r="AP142" s="50"/>
      <c r="AQ142" s="50"/>
      <c r="AR142" s="50"/>
      <c r="AS142" s="50"/>
      <c r="AT142" s="50"/>
      <c r="AU142" s="50"/>
      <c r="AV142" s="50"/>
      <c r="AW142" s="50"/>
      <c r="AX142" s="50"/>
      <c r="AY142" s="50"/>
      <c r="AZ142" s="50"/>
      <c r="BA142" s="50"/>
      <c r="BB142" s="50"/>
      <c r="BC142" s="50"/>
      <c r="BD142" s="50"/>
      <c r="BE142" s="50"/>
      <c r="BF142" s="50"/>
      <c r="BG142" s="50"/>
      <c r="BH142" s="50"/>
      <c r="BI142" s="50"/>
      <c r="BJ142" s="50"/>
      <c r="BK142" s="50"/>
      <c r="BL142" s="50"/>
      <c r="BM142" s="50"/>
      <c r="BN142" s="50"/>
      <c r="BO142" s="50"/>
      <c r="BP142" s="50"/>
      <c r="BQ142" s="50"/>
      <c r="BR142" s="50"/>
      <c r="BS142" s="50"/>
      <c r="BT142" s="50"/>
      <c r="BU142" s="50"/>
      <c r="BV142" s="50"/>
    </row>
    <row r="143" spans="1:74">
      <c r="A143" s="593" t="s">
        <v>509</v>
      </c>
      <c r="B143" s="594"/>
      <c r="C143" s="594"/>
      <c r="D143" s="595"/>
      <c r="E143" s="585" t="s">
        <v>211</v>
      </c>
      <c r="F143" s="586"/>
      <c r="G143" s="50"/>
      <c r="H143" s="50"/>
      <c r="I143" s="50"/>
      <c r="J143" s="50"/>
      <c r="K143" s="50"/>
      <c r="L143" s="50"/>
      <c r="M143" s="50"/>
      <c r="N143" s="50"/>
      <c r="O143" s="50"/>
      <c r="P143" s="50"/>
      <c r="Q143" s="50"/>
      <c r="R143" s="50"/>
      <c r="S143" s="50"/>
      <c r="T143" s="50"/>
      <c r="U143" s="50"/>
      <c r="V143" s="50"/>
      <c r="W143" s="50"/>
      <c r="X143" s="50"/>
      <c r="Y143" s="50"/>
      <c r="Z143" s="50"/>
      <c r="AA143" s="50"/>
      <c r="AB143" s="50"/>
      <c r="AC143" s="50"/>
      <c r="AD143" s="50"/>
      <c r="AE143" s="50"/>
      <c r="AF143" s="50"/>
      <c r="AG143" s="50"/>
      <c r="AH143" s="50"/>
      <c r="AI143" s="50"/>
      <c r="AJ143" s="50"/>
      <c r="AK143" s="50"/>
      <c r="AL143" s="50"/>
      <c r="AM143" s="50"/>
      <c r="AN143" s="50"/>
      <c r="AO143" s="50"/>
      <c r="AP143" s="50"/>
      <c r="AQ143" s="50"/>
      <c r="AR143" s="50"/>
      <c r="AS143" s="50"/>
      <c r="AT143" s="50"/>
      <c r="AU143" s="50"/>
      <c r="AV143" s="50"/>
      <c r="AW143" s="50"/>
      <c r="AX143" s="50"/>
      <c r="AY143" s="50"/>
      <c r="AZ143" s="50"/>
      <c r="BA143" s="50"/>
      <c r="BB143" s="50"/>
      <c r="BC143" s="50"/>
      <c r="BD143" s="50"/>
      <c r="BE143" s="50"/>
      <c r="BF143" s="50"/>
      <c r="BG143" s="50"/>
      <c r="BH143" s="50"/>
      <c r="BI143" s="50"/>
      <c r="BJ143" s="50"/>
      <c r="BK143" s="50"/>
      <c r="BL143" s="50"/>
      <c r="BM143" s="50"/>
      <c r="BN143" s="50"/>
      <c r="BO143" s="50"/>
      <c r="BP143" s="50"/>
      <c r="BQ143" s="50"/>
      <c r="BR143" s="50"/>
      <c r="BS143" s="50"/>
      <c r="BT143" s="50"/>
      <c r="BU143" s="50"/>
      <c r="BV143" s="50"/>
    </row>
    <row r="144" spans="1:74">
      <c r="A144" s="596"/>
      <c r="B144" s="597"/>
      <c r="C144" s="597"/>
      <c r="D144" s="598"/>
      <c r="E144" s="587" t="s">
        <v>209</v>
      </c>
      <c r="F144" s="587"/>
      <c r="G144" s="50"/>
      <c r="H144" s="50"/>
      <c r="I144" s="50"/>
      <c r="J144" s="50"/>
      <c r="K144" s="50"/>
      <c r="L144" s="50"/>
      <c r="M144" s="50"/>
      <c r="N144" s="50"/>
      <c r="O144" s="50"/>
      <c r="P144" s="50"/>
      <c r="Q144" s="50"/>
      <c r="R144" s="50"/>
      <c r="S144" s="50"/>
      <c r="T144" s="50"/>
      <c r="U144" s="50"/>
      <c r="V144" s="50"/>
      <c r="W144" s="50"/>
      <c r="X144" s="50"/>
      <c r="Y144" s="50"/>
      <c r="Z144" s="50"/>
      <c r="AA144" s="50"/>
      <c r="AB144" s="50"/>
      <c r="AC144" s="50"/>
      <c r="AD144" s="50"/>
      <c r="AE144" s="50"/>
      <c r="AF144" s="50"/>
      <c r="AG144" s="50"/>
      <c r="AH144" s="50"/>
      <c r="AI144" s="50"/>
      <c r="AJ144" s="50"/>
      <c r="AK144" s="50"/>
      <c r="AL144" s="50"/>
      <c r="AM144" s="50"/>
      <c r="AN144" s="50"/>
      <c r="AO144" s="50"/>
      <c r="AP144" s="50"/>
      <c r="AQ144" s="50"/>
      <c r="AR144" s="50"/>
      <c r="AS144" s="50"/>
      <c r="AT144" s="50"/>
      <c r="AU144" s="50"/>
      <c r="AV144" s="50"/>
      <c r="AW144" s="50"/>
      <c r="AX144" s="50"/>
      <c r="AY144" s="50"/>
      <c r="AZ144" s="50"/>
      <c r="BA144" s="50"/>
      <c r="BB144" s="50"/>
      <c r="BC144" s="50"/>
      <c r="BD144" s="50"/>
      <c r="BE144" s="50"/>
      <c r="BF144" s="50"/>
      <c r="BG144" s="50"/>
      <c r="BH144" s="50"/>
      <c r="BI144" s="50"/>
      <c r="BJ144" s="50"/>
      <c r="BK144" s="50"/>
      <c r="BL144" s="50"/>
      <c r="BM144" s="50"/>
      <c r="BN144" s="50"/>
      <c r="BO144" s="50"/>
      <c r="BP144" s="50"/>
      <c r="BQ144" s="50"/>
      <c r="BR144" s="50"/>
      <c r="BS144" s="50"/>
      <c r="BT144" s="50"/>
      <c r="BU144" s="50"/>
      <c r="BV144" s="50"/>
    </row>
    <row r="145" spans="1:74" ht="25.5">
      <c r="A145" s="516" t="s">
        <v>68</v>
      </c>
      <c r="B145" s="588" t="str">
        <f>Module!H2</f>
        <v>Sakhir</v>
      </c>
      <c r="C145" s="589"/>
      <c r="D145" s="590"/>
      <c r="E145" s="591">
        <f>Module!$O$3</f>
        <v>300</v>
      </c>
      <c r="F145" s="592"/>
      <c r="G145" s="50"/>
      <c r="H145" s="50"/>
      <c r="I145" s="50"/>
      <c r="J145" s="50"/>
      <c r="K145" s="50"/>
      <c r="L145" s="50"/>
      <c r="M145" s="50"/>
      <c r="N145" s="50"/>
      <c r="O145" s="50"/>
      <c r="P145" s="50"/>
      <c r="Q145" s="50"/>
      <c r="R145" s="50"/>
      <c r="S145" s="50"/>
      <c r="T145" s="50"/>
      <c r="U145" s="50"/>
      <c r="V145" s="50"/>
      <c r="W145" s="50"/>
      <c r="X145" s="50"/>
      <c r="Y145" s="50"/>
      <c r="Z145" s="50"/>
      <c r="AA145" s="50"/>
      <c r="AB145" s="50"/>
      <c r="AC145" s="50"/>
      <c r="AD145" s="50"/>
      <c r="AE145" s="50"/>
      <c r="AF145" s="50"/>
      <c r="AG145" s="50"/>
      <c r="AH145" s="50"/>
      <c r="AI145" s="50"/>
      <c r="AJ145" s="50"/>
      <c r="AK145" s="50"/>
      <c r="AL145" s="50"/>
      <c r="AM145" s="50"/>
      <c r="AN145" s="50"/>
      <c r="AO145" s="50"/>
      <c r="AP145" s="50"/>
      <c r="AQ145" s="50"/>
      <c r="AR145" s="50"/>
      <c r="AS145" s="50"/>
      <c r="AT145" s="50"/>
      <c r="AU145" s="50"/>
      <c r="AV145" s="50"/>
      <c r="AW145" s="50"/>
      <c r="AX145" s="50"/>
      <c r="AY145" s="50"/>
      <c r="AZ145" s="50"/>
      <c r="BA145" s="50"/>
      <c r="BB145" s="50"/>
      <c r="BC145" s="50"/>
      <c r="BD145" s="50"/>
      <c r="BE145" s="50"/>
      <c r="BF145" s="50"/>
      <c r="BG145" s="50"/>
      <c r="BH145" s="50"/>
      <c r="BI145" s="50"/>
      <c r="BJ145" s="50"/>
      <c r="BK145" s="50"/>
      <c r="BL145" s="50"/>
      <c r="BM145" s="50"/>
      <c r="BN145" s="50"/>
      <c r="BO145" s="50"/>
      <c r="BP145" s="50"/>
      <c r="BQ145" s="50"/>
      <c r="BR145" s="50"/>
      <c r="BS145" s="50"/>
      <c r="BT145" s="50"/>
      <c r="BU145" s="50"/>
      <c r="BV145" s="50"/>
    </row>
    <row r="146" spans="1:74">
      <c r="A146" s="517"/>
      <c r="B146" s="516" t="s">
        <v>52</v>
      </c>
      <c r="C146" s="516" t="s">
        <v>51</v>
      </c>
      <c r="D146" s="518"/>
      <c r="E146" s="599" t="s">
        <v>210</v>
      </c>
      <c r="F146" s="600"/>
      <c r="G146" s="50"/>
      <c r="H146" s="50"/>
      <c r="I146" s="50"/>
      <c r="J146" s="50"/>
      <c r="K146" s="50"/>
      <c r="L146" s="50"/>
      <c r="M146" s="50"/>
      <c r="N146" s="50"/>
      <c r="O146" s="50"/>
      <c r="P146" s="50"/>
      <c r="Q146" s="50"/>
      <c r="R146" s="50"/>
      <c r="S146" s="50"/>
      <c r="T146" s="50"/>
      <c r="U146" s="50"/>
      <c r="V146" s="50"/>
      <c r="W146" s="50"/>
      <c r="X146" s="50"/>
      <c r="Y146" s="50"/>
      <c r="Z146" s="50"/>
      <c r="AA146" s="50"/>
      <c r="AB146" s="50"/>
      <c r="AC146" s="50"/>
      <c r="AD146" s="50"/>
      <c r="AE146" s="50"/>
      <c r="AF146" s="50"/>
      <c r="AG146" s="50"/>
      <c r="AH146" s="50"/>
      <c r="AI146" s="50"/>
      <c r="AJ146" s="50"/>
      <c r="AK146" s="50"/>
      <c r="AL146" s="50"/>
      <c r="AM146" s="50"/>
      <c r="AN146" s="50"/>
      <c r="AO146" s="50"/>
      <c r="AP146" s="50"/>
      <c r="AQ146" s="50"/>
      <c r="AR146" s="50"/>
      <c r="AS146" s="50"/>
      <c r="AT146" s="50"/>
      <c r="AU146" s="50"/>
      <c r="AV146" s="50"/>
      <c r="AW146" s="50"/>
      <c r="AX146" s="50"/>
      <c r="AY146" s="50"/>
      <c r="AZ146" s="50"/>
      <c r="BA146" s="50"/>
      <c r="BB146" s="50"/>
      <c r="BC146" s="50"/>
      <c r="BD146" s="50"/>
      <c r="BE146" s="50"/>
      <c r="BF146" s="50"/>
      <c r="BG146" s="50"/>
      <c r="BH146" s="50"/>
      <c r="BI146" s="50"/>
      <c r="BJ146" s="50"/>
      <c r="BK146" s="50"/>
      <c r="BL146" s="50"/>
      <c r="BM146" s="50"/>
      <c r="BN146" s="50"/>
      <c r="BO146" s="50"/>
      <c r="BP146" s="50"/>
      <c r="BQ146" s="50"/>
      <c r="BR146" s="50"/>
      <c r="BS146" s="50"/>
      <c r="BT146" s="50"/>
      <c r="BU146" s="50"/>
      <c r="BV146" s="50"/>
    </row>
    <row r="147" spans="1:74">
      <c r="A147" s="46" t="s">
        <v>44</v>
      </c>
      <c r="B147" s="519">
        <f>Module!$I$10</f>
        <v>23</v>
      </c>
      <c r="C147" s="519" t="str">
        <f>Module!$J$10</f>
        <v>Sec</v>
      </c>
      <c r="D147" s="518"/>
      <c r="E147" s="587" t="s">
        <v>209</v>
      </c>
      <c r="F147" s="587"/>
      <c r="G147" s="50"/>
      <c r="H147" s="50"/>
      <c r="I147" s="50"/>
      <c r="J147" s="50"/>
      <c r="K147" s="50"/>
      <c r="L147" s="50"/>
      <c r="M147" s="50"/>
      <c r="N147" s="50"/>
      <c r="O147" s="50"/>
      <c r="P147" s="50"/>
      <c r="Q147" s="50"/>
      <c r="R147" s="50"/>
      <c r="S147" s="50"/>
      <c r="T147" s="50"/>
      <c r="U147" s="50"/>
      <c r="V147" s="50"/>
      <c r="W147" s="50"/>
      <c r="X147" s="50"/>
      <c r="Y147" s="50"/>
      <c r="Z147" s="50"/>
      <c r="AA147" s="50"/>
      <c r="AB147" s="50"/>
      <c r="AC147" s="50"/>
      <c r="AD147" s="50"/>
      <c r="AE147" s="50"/>
      <c r="AF147" s="50"/>
      <c r="AG147" s="50"/>
      <c r="AH147" s="50"/>
      <c r="AI147" s="50"/>
      <c r="AJ147" s="50"/>
      <c r="AK147" s="50"/>
      <c r="AL147" s="50"/>
      <c r="AM147" s="50"/>
      <c r="AN147" s="50"/>
      <c r="AO147" s="50"/>
      <c r="AP147" s="50"/>
      <c r="AQ147" s="50"/>
      <c r="AR147" s="50"/>
      <c r="AS147" s="50"/>
      <c r="AT147" s="50"/>
      <c r="AU147" s="50"/>
      <c r="AV147" s="50"/>
      <c r="AW147" s="50"/>
      <c r="AX147" s="50"/>
      <c r="AY147" s="50"/>
      <c r="AZ147" s="50"/>
      <c r="BA147" s="50"/>
      <c r="BB147" s="50"/>
      <c r="BC147" s="50"/>
      <c r="BD147" s="50"/>
      <c r="BE147" s="50"/>
      <c r="BF147" s="50"/>
      <c r="BG147" s="50"/>
      <c r="BH147" s="50"/>
      <c r="BI147" s="50"/>
      <c r="BJ147" s="50"/>
      <c r="BK147" s="50"/>
      <c r="BL147" s="50"/>
      <c r="BM147" s="50"/>
      <c r="BN147" s="50"/>
      <c r="BO147" s="50"/>
      <c r="BP147" s="50"/>
      <c r="BQ147" s="50"/>
      <c r="BR147" s="50"/>
      <c r="BS147" s="50"/>
      <c r="BT147" s="50"/>
      <c r="BU147" s="50"/>
      <c r="BV147" s="50"/>
    </row>
    <row r="148" spans="1:74">
      <c r="A148" s="46" t="s">
        <v>32</v>
      </c>
      <c r="B148" s="519">
        <f>Module!$I$11</f>
        <v>19</v>
      </c>
      <c r="C148" s="519" t="str">
        <f>Module!$J$11</f>
        <v>Sec</v>
      </c>
      <c r="D148" s="518"/>
      <c r="E148" s="520" t="s">
        <v>21</v>
      </c>
      <c r="F148" s="519">
        <f>MROUND(SUM($E$145,$A$155),1)</f>
        <v>214</v>
      </c>
      <c r="G148" s="50"/>
      <c r="H148" s="50"/>
      <c r="I148" s="50"/>
      <c r="J148" s="50"/>
      <c r="K148" s="50"/>
      <c r="L148" s="50"/>
      <c r="M148" s="50"/>
      <c r="N148" s="50"/>
      <c r="O148" s="50"/>
      <c r="P148" s="50"/>
      <c r="Q148" s="50"/>
      <c r="R148" s="50"/>
      <c r="S148" s="50"/>
      <c r="T148" s="50"/>
      <c r="U148" s="50"/>
      <c r="V148" s="50"/>
      <c r="W148" s="50"/>
      <c r="X148" s="50"/>
      <c r="Y148" s="50"/>
      <c r="Z148" s="50"/>
      <c r="AA148" s="50"/>
      <c r="AB148" s="50"/>
      <c r="AC148" s="50"/>
      <c r="AD148" s="50"/>
      <c r="AE148" s="50"/>
      <c r="AF148" s="50"/>
      <c r="AG148" s="50"/>
      <c r="AH148" s="50"/>
      <c r="AI148" s="50"/>
      <c r="AJ148" s="50"/>
      <c r="AK148" s="50"/>
      <c r="AL148" s="50"/>
      <c r="AM148" s="50"/>
      <c r="AN148" s="50"/>
      <c r="AO148" s="50"/>
      <c r="AP148" s="50"/>
      <c r="AQ148" s="50"/>
      <c r="AR148" s="50"/>
      <c r="AS148" s="50"/>
      <c r="AT148" s="50"/>
      <c r="AU148" s="50"/>
      <c r="AV148" s="50"/>
      <c r="AW148" s="50"/>
      <c r="AX148" s="50"/>
      <c r="AY148" s="50"/>
      <c r="AZ148" s="50"/>
      <c r="BA148" s="50"/>
      <c r="BB148" s="50"/>
      <c r="BC148" s="50"/>
      <c r="BD148" s="50"/>
      <c r="BE148" s="50"/>
      <c r="BF148" s="50"/>
      <c r="BG148" s="50"/>
      <c r="BH148" s="50"/>
      <c r="BI148" s="50"/>
      <c r="BJ148" s="50"/>
      <c r="BK148" s="50"/>
      <c r="BL148" s="50"/>
      <c r="BM148" s="50"/>
      <c r="BN148" s="50"/>
      <c r="BO148" s="50"/>
      <c r="BP148" s="50"/>
      <c r="BQ148" s="50"/>
      <c r="BR148" s="50"/>
      <c r="BS148" s="50"/>
      <c r="BT148" s="50"/>
      <c r="BU148" s="50"/>
      <c r="BV148" s="50"/>
    </row>
    <row r="149" spans="1:74">
      <c r="A149" s="46" t="s">
        <v>25</v>
      </c>
      <c r="B149" s="519">
        <f>Module!$I$12</f>
        <v>17</v>
      </c>
      <c r="C149" s="519" t="str">
        <f>Module!$J$12</f>
        <v>Sec</v>
      </c>
      <c r="D149" s="518"/>
      <c r="E149" s="521" t="s">
        <v>18</v>
      </c>
      <c r="F149" s="519">
        <f>MROUND(SUM($E$145,-$A$155),1)</f>
        <v>386</v>
      </c>
      <c r="G149" s="50"/>
      <c r="H149" s="50"/>
      <c r="I149" s="50"/>
      <c r="J149" s="50"/>
      <c r="K149" s="50"/>
      <c r="L149" s="50"/>
      <c r="M149" s="50"/>
      <c r="N149" s="50"/>
      <c r="O149" s="50"/>
      <c r="P149" s="50"/>
      <c r="Q149" s="50"/>
      <c r="R149" s="50"/>
      <c r="S149" s="50"/>
      <c r="T149" s="50"/>
      <c r="U149" s="50"/>
      <c r="V149" s="50"/>
      <c r="W149" s="50"/>
      <c r="X149" s="50"/>
      <c r="Y149" s="50"/>
      <c r="Z149" s="50"/>
      <c r="AA149" s="50"/>
      <c r="AB149" s="50"/>
      <c r="AC149" s="50"/>
      <c r="AD149" s="50"/>
      <c r="AE149" s="50"/>
      <c r="AF149" s="50"/>
      <c r="AG149" s="50"/>
      <c r="AH149" s="50"/>
      <c r="AI149" s="50"/>
      <c r="AJ149" s="50"/>
      <c r="AK149" s="50"/>
      <c r="AL149" s="50"/>
      <c r="AM149" s="50"/>
      <c r="AN149" s="50"/>
      <c r="AO149" s="50"/>
      <c r="AP149" s="50"/>
      <c r="AQ149" s="50"/>
      <c r="AR149" s="50"/>
      <c r="AS149" s="50"/>
      <c r="AT149" s="50"/>
      <c r="AU149" s="50"/>
      <c r="AV149" s="50"/>
      <c r="AW149" s="50"/>
      <c r="AX149" s="50"/>
      <c r="AY149" s="50"/>
      <c r="AZ149" s="50"/>
      <c r="BA149" s="50"/>
      <c r="BB149" s="50"/>
      <c r="BC149" s="50"/>
      <c r="BD149" s="50"/>
      <c r="BE149" s="50"/>
      <c r="BF149" s="50"/>
      <c r="BG149" s="50"/>
      <c r="BH149" s="50"/>
      <c r="BI149" s="50"/>
      <c r="BJ149" s="50"/>
      <c r="BK149" s="50"/>
      <c r="BL149" s="50"/>
      <c r="BM149" s="50"/>
      <c r="BN149" s="50"/>
      <c r="BO149" s="50"/>
      <c r="BP149" s="50"/>
      <c r="BQ149" s="50"/>
      <c r="BR149" s="50"/>
      <c r="BS149" s="50"/>
      <c r="BT149" s="50"/>
      <c r="BU149" s="50"/>
      <c r="BV149" s="50"/>
    </row>
    <row r="150" spans="1:74">
      <c r="A150" s="517"/>
      <c r="B150" s="518"/>
      <c r="C150" s="518"/>
      <c r="D150" s="518"/>
      <c r="E150" s="518"/>
      <c r="F150" s="522"/>
      <c r="G150" s="50"/>
      <c r="H150" s="50"/>
      <c r="I150" s="50"/>
      <c r="J150" s="50"/>
      <c r="K150" s="50"/>
      <c r="L150" s="50"/>
      <c r="M150" s="50"/>
      <c r="N150" s="50"/>
      <c r="O150" s="50"/>
      <c r="P150" s="50"/>
      <c r="Q150" s="50"/>
      <c r="R150" s="50"/>
      <c r="S150" s="50"/>
      <c r="T150" s="50"/>
      <c r="U150" s="50"/>
      <c r="V150" s="50"/>
      <c r="W150" s="50"/>
      <c r="X150" s="50"/>
      <c r="Y150" s="50"/>
      <c r="Z150" s="50"/>
      <c r="AA150" s="50"/>
      <c r="AB150" s="50"/>
      <c r="AC150" s="50"/>
      <c r="AD150" s="50"/>
      <c r="AE150" s="50"/>
      <c r="AF150" s="50"/>
      <c r="AG150" s="50"/>
      <c r="AH150" s="50"/>
      <c r="AI150" s="50"/>
      <c r="AJ150" s="50"/>
      <c r="AK150" s="50"/>
      <c r="AL150" s="50"/>
      <c r="AM150" s="50"/>
      <c r="AN150" s="50"/>
      <c r="AO150" s="50"/>
      <c r="AP150" s="50"/>
      <c r="AQ150" s="50"/>
      <c r="AR150" s="50"/>
      <c r="AS150" s="50"/>
      <c r="AT150" s="50"/>
      <c r="AU150" s="50"/>
      <c r="AV150" s="50"/>
      <c r="AW150" s="50"/>
      <c r="AX150" s="50"/>
      <c r="AY150" s="50"/>
      <c r="AZ150" s="50"/>
      <c r="BA150" s="50"/>
      <c r="BB150" s="50"/>
      <c r="BC150" s="50"/>
      <c r="BD150" s="50"/>
      <c r="BE150" s="50"/>
      <c r="BF150" s="50"/>
      <c r="BG150" s="50"/>
      <c r="BH150" s="50"/>
      <c r="BI150" s="50"/>
      <c r="BJ150" s="50"/>
      <c r="BK150" s="50"/>
      <c r="BL150" s="50"/>
      <c r="BM150" s="50"/>
      <c r="BN150" s="50"/>
      <c r="BO150" s="50"/>
      <c r="BP150" s="50"/>
      <c r="BQ150" s="50"/>
      <c r="BR150" s="50"/>
      <c r="BS150" s="50"/>
      <c r="BT150" s="50"/>
      <c r="BU150" s="50"/>
      <c r="BV150" s="50"/>
    </row>
    <row r="151" spans="1:74">
      <c r="A151" s="587" t="s">
        <v>62</v>
      </c>
      <c r="B151" s="587"/>
      <c r="C151" s="519">
        <f>Module!$B$4</f>
        <v>86</v>
      </c>
      <c r="D151" s="518"/>
      <c r="E151" s="523"/>
      <c r="F151" s="524" t="s">
        <v>223</v>
      </c>
      <c r="G151" s="50"/>
      <c r="H151" s="50"/>
      <c r="I151" s="50"/>
      <c r="J151" s="50"/>
      <c r="K151" s="50"/>
      <c r="L151" s="50"/>
      <c r="M151" s="50"/>
      <c r="N151" s="50"/>
      <c r="O151" s="50"/>
      <c r="P151" s="50"/>
      <c r="Q151" s="50"/>
      <c r="R151" s="50"/>
      <c r="S151" s="50"/>
      <c r="T151" s="50"/>
      <c r="U151" s="50"/>
      <c r="V151" s="50"/>
      <c r="W151" s="50"/>
      <c r="X151" s="50"/>
      <c r="Y151" s="50"/>
      <c r="Z151" s="50"/>
      <c r="AA151" s="50"/>
      <c r="AB151" s="50"/>
      <c r="AC151" s="50"/>
      <c r="AD151" s="50"/>
      <c r="AE151" s="50"/>
      <c r="AF151" s="50"/>
      <c r="AG151" s="50"/>
      <c r="AH151" s="50"/>
      <c r="AI151" s="50"/>
      <c r="AJ151" s="50"/>
      <c r="AK151" s="50"/>
      <c r="AL151" s="50"/>
      <c r="AM151" s="50"/>
      <c r="AN151" s="50"/>
      <c r="AO151" s="50"/>
      <c r="AP151" s="50"/>
      <c r="AQ151" s="50"/>
      <c r="AR151" s="50"/>
      <c r="AS151" s="50"/>
      <c r="AT151" s="50"/>
      <c r="AU151" s="50"/>
      <c r="AV151" s="50"/>
      <c r="AW151" s="50"/>
      <c r="AX151" s="50"/>
      <c r="AY151" s="50"/>
      <c r="AZ151" s="50"/>
      <c r="BA151" s="50"/>
      <c r="BB151" s="50"/>
      <c r="BC151" s="50"/>
      <c r="BD151" s="50"/>
      <c r="BE151" s="50"/>
      <c r="BF151" s="50"/>
      <c r="BG151" s="50"/>
      <c r="BH151" s="50"/>
      <c r="BI151" s="50"/>
      <c r="BJ151" s="50"/>
      <c r="BK151" s="50"/>
      <c r="BL151" s="50"/>
      <c r="BM151" s="50"/>
      <c r="BN151" s="50"/>
      <c r="BO151" s="50"/>
      <c r="BP151" s="50"/>
      <c r="BQ151" s="50"/>
      <c r="BR151" s="50"/>
      <c r="BS151" s="50"/>
      <c r="BT151" s="50"/>
      <c r="BU151" s="50"/>
      <c r="BV151" s="50"/>
    </row>
    <row r="152" spans="1:74">
      <c r="A152" s="517"/>
      <c r="B152" s="518"/>
      <c r="C152" s="518"/>
      <c r="D152" s="518"/>
      <c r="E152" s="525" t="s">
        <v>489</v>
      </c>
      <c r="F152" s="526">
        <f>-0.246534498671854</f>
        <v>-0.24653449867185401</v>
      </c>
      <c r="G152" s="50"/>
      <c r="H152" s="50"/>
      <c r="I152" s="50"/>
      <c r="J152" s="50"/>
      <c r="K152" s="50"/>
      <c r="L152" s="50"/>
      <c r="M152" s="50"/>
      <c r="N152" s="50"/>
      <c r="O152" s="50"/>
      <c r="P152" s="50"/>
      <c r="Q152" s="50"/>
      <c r="R152" s="50"/>
      <c r="S152" s="50"/>
      <c r="T152" s="50"/>
      <c r="U152" s="50"/>
      <c r="V152" s="50"/>
      <c r="W152" s="50"/>
      <c r="X152" s="50"/>
      <c r="Y152" s="50"/>
      <c r="Z152" s="50"/>
      <c r="AA152" s="50"/>
      <c r="AB152" s="50"/>
      <c r="AC152" s="50"/>
      <c r="AD152" s="50"/>
      <c r="AE152" s="50"/>
      <c r="AF152" s="50"/>
      <c r="AG152" s="50"/>
      <c r="AH152" s="50"/>
      <c r="AI152" s="50"/>
      <c r="AJ152" s="50"/>
      <c r="AK152" s="50"/>
      <c r="AL152" s="50"/>
      <c r="AM152" s="50"/>
      <c r="AN152" s="50"/>
      <c r="AO152" s="50"/>
      <c r="AP152" s="50"/>
      <c r="AQ152" s="50"/>
      <c r="AR152" s="50"/>
      <c r="AS152" s="50"/>
      <c r="AT152" s="50"/>
      <c r="AU152" s="50"/>
      <c r="AV152" s="50"/>
      <c r="AW152" s="50"/>
      <c r="AX152" s="50"/>
      <c r="AY152" s="50"/>
      <c r="AZ152" s="50"/>
      <c r="BA152" s="50"/>
      <c r="BB152" s="50"/>
      <c r="BC152" s="50"/>
      <c r="BD152" s="50"/>
      <c r="BE152" s="50"/>
      <c r="BF152" s="50"/>
      <c r="BG152" s="50"/>
      <c r="BH152" s="50"/>
      <c r="BI152" s="50"/>
      <c r="BJ152" s="50"/>
      <c r="BK152" s="50"/>
      <c r="BL152" s="50"/>
      <c r="BM152" s="50"/>
      <c r="BN152" s="50"/>
      <c r="BO152" s="50"/>
      <c r="BP152" s="50"/>
      <c r="BQ152" s="50"/>
      <c r="BR152" s="50"/>
      <c r="BS152" s="50"/>
      <c r="BT152" s="50"/>
      <c r="BU152" s="50"/>
      <c r="BV152" s="50"/>
    </row>
    <row r="153" spans="1:74">
      <c r="A153" s="601" t="s">
        <v>21</v>
      </c>
      <c r="B153" s="602"/>
      <c r="C153" s="519">
        <f>Module!$B$25</f>
        <v>3</v>
      </c>
      <c r="D153" s="518"/>
      <c r="E153" s="525" t="s">
        <v>490</v>
      </c>
      <c r="F153" s="526">
        <f>3.69107049712848</f>
        <v>3.69107049712848</v>
      </c>
      <c r="G153" s="50"/>
      <c r="H153" s="50"/>
      <c r="I153" s="50"/>
      <c r="J153" s="50"/>
      <c r="K153" s="50"/>
      <c r="L153" s="50"/>
      <c r="M153" s="50"/>
      <c r="N153" s="50"/>
      <c r="O153" s="50"/>
      <c r="P153" s="50"/>
      <c r="Q153" s="50"/>
      <c r="R153" s="50"/>
      <c r="S153" s="50"/>
      <c r="T153" s="50"/>
      <c r="U153" s="50"/>
      <c r="V153" s="50"/>
      <c r="W153" s="50"/>
      <c r="X153" s="50"/>
      <c r="Y153" s="50"/>
      <c r="Z153" s="50"/>
      <c r="AA153" s="50"/>
      <c r="AB153" s="50"/>
      <c r="AC153" s="50"/>
      <c r="AD153" s="50"/>
      <c r="AE153" s="50"/>
      <c r="AF153" s="50"/>
      <c r="AG153" s="50"/>
      <c r="AH153" s="50"/>
      <c r="AI153" s="50"/>
      <c r="AJ153" s="50"/>
      <c r="AK153" s="50"/>
      <c r="AL153" s="50"/>
      <c r="AM153" s="50"/>
      <c r="AN153" s="50"/>
      <c r="AO153" s="50"/>
      <c r="AP153" s="50"/>
      <c r="AQ153" s="50"/>
      <c r="AR153" s="50"/>
      <c r="AS153" s="50"/>
      <c r="AT153" s="50"/>
      <c r="AU153" s="50"/>
      <c r="AV153" s="50"/>
      <c r="AW153" s="50"/>
      <c r="AX153" s="50"/>
      <c r="AY153" s="50"/>
      <c r="AZ153" s="50"/>
      <c r="BA153" s="50"/>
      <c r="BB153" s="50"/>
      <c r="BC153" s="50"/>
      <c r="BD153" s="50"/>
      <c r="BE153" s="50"/>
      <c r="BF153" s="50"/>
      <c r="BG153" s="50"/>
      <c r="BH153" s="50"/>
      <c r="BI153" s="50"/>
      <c r="BJ153" s="50"/>
      <c r="BK153" s="50"/>
      <c r="BL153" s="50"/>
      <c r="BM153" s="50"/>
      <c r="BN153" s="50"/>
      <c r="BO153" s="50"/>
      <c r="BP153" s="50"/>
      <c r="BQ153" s="50"/>
      <c r="BR153" s="50"/>
      <c r="BS153" s="50"/>
      <c r="BT153" s="50"/>
      <c r="BU153" s="50"/>
      <c r="BV153" s="50"/>
    </row>
    <row r="154" spans="1:74">
      <c r="A154" s="603" t="s">
        <v>18</v>
      </c>
      <c r="B154" s="604"/>
      <c r="C154" s="519">
        <f>Module!$B$26</f>
        <v>3</v>
      </c>
      <c r="D154" s="518"/>
      <c r="E154" s="525" t="s">
        <v>493</v>
      </c>
      <c r="F154" s="526">
        <f>-0.189968386659174</f>
        <v>-0.18996838665917401</v>
      </c>
      <c r="G154" s="50"/>
      <c r="H154" s="50"/>
      <c r="I154" s="50"/>
      <c r="J154" s="50"/>
      <c r="K154" s="50"/>
      <c r="L154" s="50"/>
      <c r="M154" s="50"/>
      <c r="N154" s="50"/>
      <c r="O154" s="50"/>
      <c r="P154" s="50"/>
      <c r="Q154" s="50"/>
      <c r="R154" s="50"/>
      <c r="S154" s="50"/>
      <c r="T154" s="50"/>
      <c r="U154" s="50"/>
      <c r="V154" s="50"/>
      <c r="W154" s="50"/>
      <c r="X154" s="50"/>
      <c r="Y154" s="50"/>
      <c r="Z154" s="50"/>
      <c r="AA154" s="50"/>
      <c r="AB154" s="50"/>
      <c r="AC154" s="50"/>
      <c r="AD154" s="50"/>
      <c r="AE154" s="50"/>
      <c r="AF154" s="50"/>
      <c r="AG154" s="50"/>
      <c r="AH154" s="50"/>
      <c r="AI154" s="50"/>
      <c r="AJ154" s="50"/>
      <c r="AK154" s="50"/>
      <c r="AL154" s="50"/>
      <c r="AM154" s="50"/>
      <c r="AN154" s="50"/>
      <c r="AO154" s="50"/>
      <c r="AP154" s="50"/>
      <c r="AQ154" s="50"/>
      <c r="AR154" s="50"/>
      <c r="AS154" s="50"/>
      <c r="AT154" s="50"/>
      <c r="AU154" s="50"/>
      <c r="AV154" s="50"/>
      <c r="AW154" s="50"/>
      <c r="AX154" s="50"/>
      <c r="AY154" s="50"/>
      <c r="AZ154" s="50"/>
      <c r="BA154" s="50"/>
      <c r="BB154" s="50"/>
      <c r="BC154" s="50"/>
      <c r="BD154" s="50"/>
      <c r="BE154" s="50"/>
      <c r="BF154" s="50"/>
      <c r="BG154" s="50"/>
      <c r="BH154" s="50"/>
      <c r="BI154" s="50"/>
      <c r="BJ154" s="50"/>
      <c r="BK154" s="50"/>
      <c r="BL154" s="50"/>
      <c r="BM154" s="50"/>
      <c r="BN154" s="50"/>
      <c r="BO154" s="50"/>
      <c r="BP154" s="50"/>
      <c r="BQ154" s="50"/>
      <c r="BR154" s="50"/>
      <c r="BS154" s="50"/>
      <c r="BT154" s="50"/>
      <c r="BU154" s="50"/>
      <c r="BV154" s="50"/>
    </row>
    <row r="155" spans="1:74">
      <c r="A155" s="519">
        <f>VLOOKUP($B$145,$A$3:$AP$64,23,FALSE)+$C$151*$F$152+$F$153*(SUM($C$153,$C$154))/2+$E$145*$F$154+$B$147*$F$155+IF($C$147="Pluie",$F$156,FALSE)</f>
        <v>-85.961722158641948</v>
      </c>
      <c r="B155" s="46" t="s">
        <v>44</v>
      </c>
      <c r="C155" s="518"/>
      <c r="D155" s="518"/>
      <c r="E155" s="525" t="s">
        <v>491</v>
      </c>
      <c r="F155" s="526">
        <v>0.376337780506523</v>
      </c>
      <c r="G155" s="50"/>
      <c r="H155" s="50"/>
      <c r="I155" s="50"/>
      <c r="J155" s="50"/>
      <c r="K155" s="50"/>
      <c r="L155" s="50"/>
      <c r="M155" s="50"/>
      <c r="N155" s="50"/>
      <c r="O155" s="50"/>
      <c r="P155" s="50"/>
      <c r="Q155" s="50"/>
      <c r="R155" s="50"/>
      <c r="S155" s="50"/>
      <c r="T155" s="50"/>
      <c r="U155" s="50"/>
      <c r="V155" s="50"/>
      <c r="W155" s="50"/>
      <c r="X155" s="50"/>
      <c r="Y155" s="50"/>
      <c r="Z155" s="50"/>
      <c r="AA155" s="50"/>
      <c r="AB155" s="50"/>
      <c r="AC155" s="50"/>
      <c r="AD155" s="50"/>
      <c r="AE155" s="50"/>
      <c r="AF155" s="50"/>
      <c r="AG155" s="50"/>
      <c r="AH155" s="50"/>
      <c r="AI155" s="50"/>
      <c r="AJ155" s="50"/>
      <c r="AK155" s="50"/>
      <c r="AL155" s="50"/>
      <c r="AM155" s="50"/>
      <c r="AN155" s="50"/>
      <c r="AO155" s="50"/>
      <c r="AP155" s="50"/>
      <c r="AQ155" s="50"/>
      <c r="AR155" s="50"/>
      <c r="AS155" s="50"/>
      <c r="AT155" s="50"/>
      <c r="AU155" s="50"/>
      <c r="AV155" s="50"/>
      <c r="AW155" s="50"/>
      <c r="AX155" s="50"/>
      <c r="AY155" s="50"/>
      <c r="AZ155" s="50"/>
      <c r="BA155" s="50"/>
      <c r="BB155" s="50"/>
      <c r="BC155" s="50"/>
      <c r="BD155" s="50"/>
      <c r="BE155" s="50"/>
      <c r="BF155" s="50"/>
      <c r="BG155" s="50"/>
      <c r="BH155" s="50"/>
      <c r="BI155" s="50"/>
      <c r="BJ155" s="50"/>
      <c r="BK155" s="50"/>
      <c r="BL155" s="50"/>
      <c r="BM155" s="50"/>
      <c r="BN155" s="50"/>
      <c r="BO155" s="50"/>
      <c r="BP155" s="50"/>
      <c r="BQ155" s="50"/>
      <c r="BR155" s="50"/>
      <c r="BS155" s="50"/>
      <c r="BT155" s="50"/>
      <c r="BU155" s="50"/>
      <c r="BV155" s="50"/>
    </row>
    <row r="156" spans="1:74">
      <c r="A156" s="527"/>
      <c r="B156" s="519">
        <f>$A$155*2</f>
        <v>-171.9234443172839</v>
      </c>
      <c r="C156" s="528"/>
      <c r="D156" s="528"/>
      <c r="E156" s="525" t="s">
        <v>492</v>
      </c>
      <c r="F156" s="526">
        <v>58.881896736325601</v>
      </c>
      <c r="G156" s="50"/>
      <c r="H156" s="50"/>
      <c r="I156" s="50"/>
      <c r="J156" s="50"/>
      <c r="K156" s="50"/>
      <c r="L156" s="50"/>
      <c r="M156" s="50"/>
      <c r="N156" s="50"/>
      <c r="O156" s="50"/>
      <c r="P156" s="50"/>
      <c r="Q156" s="50"/>
      <c r="R156" s="50"/>
      <c r="S156" s="50"/>
      <c r="T156" s="50"/>
      <c r="U156" s="50"/>
      <c r="V156" s="50"/>
      <c r="W156" s="50"/>
      <c r="X156" s="50"/>
      <c r="Y156" s="50"/>
      <c r="Z156" s="50"/>
      <c r="AA156" s="50"/>
      <c r="AB156" s="50"/>
      <c r="AC156" s="50"/>
      <c r="AD156" s="50"/>
      <c r="AE156" s="50"/>
      <c r="AF156" s="50"/>
      <c r="AG156" s="50"/>
      <c r="AH156" s="50"/>
      <c r="AI156" s="50"/>
      <c r="AJ156" s="50"/>
      <c r="AK156" s="50"/>
      <c r="AL156" s="50"/>
      <c r="AM156" s="50"/>
      <c r="AN156" s="50"/>
      <c r="AO156" s="50"/>
      <c r="AP156" s="50"/>
      <c r="AQ156" s="50"/>
      <c r="AR156" s="50"/>
      <c r="AS156" s="50"/>
      <c r="AT156" s="50"/>
      <c r="AU156" s="50"/>
      <c r="AV156" s="50"/>
      <c r="AW156" s="50"/>
      <c r="AX156" s="50"/>
      <c r="AY156" s="50"/>
      <c r="AZ156" s="50"/>
      <c r="BA156" s="50"/>
      <c r="BB156" s="50"/>
      <c r="BC156" s="50"/>
      <c r="BD156" s="50"/>
      <c r="BE156" s="50"/>
      <c r="BF156" s="50"/>
      <c r="BG156" s="50"/>
      <c r="BH156" s="50"/>
      <c r="BI156" s="50"/>
      <c r="BJ156" s="50"/>
      <c r="BK156" s="50"/>
      <c r="BL156" s="50"/>
      <c r="BM156" s="50"/>
      <c r="BN156" s="50"/>
      <c r="BO156" s="50"/>
      <c r="BP156" s="50"/>
      <c r="BQ156" s="50"/>
      <c r="BR156" s="50"/>
      <c r="BS156" s="50"/>
      <c r="BT156" s="50"/>
      <c r="BU156" s="50"/>
      <c r="BV156" s="50"/>
    </row>
    <row r="157" spans="1:74">
      <c r="B157" s="50"/>
      <c r="C157" s="50"/>
      <c r="D157" s="50"/>
      <c r="E157" s="50"/>
      <c r="F157" s="50"/>
      <c r="G157" s="50"/>
      <c r="H157" s="50"/>
      <c r="I157" s="50"/>
      <c r="J157" s="50"/>
      <c r="K157" s="50"/>
      <c r="L157" s="50"/>
      <c r="M157" s="50"/>
      <c r="N157" s="50"/>
      <c r="O157" s="50"/>
      <c r="P157" s="50"/>
      <c r="Q157" s="50"/>
      <c r="R157" s="50"/>
      <c r="S157" s="50"/>
      <c r="T157" s="50"/>
      <c r="U157" s="50"/>
      <c r="V157" s="50"/>
      <c r="W157" s="50"/>
      <c r="X157" s="50"/>
      <c r="Y157" s="50"/>
      <c r="Z157" s="50"/>
      <c r="AA157" s="50"/>
      <c r="AB157" s="50"/>
      <c r="AC157" s="50"/>
      <c r="AD157" s="50"/>
      <c r="AE157" s="50"/>
      <c r="AF157" s="50"/>
      <c r="AG157" s="50"/>
      <c r="AH157" s="50"/>
      <c r="AI157" s="50"/>
      <c r="AJ157" s="50"/>
      <c r="AK157" s="50"/>
      <c r="AL157" s="50"/>
      <c r="AM157" s="50"/>
      <c r="AN157" s="50"/>
      <c r="AO157" s="50"/>
      <c r="AP157" s="50"/>
      <c r="AQ157" s="50"/>
      <c r="AR157" s="50"/>
      <c r="AS157" s="50"/>
      <c r="AT157" s="50"/>
      <c r="AU157" s="50"/>
      <c r="AV157" s="50"/>
      <c r="AW157" s="50"/>
      <c r="AX157" s="50"/>
      <c r="AY157" s="50"/>
      <c r="AZ157" s="50"/>
      <c r="BA157" s="50"/>
      <c r="BB157" s="50"/>
      <c r="BC157" s="50"/>
      <c r="BD157" s="50"/>
      <c r="BE157" s="50"/>
      <c r="BF157" s="50"/>
      <c r="BG157" s="50"/>
      <c r="BH157" s="50"/>
      <c r="BI157" s="50"/>
      <c r="BJ157" s="50"/>
      <c r="BK157" s="50"/>
      <c r="BL157" s="50"/>
      <c r="BM157" s="50"/>
      <c r="BN157" s="50"/>
      <c r="BO157" s="50"/>
      <c r="BP157" s="50"/>
      <c r="BQ157" s="50"/>
      <c r="BR157" s="50"/>
      <c r="BS157" s="50"/>
      <c r="BT157" s="50"/>
      <c r="BU157" s="50"/>
      <c r="BV157" s="50"/>
    </row>
    <row r="158" spans="1:74">
      <c r="A158" s="39" t="s">
        <v>510</v>
      </c>
      <c r="B158" s="50"/>
      <c r="C158" s="50"/>
      <c r="D158" s="50"/>
      <c r="E158" s="50"/>
      <c r="F158" s="50"/>
      <c r="G158" s="50"/>
      <c r="H158" s="50"/>
      <c r="I158" s="50"/>
      <c r="J158" s="50"/>
      <c r="K158" s="50"/>
      <c r="L158" s="50"/>
      <c r="M158" s="50"/>
      <c r="N158" s="50"/>
      <c r="O158" s="50"/>
      <c r="P158" s="50"/>
      <c r="Q158" s="50"/>
      <c r="R158" s="50"/>
      <c r="S158" s="50"/>
      <c r="T158" s="50"/>
      <c r="U158" s="50"/>
      <c r="V158" s="50"/>
      <c r="W158" s="50"/>
      <c r="X158" s="50"/>
      <c r="Y158" s="50"/>
      <c r="Z158" s="50"/>
      <c r="AA158" s="50"/>
      <c r="AB158" s="50"/>
      <c r="AC158" s="50"/>
      <c r="AD158" s="50"/>
      <c r="AE158" s="50"/>
      <c r="AF158" s="50"/>
      <c r="AG158" s="50"/>
      <c r="AH158" s="50"/>
      <c r="AI158" s="50"/>
      <c r="AJ158" s="50"/>
      <c r="AK158" s="50"/>
      <c r="AL158" s="50"/>
      <c r="AM158" s="50"/>
      <c r="AN158" s="50"/>
      <c r="AO158" s="50"/>
      <c r="AP158" s="50"/>
      <c r="AQ158" s="50"/>
      <c r="AR158" s="50"/>
      <c r="AS158" s="50"/>
      <c r="AT158" s="50"/>
      <c r="AU158" s="50"/>
      <c r="AV158" s="50"/>
      <c r="AW158" s="50"/>
      <c r="AX158" s="50"/>
      <c r="AY158" s="50"/>
      <c r="AZ158" s="50"/>
      <c r="BA158" s="50"/>
      <c r="BB158" s="50"/>
      <c r="BC158" s="50"/>
      <c r="BD158" s="50"/>
      <c r="BE158" s="50"/>
      <c r="BF158" s="50"/>
      <c r="BG158" s="50"/>
      <c r="BH158" s="50"/>
      <c r="BI158" s="50"/>
      <c r="BJ158" s="50"/>
      <c r="BK158" s="50"/>
      <c r="BL158" s="50"/>
      <c r="BM158" s="50"/>
      <c r="BN158" s="50"/>
      <c r="BO158" s="50"/>
      <c r="BP158" s="50"/>
      <c r="BQ158" s="50"/>
      <c r="BR158" s="50"/>
      <c r="BS158" s="50"/>
      <c r="BT158" s="50"/>
      <c r="BU158" s="50"/>
      <c r="BV158" s="50"/>
    </row>
    <row r="159" spans="1:74">
      <c r="S159" s="50"/>
      <c r="T159" s="50"/>
      <c r="U159" s="50"/>
      <c r="V159" s="50"/>
      <c r="W159" s="50"/>
      <c r="X159" s="50"/>
      <c r="Y159" s="50"/>
      <c r="Z159" s="50"/>
      <c r="AA159" s="50"/>
      <c r="AB159" s="50"/>
      <c r="AC159" s="50"/>
      <c r="AD159" s="50"/>
      <c r="AE159" s="50"/>
      <c r="AF159" s="50"/>
      <c r="AG159" s="50"/>
      <c r="AH159" s="50"/>
      <c r="AI159" s="50"/>
      <c r="AJ159" s="50"/>
      <c r="AK159" s="50"/>
      <c r="AL159" s="50"/>
      <c r="AM159" s="50"/>
      <c r="AN159" s="50"/>
      <c r="AO159" s="50"/>
      <c r="AP159" s="50"/>
      <c r="AQ159" s="50"/>
      <c r="AR159" s="50"/>
      <c r="AS159" s="50"/>
      <c r="AT159" s="50"/>
      <c r="AU159" s="50"/>
      <c r="AV159" s="50"/>
      <c r="AW159" s="50"/>
      <c r="AX159" s="50"/>
      <c r="AY159" s="50"/>
      <c r="AZ159" s="50"/>
      <c r="BA159" s="50"/>
      <c r="BB159" s="50"/>
      <c r="BC159" s="50"/>
      <c r="BD159" s="50"/>
      <c r="BE159" s="50"/>
      <c r="BF159" s="50"/>
      <c r="BG159" s="50"/>
      <c r="BH159" s="50"/>
      <c r="BI159" s="50"/>
      <c r="BJ159" s="50"/>
      <c r="BK159" s="50"/>
      <c r="BL159" s="50"/>
      <c r="BM159" s="50"/>
      <c r="BN159" s="50"/>
      <c r="BO159" s="50"/>
      <c r="BP159" s="50"/>
      <c r="BQ159" s="50"/>
      <c r="BR159" s="50"/>
      <c r="BS159" s="50"/>
      <c r="BT159" s="50"/>
      <c r="BU159" s="50"/>
      <c r="BV159" s="50"/>
    </row>
    <row r="160" spans="1:74">
      <c r="A160" s="534" t="s">
        <v>12</v>
      </c>
      <c r="B160" s="533">
        <v>1</v>
      </c>
      <c r="C160" s="565">
        <v>0.1847141723146272</v>
      </c>
      <c r="D160" s="565"/>
      <c r="E160" s="565">
        <v>0.96676581151405383</v>
      </c>
      <c r="F160" s="565"/>
      <c r="S160" s="50"/>
      <c r="T160" s="50"/>
      <c r="U160" s="50"/>
      <c r="V160" s="50"/>
      <c r="W160" s="50"/>
      <c r="X160" s="50"/>
      <c r="Y160" s="50"/>
      <c r="Z160" s="50"/>
      <c r="AA160" s="50"/>
      <c r="AB160" s="50"/>
      <c r="AC160" s="50"/>
      <c r="AD160" s="50"/>
      <c r="AE160" s="50"/>
      <c r="AF160" s="50"/>
      <c r="AG160" s="50"/>
      <c r="AH160" s="50"/>
      <c r="AI160" s="50"/>
      <c r="AJ160" s="50"/>
      <c r="AK160" s="50"/>
      <c r="AL160" s="50"/>
      <c r="AM160" s="50"/>
      <c r="AN160" s="50"/>
      <c r="AO160" s="50"/>
      <c r="AP160" s="50"/>
      <c r="AQ160" s="50"/>
      <c r="AR160" s="50"/>
      <c r="AS160" s="50"/>
      <c r="AT160" s="50"/>
      <c r="AU160" s="50"/>
      <c r="AV160" s="50"/>
      <c r="AW160" s="50"/>
      <c r="AX160" s="50"/>
      <c r="AY160" s="50"/>
      <c r="AZ160" s="50"/>
      <c r="BA160" s="50"/>
      <c r="BB160" s="50"/>
      <c r="BC160" s="50"/>
      <c r="BD160" s="50"/>
      <c r="BE160" s="50"/>
      <c r="BF160" s="50"/>
      <c r="BG160" s="50"/>
      <c r="BH160" s="50"/>
      <c r="BI160" s="50"/>
      <c r="BJ160" s="50"/>
      <c r="BK160" s="50"/>
      <c r="BL160" s="50"/>
      <c r="BM160" s="50"/>
      <c r="BN160" s="50"/>
      <c r="BO160" s="50"/>
      <c r="BP160" s="50"/>
      <c r="BQ160" s="50"/>
      <c r="BR160" s="50"/>
      <c r="BS160" s="50"/>
      <c r="BT160" s="50"/>
      <c r="BU160" s="50"/>
      <c r="BV160" s="50"/>
    </row>
    <row r="161" spans="1:74">
      <c r="A161" s="534" t="s">
        <v>186</v>
      </c>
      <c r="B161" s="533">
        <v>2</v>
      </c>
      <c r="C161" s="565">
        <v>0.21057465437781986</v>
      </c>
      <c r="D161" s="565"/>
      <c r="E161" s="565">
        <v>0.97685616744811155</v>
      </c>
      <c r="F161" s="565"/>
      <c r="S161" s="50"/>
      <c r="T161" s="50"/>
      <c r="U161" s="50"/>
      <c r="V161" s="50"/>
      <c r="W161" s="50"/>
      <c r="X161" s="50"/>
      <c r="Y161" s="50"/>
      <c r="Z161" s="50"/>
      <c r="AA161" s="50"/>
      <c r="AB161" s="50"/>
      <c r="AC161" s="50"/>
      <c r="AD161" s="50"/>
      <c r="AE161" s="50"/>
      <c r="AF161" s="50"/>
      <c r="AG161" s="50"/>
      <c r="AH161" s="50"/>
      <c r="AI161" s="50"/>
      <c r="AJ161" s="50"/>
      <c r="AK161" s="50"/>
      <c r="AL161" s="50"/>
      <c r="AM161" s="50"/>
      <c r="AN161" s="50"/>
      <c r="AO161" s="50"/>
      <c r="AP161" s="50"/>
      <c r="AQ161" s="50"/>
      <c r="AR161" s="50"/>
      <c r="AS161" s="50"/>
      <c r="AT161" s="50"/>
      <c r="AU161" s="50"/>
      <c r="AV161" s="50"/>
      <c r="AW161" s="50"/>
      <c r="AX161" s="50"/>
      <c r="AY161" s="50"/>
      <c r="AZ161" s="50"/>
      <c r="BA161" s="50"/>
      <c r="BB161" s="50"/>
      <c r="BC161" s="50"/>
      <c r="BD161" s="50"/>
      <c r="BE161" s="50"/>
      <c r="BF161" s="50"/>
      <c r="BG161" s="50"/>
      <c r="BH161" s="50"/>
      <c r="BI161" s="50"/>
      <c r="BJ161" s="50"/>
      <c r="BK161" s="50"/>
      <c r="BL161" s="50"/>
      <c r="BM161" s="50"/>
      <c r="BN161" s="50"/>
      <c r="BO161" s="50"/>
      <c r="BP161" s="50"/>
      <c r="BQ161" s="50"/>
      <c r="BR161" s="50"/>
      <c r="BS161" s="50"/>
      <c r="BT161" s="50"/>
      <c r="BU161" s="50"/>
      <c r="BV161" s="50"/>
    </row>
    <row r="162" spans="1:74">
      <c r="A162" s="534" t="s">
        <v>135</v>
      </c>
      <c r="B162" s="533">
        <v>3</v>
      </c>
      <c r="C162" s="565">
        <v>0.23111450252550558</v>
      </c>
      <c r="D162" s="565"/>
      <c r="E162" s="565">
        <v>0.76808799417676743</v>
      </c>
      <c r="F162" s="565"/>
      <c r="S162" s="50"/>
      <c r="T162" s="50"/>
      <c r="U162" s="50"/>
      <c r="V162" s="50"/>
      <c r="W162" s="50"/>
      <c r="X162" s="50"/>
      <c r="Y162" s="50"/>
      <c r="Z162" s="50"/>
      <c r="AA162" s="50"/>
      <c r="AB162" s="50"/>
      <c r="AC162" s="50"/>
      <c r="AD162" s="50"/>
      <c r="AE162" s="50"/>
      <c r="AF162" s="50"/>
      <c r="AG162" s="50"/>
      <c r="AH162" s="50"/>
      <c r="AI162" s="50"/>
      <c r="AJ162" s="50"/>
      <c r="AK162" s="50"/>
      <c r="AL162" s="50"/>
      <c r="AM162" s="50"/>
      <c r="AN162" s="50"/>
      <c r="AO162" s="50"/>
      <c r="AP162" s="50"/>
      <c r="AQ162" s="50"/>
      <c r="AR162" s="50"/>
      <c r="AS162" s="50"/>
      <c r="AT162" s="50"/>
      <c r="AU162" s="50"/>
      <c r="AV162" s="50"/>
      <c r="AW162" s="50"/>
      <c r="AX162" s="50"/>
      <c r="AY162" s="50"/>
      <c r="AZ162" s="50"/>
      <c r="BA162" s="50"/>
      <c r="BB162" s="50"/>
      <c r="BC162" s="50"/>
      <c r="BD162" s="50"/>
      <c r="BE162" s="50"/>
      <c r="BF162" s="50"/>
      <c r="BG162" s="50"/>
      <c r="BH162" s="50"/>
      <c r="BI162" s="50"/>
      <c r="BJ162" s="50"/>
      <c r="BK162" s="50"/>
      <c r="BL162" s="50"/>
      <c r="BM162" s="50"/>
      <c r="BN162" s="50"/>
      <c r="BO162" s="50"/>
      <c r="BP162" s="50"/>
      <c r="BQ162" s="50"/>
      <c r="BR162" s="50"/>
      <c r="BS162" s="50"/>
      <c r="BT162" s="50"/>
      <c r="BU162" s="50"/>
      <c r="BV162" s="50"/>
    </row>
    <row r="163" spans="1:74">
      <c r="A163" s="534" t="s">
        <v>152</v>
      </c>
      <c r="B163" s="533">
        <v>4</v>
      </c>
      <c r="C163" s="565">
        <v>0.25957855738757146</v>
      </c>
      <c r="D163" s="565"/>
      <c r="E163" s="565">
        <v>0.50683041930034523</v>
      </c>
      <c r="F163" s="565"/>
      <c r="S163" s="50"/>
      <c r="T163" s="50"/>
      <c r="U163" s="50"/>
      <c r="V163" s="50"/>
      <c r="W163" s="50"/>
      <c r="X163" s="50"/>
      <c r="Y163" s="50"/>
      <c r="Z163" s="50"/>
      <c r="AA163" s="50"/>
      <c r="AB163" s="50"/>
      <c r="AC163" s="50"/>
      <c r="AD163" s="50"/>
      <c r="AE163" s="50"/>
      <c r="AF163" s="50"/>
      <c r="AG163" s="50"/>
      <c r="AH163" s="50"/>
      <c r="AI163" s="50"/>
      <c r="AJ163" s="50"/>
      <c r="AK163" s="50"/>
      <c r="AL163" s="50"/>
      <c r="AM163" s="50"/>
      <c r="AN163" s="50"/>
      <c r="AO163" s="50"/>
      <c r="AP163" s="50"/>
      <c r="AQ163" s="50"/>
      <c r="AR163" s="50"/>
      <c r="AS163" s="50"/>
      <c r="AT163" s="50"/>
      <c r="AU163" s="50"/>
      <c r="AV163" s="50"/>
      <c r="AW163" s="50"/>
      <c r="AX163" s="50"/>
      <c r="AY163" s="50"/>
      <c r="AZ163" s="50"/>
      <c r="BA163" s="50"/>
      <c r="BB163" s="50"/>
      <c r="BC163" s="50"/>
      <c r="BD163" s="50"/>
      <c r="BE163" s="50"/>
      <c r="BF163" s="50"/>
      <c r="BG163" s="50"/>
      <c r="BH163" s="50"/>
      <c r="BI163" s="50"/>
      <c r="BJ163" s="50"/>
      <c r="BK163" s="50"/>
      <c r="BL163" s="50"/>
      <c r="BM163" s="50"/>
      <c r="BN163" s="50"/>
      <c r="BO163" s="50"/>
      <c r="BP163" s="50"/>
      <c r="BQ163" s="50"/>
      <c r="BR163" s="50"/>
      <c r="BS163" s="50"/>
      <c r="BT163" s="50"/>
      <c r="BU163" s="50"/>
      <c r="BV163" s="50"/>
    </row>
    <row r="164" spans="1:74">
      <c r="A164" s="3"/>
      <c r="B164" s="3"/>
      <c r="C164" s="3"/>
      <c r="D164" s="3"/>
      <c r="S164" s="50"/>
      <c r="T164" s="50"/>
      <c r="U164" s="50"/>
      <c r="V164" s="50"/>
      <c r="W164" s="50"/>
      <c r="X164" s="50"/>
      <c r="Y164" s="50"/>
      <c r="Z164" s="50"/>
      <c r="AA164" s="50"/>
      <c r="AB164" s="50"/>
      <c r="AC164" s="50"/>
      <c r="AD164" s="50"/>
      <c r="AE164" s="50"/>
      <c r="AF164" s="50"/>
      <c r="AG164" s="50"/>
      <c r="AH164" s="50"/>
      <c r="AI164" s="50"/>
      <c r="AJ164" s="50"/>
      <c r="AK164" s="50"/>
      <c r="AL164" s="50"/>
      <c r="AM164" s="50"/>
      <c r="AN164" s="50"/>
      <c r="AO164" s="50"/>
      <c r="AP164" s="50"/>
      <c r="AQ164" s="50"/>
      <c r="AR164" s="50"/>
      <c r="AS164" s="50"/>
      <c r="AT164" s="50"/>
      <c r="AU164" s="50"/>
      <c r="AV164" s="50"/>
      <c r="AW164" s="50"/>
      <c r="AX164" s="50"/>
      <c r="AY164" s="50"/>
      <c r="AZ164" s="50"/>
      <c r="BA164" s="50"/>
      <c r="BB164" s="50"/>
      <c r="BC164" s="50"/>
      <c r="BD164" s="50"/>
      <c r="BE164" s="50"/>
      <c r="BF164" s="50"/>
      <c r="BG164" s="50"/>
      <c r="BH164" s="50"/>
      <c r="BI164" s="50"/>
      <c r="BJ164" s="50"/>
      <c r="BK164" s="50"/>
      <c r="BL164" s="50"/>
      <c r="BM164" s="50"/>
      <c r="BN164" s="50"/>
      <c r="BO164" s="50"/>
      <c r="BP164" s="50"/>
      <c r="BQ164" s="50"/>
      <c r="BR164" s="50"/>
      <c r="BS164" s="50"/>
      <c r="BT164" s="50"/>
      <c r="BU164" s="50"/>
      <c r="BV164" s="50"/>
    </row>
    <row r="165" spans="1:74">
      <c r="A165" s="564" t="s">
        <v>179</v>
      </c>
      <c r="B165" s="564"/>
      <c r="C165" s="563">
        <v>-5.4202307500879315E-2</v>
      </c>
      <c r="D165" s="563"/>
      <c r="S165" s="50"/>
      <c r="T165" s="50"/>
      <c r="U165" s="50"/>
      <c r="V165" s="50"/>
      <c r="W165" s="50"/>
      <c r="X165" s="50"/>
      <c r="Y165" s="50"/>
      <c r="Z165" s="50"/>
      <c r="AA165" s="50"/>
      <c r="AB165" s="50"/>
      <c r="AC165" s="50"/>
      <c r="AD165" s="50"/>
      <c r="AE165" s="50"/>
      <c r="AF165" s="50"/>
      <c r="AG165" s="50"/>
      <c r="AH165" s="50"/>
      <c r="AI165" s="50"/>
      <c r="AJ165" s="50"/>
      <c r="AK165" s="50"/>
      <c r="AL165" s="50"/>
      <c r="AM165" s="50"/>
      <c r="AN165" s="50"/>
      <c r="AO165" s="50"/>
      <c r="AP165" s="50"/>
      <c r="AQ165" s="50"/>
      <c r="AR165" s="50"/>
      <c r="AS165" s="50"/>
      <c r="AT165" s="50"/>
      <c r="AU165" s="50"/>
      <c r="AV165" s="50"/>
      <c r="AW165" s="50"/>
      <c r="AX165" s="50"/>
      <c r="AY165" s="50"/>
      <c r="AZ165" s="50"/>
      <c r="BA165" s="50"/>
      <c r="BB165" s="50"/>
      <c r="BC165" s="50"/>
      <c r="BD165" s="50"/>
      <c r="BE165" s="50"/>
      <c r="BF165" s="50"/>
      <c r="BG165" s="50"/>
      <c r="BH165" s="50"/>
      <c r="BI165" s="50"/>
      <c r="BJ165" s="50"/>
      <c r="BK165" s="50"/>
      <c r="BL165" s="50"/>
      <c r="BM165" s="50"/>
      <c r="BN165" s="50"/>
      <c r="BO165" s="50"/>
      <c r="BP165" s="50"/>
      <c r="BQ165" s="50"/>
      <c r="BR165" s="50"/>
      <c r="BS165" s="50"/>
      <c r="BT165" s="50"/>
      <c r="BU165" s="50"/>
      <c r="BV165" s="50"/>
    </row>
    <row r="166" spans="1:74">
      <c r="A166" s="564" t="s">
        <v>180</v>
      </c>
      <c r="B166" s="564"/>
      <c r="C166" s="563">
        <v>4.9535168764568274E-2</v>
      </c>
      <c r="D166" s="563"/>
      <c r="S166" s="50"/>
      <c r="T166" s="50"/>
      <c r="U166" s="50"/>
      <c r="V166" s="50"/>
      <c r="W166" s="50"/>
      <c r="X166" s="50"/>
      <c r="Y166" s="50"/>
      <c r="Z166" s="50"/>
      <c r="AA166" s="50"/>
      <c r="AB166" s="50"/>
      <c r="AC166" s="50"/>
      <c r="AD166" s="50"/>
      <c r="AE166" s="50"/>
      <c r="AF166" s="50"/>
      <c r="AG166" s="50"/>
      <c r="AH166" s="50"/>
      <c r="AI166" s="50"/>
      <c r="AJ166" s="50"/>
      <c r="AK166" s="50"/>
      <c r="AL166" s="50"/>
      <c r="AM166" s="50"/>
      <c r="AN166" s="50"/>
      <c r="AO166" s="50"/>
      <c r="AP166" s="50"/>
      <c r="AQ166" s="50"/>
      <c r="AR166" s="50"/>
      <c r="AS166" s="50"/>
      <c r="AT166" s="50"/>
      <c r="AU166" s="50"/>
      <c r="AV166" s="50"/>
      <c r="AW166" s="50"/>
      <c r="AX166" s="50"/>
      <c r="AY166" s="50"/>
      <c r="AZ166" s="50"/>
      <c r="BA166" s="50"/>
      <c r="BB166" s="50"/>
      <c r="BC166" s="50"/>
      <c r="BD166" s="50"/>
      <c r="BE166" s="50"/>
      <c r="BF166" s="50"/>
      <c r="BG166" s="50"/>
      <c r="BH166" s="50"/>
      <c r="BI166" s="50"/>
      <c r="BJ166" s="50"/>
      <c r="BK166" s="50"/>
      <c r="BL166" s="50"/>
      <c r="BM166" s="50"/>
      <c r="BN166" s="50"/>
      <c r="BO166" s="50"/>
      <c r="BP166" s="50"/>
      <c r="BQ166" s="50"/>
      <c r="BR166" s="50"/>
      <c r="BS166" s="50"/>
      <c r="BT166" s="50"/>
      <c r="BU166" s="50"/>
      <c r="BV166" s="50"/>
    </row>
    <row r="167" spans="1:74">
      <c r="A167" s="564" t="s">
        <v>181</v>
      </c>
      <c r="B167" s="564"/>
      <c r="C167" s="563">
        <v>2.1930400877773866</v>
      </c>
      <c r="D167" s="563"/>
      <c r="S167" s="50"/>
      <c r="T167" s="50"/>
      <c r="U167" s="50"/>
      <c r="V167" s="50"/>
      <c r="W167" s="50"/>
      <c r="X167" s="50"/>
      <c r="Y167" s="50"/>
      <c r="Z167" s="50"/>
      <c r="AA167" s="50"/>
      <c r="AB167" s="50"/>
      <c r="AC167" s="50"/>
      <c r="AD167" s="50"/>
      <c r="AE167" s="50"/>
      <c r="AF167" s="50"/>
      <c r="AG167" s="50"/>
      <c r="AH167" s="50"/>
      <c r="AI167" s="50"/>
      <c r="AJ167" s="50"/>
      <c r="AK167" s="50"/>
      <c r="AL167" s="50"/>
      <c r="AM167" s="50"/>
      <c r="AN167" s="50"/>
      <c r="AO167" s="50"/>
      <c r="AP167" s="50"/>
      <c r="AQ167" s="50"/>
      <c r="AR167" s="50"/>
      <c r="AS167" s="50"/>
      <c r="AT167" s="50"/>
      <c r="AU167" s="50"/>
      <c r="AV167" s="50"/>
      <c r="AW167" s="50"/>
      <c r="AX167" s="50"/>
      <c r="AY167" s="50"/>
      <c r="AZ167" s="50"/>
      <c r="BA167" s="50"/>
      <c r="BB167" s="50"/>
      <c r="BC167" s="50"/>
      <c r="BD167" s="50"/>
      <c r="BE167" s="50"/>
      <c r="BF167" s="50"/>
      <c r="BG167" s="50"/>
      <c r="BH167" s="50"/>
      <c r="BI167" s="50"/>
      <c r="BJ167" s="50"/>
      <c r="BK167" s="50"/>
      <c r="BL167" s="50"/>
      <c r="BM167" s="50"/>
      <c r="BN167" s="50"/>
      <c r="BO167" s="50"/>
      <c r="BP167" s="50"/>
      <c r="BQ167" s="50"/>
      <c r="BR167" s="50"/>
      <c r="BS167" s="50"/>
      <c r="BT167" s="50"/>
      <c r="BU167" s="50"/>
      <c r="BV167" s="50"/>
    </row>
    <row r="168" spans="1:74">
      <c r="A168" s="564" t="s">
        <v>183</v>
      </c>
      <c r="B168" s="564"/>
      <c r="C168" s="563">
        <v>56.97810263890522</v>
      </c>
      <c r="D168" s="563"/>
      <c r="S168" s="50"/>
      <c r="T168" s="50"/>
      <c r="U168" s="50"/>
      <c r="V168" s="50"/>
      <c r="W168" s="50"/>
      <c r="X168" s="50"/>
      <c r="Y168" s="50"/>
      <c r="Z168" s="50"/>
      <c r="AA168" s="50"/>
      <c r="AB168" s="50"/>
      <c r="AC168" s="50"/>
      <c r="AD168" s="50"/>
      <c r="AE168" s="50"/>
      <c r="AF168" s="50"/>
      <c r="AG168" s="50"/>
      <c r="AH168" s="50"/>
      <c r="AI168" s="50"/>
      <c r="AJ168" s="50"/>
      <c r="AK168" s="50"/>
      <c r="AL168" s="50"/>
      <c r="AM168" s="50"/>
      <c r="AN168" s="50"/>
      <c r="AO168" s="50"/>
      <c r="AP168" s="50"/>
      <c r="AQ168" s="50"/>
      <c r="AR168" s="50"/>
      <c r="AS168" s="50"/>
      <c r="AT168" s="50"/>
      <c r="AU168" s="50"/>
      <c r="AV168" s="50"/>
      <c r="AW168" s="50"/>
      <c r="AX168" s="50"/>
      <c r="AY168" s="50"/>
      <c r="AZ168" s="50"/>
      <c r="BA168" s="50"/>
      <c r="BB168" s="50"/>
      <c r="BC168" s="50"/>
      <c r="BD168" s="50"/>
      <c r="BE168" s="50"/>
      <c r="BF168" s="50"/>
      <c r="BG168" s="50"/>
      <c r="BH168" s="50"/>
      <c r="BI168" s="50"/>
      <c r="BJ168" s="50"/>
      <c r="BK168" s="50"/>
      <c r="BL168" s="50"/>
      <c r="BM168" s="50"/>
      <c r="BN168" s="50"/>
      <c r="BO168" s="50"/>
      <c r="BP168" s="50"/>
      <c r="BQ168" s="50"/>
      <c r="BR168" s="50"/>
      <c r="BS168" s="50"/>
      <c r="BT168" s="50"/>
      <c r="BU168" s="50"/>
      <c r="BV168" s="50"/>
    </row>
    <row r="169" spans="1:74">
      <c r="S169" s="50"/>
      <c r="T169" s="50"/>
      <c r="U169" s="50"/>
      <c r="V169" s="50"/>
      <c r="W169" s="50"/>
      <c r="X169" s="50"/>
      <c r="Y169" s="50"/>
      <c r="Z169" s="50"/>
      <c r="AA169" s="50"/>
      <c r="AB169" s="50"/>
      <c r="AC169" s="50"/>
      <c r="AD169" s="50"/>
      <c r="AE169" s="50"/>
      <c r="AF169" s="50"/>
      <c r="AG169" s="50"/>
      <c r="AH169" s="50"/>
      <c r="AI169" s="50"/>
      <c r="AJ169" s="50"/>
      <c r="AK169" s="50"/>
      <c r="AL169" s="50"/>
      <c r="AM169" s="50"/>
      <c r="AN169" s="50"/>
      <c r="AO169" s="50"/>
      <c r="AP169" s="50"/>
      <c r="AQ169" s="50"/>
      <c r="AR169" s="50"/>
      <c r="AS169" s="50"/>
      <c r="AT169" s="50"/>
      <c r="AU169" s="50"/>
      <c r="AV169" s="50"/>
      <c r="AW169" s="50"/>
      <c r="AX169" s="50"/>
      <c r="AY169" s="50"/>
      <c r="AZ169" s="50"/>
      <c r="BA169" s="50"/>
      <c r="BB169" s="50"/>
      <c r="BC169" s="50"/>
      <c r="BD169" s="50"/>
      <c r="BE169" s="50"/>
      <c r="BF169" s="50"/>
      <c r="BG169" s="50"/>
      <c r="BH169" s="50"/>
      <c r="BI169" s="50"/>
      <c r="BJ169" s="50"/>
      <c r="BK169" s="50"/>
      <c r="BL169" s="50"/>
      <c r="BM169" s="50"/>
      <c r="BN169" s="50"/>
      <c r="BO169" s="50"/>
      <c r="BP169" s="50"/>
      <c r="BQ169" s="50"/>
      <c r="BR169" s="50"/>
      <c r="BS169" s="50"/>
      <c r="BT169" s="50"/>
      <c r="BU169" s="50"/>
      <c r="BV169" s="50"/>
    </row>
    <row r="170" spans="1:74">
      <c r="B170" s="50"/>
      <c r="C170" s="50"/>
      <c r="D170" s="50"/>
      <c r="E170" s="50"/>
      <c r="F170" s="50"/>
      <c r="G170" s="50"/>
      <c r="H170" s="50"/>
      <c r="I170" s="50"/>
      <c r="J170" s="50"/>
      <c r="M170" s="50"/>
      <c r="S170" s="50"/>
      <c r="T170" s="50"/>
      <c r="U170" s="50"/>
      <c r="V170" s="50"/>
      <c r="W170" s="50"/>
      <c r="X170" s="50"/>
      <c r="Y170" s="50"/>
      <c r="Z170" s="50"/>
      <c r="AA170" s="50"/>
      <c r="AB170" s="50"/>
      <c r="AC170" s="50"/>
      <c r="AD170" s="50"/>
      <c r="AE170" s="50"/>
      <c r="AF170" s="50"/>
      <c r="AG170" s="50"/>
      <c r="AH170" s="50"/>
      <c r="AI170" s="50"/>
      <c r="AJ170" s="50"/>
      <c r="AK170" s="50"/>
      <c r="AL170" s="50"/>
      <c r="AM170" s="50"/>
      <c r="AN170" s="50"/>
      <c r="AO170" s="50"/>
      <c r="AP170" s="50"/>
      <c r="AQ170" s="50"/>
      <c r="AR170" s="50"/>
      <c r="AS170" s="50"/>
      <c r="AT170" s="50"/>
      <c r="AU170" s="50"/>
      <c r="AV170" s="50"/>
      <c r="AW170" s="50"/>
      <c r="AX170" s="50"/>
      <c r="AY170" s="50"/>
      <c r="AZ170" s="50"/>
      <c r="BA170" s="50"/>
      <c r="BB170" s="50"/>
      <c r="BC170" s="50"/>
      <c r="BD170" s="50"/>
      <c r="BE170" s="50"/>
      <c r="BF170" s="50"/>
      <c r="BG170" s="50"/>
      <c r="BH170" s="50"/>
      <c r="BI170" s="50"/>
      <c r="BJ170" s="50"/>
      <c r="BK170" s="50"/>
      <c r="BL170" s="50"/>
      <c r="BM170" s="50"/>
      <c r="BN170" s="50"/>
      <c r="BO170" s="50"/>
      <c r="BP170" s="50"/>
      <c r="BQ170" s="50"/>
      <c r="BR170" s="50"/>
      <c r="BS170" s="50"/>
      <c r="BT170" s="50"/>
      <c r="BU170" s="50"/>
      <c r="BV170" s="50"/>
    </row>
    <row r="171" spans="1:74">
      <c r="B171" s="50"/>
      <c r="C171" s="50"/>
      <c r="D171" s="50"/>
      <c r="E171" s="50"/>
      <c r="F171" s="50"/>
      <c r="G171" s="50"/>
      <c r="H171" s="50"/>
      <c r="I171" s="50"/>
      <c r="J171" s="50"/>
      <c r="M171" s="50"/>
      <c r="S171" s="50"/>
      <c r="T171" s="50"/>
      <c r="U171" s="50"/>
      <c r="V171" s="50"/>
      <c r="W171" s="50"/>
      <c r="X171" s="50"/>
      <c r="Y171" s="50"/>
      <c r="Z171" s="50"/>
      <c r="AA171" s="50"/>
      <c r="AB171" s="50"/>
      <c r="AC171" s="50"/>
      <c r="AD171" s="50"/>
      <c r="AE171" s="50"/>
      <c r="AF171" s="50"/>
      <c r="AG171" s="50"/>
      <c r="AH171" s="50"/>
      <c r="AI171" s="50"/>
      <c r="AJ171" s="50"/>
      <c r="AK171" s="50"/>
      <c r="AL171" s="50"/>
      <c r="AM171" s="50"/>
      <c r="AN171" s="50"/>
      <c r="AO171" s="50"/>
      <c r="AP171" s="50"/>
      <c r="AQ171" s="50"/>
      <c r="AR171" s="50"/>
      <c r="AS171" s="50"/>
      <c r="AT171" s="50"/>
      <c r="AU171" s="50"/>
      <c r="AV171" s="50"/>
      <c r="AW171" s="50"/>
      <c r="AX171" s="50"/>
      <c r="AY171" s="50"/>
      <c r="AZ171" s="50"/>
      <c r="BA171" s="50"/>
      <c r="BB171" s="50"/>
      <c r="BC171" s="50"/>
      <c r="BD171" s="50"/>
      <c r="BE171" s="50"/>
      <c r="BF171" s="50"/>
      <c r="BG171" s="50"/>
      <c r="BH171" s="50"/>
      <c r="BI171" s="50"/>
      <c r="BJ171" s="50"/>
      <c r="BK171" s="50"/>
      <c r="BL171" s="50"/>
      <c r="BM171" s="50"/>
      <c r="BN171" s="50"/>
      <c r="BO171" s="50"/>
      <c r="BP171" s="50"/>
      <c r="BQ171" s="50"/>
      <c r="BR171" s="50"/>
      <c r="BS171" s="50"/>
      <c r="BT171" s="50"/>
      <c r="BU171" s="50"/>
      <c r="BV171" s="50"/>
    </row>
    <row r="172" spans="1:74">
      <c r="B172" s="50"/>
      <c r="C172" s="50"/>
      <c r="D172" s="50"/>
      <c r="E172" s="50"/>
      <c r="F172" s="50"/>
      <c r="G172" s="50"/>
      <c r="H172" s="50"/>
      <c r="I172" s="50"/>
      <c r="J172" s="50"/>
      <c r="M172" s="50"/>
      <c r="S172" s="50"/>
      <c r="T172" s="50"/>
      <c r="U172" s="50"/>
      <c r="V172" s="50"/>
      <c r="W172" s="50"/>
      <c r="X172" s="50"/>
      <c r="Y172" s="50"/>
      <c r="Z172" s="50"/>
      <c r="AA172" s="50"/>
      <c r="AB172" s="50"/>
      <c r="AC172" s="50"/>
      <c r="AD172" s="50"/>
      <c r="AE172" s="50"/>
      <c r="AF172" s="50"/>
      <c r="AG172" s="50"/>
      <c r="AH172" s="50"/>
      <c r="AI172" s="50"/>
      <c r="AJ172" s="50"/>
      <c r="AK172" s="50"/>
      <c r="AL172" s="50"/>
      <c r="AM172" s="50"/>
      <c r="AN172" s="50"/>
      <c r="AO172" s="50"/>
      <c r="AP172" s="50"/>
      <c r="AQ172" s="50"/>
      <c r="AR172" s="50"/>
      <c r="AS172" s="50"/>
      <c r="AT172" s="50"/>
      <c r="AU172" s="50"/>
      <c r="AV172" s="50"/>
      <c r="AW172" s="50"/>
      <c r="AX172" s="50"/>
      <c r="AY172" s="50"/>
      <c r="AZ172" s="50"/>
      <c r="BA172" s="50"/>
      <c r="BB172" s="50"/>
      <c r="BC172" s="50"/>
      <c r="BD172" s="50"/>
      <c r="BE172" s="50"/>
      <c r="BF172" s="50"/>
      <c r="BG172" s="50"/>
      <c r="BH172" s="50"/>
      <c r="BI172" s="50"/>
      <c r="BJ172" s="50"/>
      <c r="BK172" s="50"/>
      <c r="BL172" s="50"/>
      <c r="BM172" s="50"/>
      <c r="BN172" s="50"/>
      <c r="BO172" s="50"/>
      <c r="BP172" s="50"/>
      <c r="BQ172" s="50"/>
      <c r="BR172" s="50"/>
      <c r="BS172" s="50"/>
      <c r="BT172" s="50"/>
      <c r="BU172" s="50"/>
      <c r="BV172" s="50"/>
    </row>
    <row r="173" spans="1:74">
      <c r="B173" s="50"/>
      <c r="C173" s="50"/>
      <c r="D173" s="50"/>
      <c r="E173" s="50"/>
      <c r="F173" s="50"/>
      <c r="G173" s="50"/>
      <c r="H173" s="50"/>
      <c r="I173" s="50"/>
      <c r="J173" s="50"/>
      <c r="K173" s="50"/>
      <c r="L173" s="50"/>
      <c r="M173" s="50"/>
      <c r="S173" s="50"/>
      <c r="T173" s="50"/>
      <c r="U173" s="50"/>
      <c r="V173" s="50"/>
      <c r="W173" s="50"/>
      <c r="X173" s="50"/>
      <c r="Y173" s="50"/>
      <c r="Z173" s="50"/>
      <c r="AA173" s="50"/>
      <c r="AB173" s="50"/>
      <c r="AC173" s="50"/>
      <c r="AD173" s="50"/>
      <c r="AE173" s="50"/>
      <c r="AF173" s="50"/>
      <c r="AG173" s="50"/>
      <c r="AH173" s="50"/>
      <c r="AI173" s="50"/>
      <c r="AJ173" s="50"/>
      <c r="AK173" s="50"/>
      <c r="AL173" s="50"/>
      <c r="AM173" s="50"/>
      <c r="AN173" s="50"/>
      <c r="AO173" s="50"/>
      <c r="AP173" s="50"/>
      <c r="AQ173" s="50"/>
      <c r="AR173" s="50"/>
      <c r="AS173" s="50"/>
      <c r="AT173" s="50"/>
      <c r="AU173" s="50"/>
      <c r="AV173" s="50"/>
      <c r="AW173" s="50"/>
      <c r="AX173" s="50"/>
      <c r="AY173" s="50"/>
      <c r="AZ173" s="50"/>
      <c r="BA173" s="50"/>
      <c r="BB173" s="50"/>
      <c r="BC173" s="50"/>
      <c r="BD173" s="50"/>
      <c r="BE173" s="50"/>
      <c r="BF173" s="50"/>
      <c r="BG173" s="50"/>
      <c r="BH173" s="50"/>
      <c r="BI173" s="50"/>
      <c r="BJ173" s="50"/>
      <c r="BK173" s="50"/>
      <c r="BL173" s="50"/>
      <c r="BM173" s="50"/>
      <c r="BN173" s="50"/>
      <c r="BO173" s="50"/>
      <c r="BP173" s="50"/>
      <c r="BQ173" s="50"/>
      <c r="BR173" s="50"/>
      <c r="BS173" s="50"/>
      <c r="BT173" s="50"/>
      <c r="BU173" s="50"/>
      <c r="BV173" s="50"/>
    </row>
    <row r="174" spans="1:74">
      <c r="B174" s="50"/>
      <c r="C174" s="50"/>
      <c r="D174" s="50"/>
      <c r="E174" s="50"/>
      <c r="F174" s="50"/>
      <c r="G174" s="50"/>
      <c r="H174" s="50"/>
      <c r="I174" s="50"/>
      <c r="J174" s="50"/>
      <c r="K174" s="50"/>
      <c r="L174" s="50"/>
      <c r="M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c r="AO174" s="50"/>
      <c r="AP174" s="50"/>
      <c r="AQ174" s="50"/>
      <c r="AR174" s="50"/>
      <c r="AS174" s="50"/>
      <c r="AT174" s="50"/>
      <c r="AU174" s="50"/>
      <c r="AV174" s="50"/>
      <c r="AW174" s="50"/>
      <c r="AX174" s="50"/>
      <c r="AY174" s="50"/>
      <c r="AZ174" s="50"/>
      <c r="BA174" s="50"/>
      <c r="BB174" s="50"/>
      <c r="BC174" s="50"/>
      <c r="BD174" s="50"/>
      <c r="BE174" s="50"/>
      <c r="BF174" s="50"/>
      <c r="BG174" s="50"/>
      <c r="BH174" s="50"/>
      <c r="BI174" s="50"/>
      <c r="BJ174" s="50"/>
      <c r="BK174" s="50"/>
      <c r="BL174" s="50"/>
      <c r="BM174" s="50"/>
      <c r="BN174" s="50"/>
      <c r="BO174" s="50"/>
      <c r="BP174" s="50"/>
      <c r="BQ174" s="50"/>
      <c r="BR174" s="50"/>
      <c r="BS174" s="50"/>
      <c r="BT174" s="50"/>
      <c r="BU174" s="50"/>
      <c r="BV174" s="50"/>
    </row>
    <row r="175" spans="1:74">
      <c r="B175" s="50"/>
      <c r="C175" s="50"/>
      <c r="D175" s="50"/>
      <c r="E175" s="50"/>
      <c r="F175" s="50"/>
      <c r="G175" s="50"/>
      <c r="H175" s="50"/>
      <c r="I175" s="50"/>
      <c r="J175" s="50"/>
      <c r="K175" s="50"/>
      <c r="L175" s="50"/>
      <c r="M175" s="50"/>
      <c r="S175" s="50"/>
      <c r="T175" s="50"/>
      <c r="U175" s="50"/>
      <c r="V175" s="50"/>
      <c r="W175" s="50"/>
      <c r="X175" s="50"/>
      <c r="Y175" s="50"/>
      <c r="Z175" s="50"/>
      <c r="AA175" s="50"/>
      <c r="AB175" s="50"/>
      <c r="AC175" s="50"/>
      <c r="AD175" s="50"/>
      <c r="AE175" s="50"/>
      <c r="AF175" s="50"/>
      <c r="AG175" s="50"/>
      <c r="AH175" s="50"/>
      <c r="AI175" s="50"/>
      <c r="AJ175" s="50"/>
      <c r="AK175" s="50"/>
      <c r="AL175" s="50"/>
      <c r="AM175" s="50"/>
      <c r="AN175" s="50"/>
      <c r="AO175" s="50"/>
      <c r="AP175" s="50"/>
      <c r="AQ175" s="50"/>
      <c r="AR175" s="50"/>
      <c r="AS175" s="50"/>
      <c r="AT175" s="50"/>
      <c r="AU175" s="50"/>
      <c r="AV175" s="50"/>
      <c r="AW175" s="50"/>
      <c r="AX175" s="50"/>
      <c r="AY175" s="50"/>
      <c r="AZ175" s="50"/>
      <c r="BA175" s="50"/>
      <c r="BB175" s="50"/>
      <c r="BC175" s="50"/>
      <c r="BD175" s="50"/>
      <c r="BE175" s="50"/>
      <c r="BF175" s="50"/>
      <c r="BG175" s="50"/>
      <c r="BH175" s="50"/>
      <c r="BI175" s="50"/>
      <c r="BJ175" s="50"/>
      <c r="BK175" s="50"/>
      <c r="BL175" s="50"/>
      <c r="BM175" s="50"/>
      <c r="BN175" s="50"/>
      <c r="BO175" s="50"/>
      <c r="BP175" s="50"/>
      <c r="BQ175" s="50"/>
      <c r="BR175" s="50"/>
      <c r="BS175" s="50"/>
      <c r="BT175" s="50"/>
      <c r="BU175" s="50"/>
      <c r="BV175" s="50"/>
    </row>
    <row r="176" spans="1:74">
      <c r="B176" s="50"/>
      <c r="C176" s="50"/>
      <c r="D176" s="50"/>
      <c r="E176" s="50"/>
      <c r="F176" s="50"/>
      <c r="G176" s="50"/>
      <c r="H176" s="50"/>
      <c r="I176" s="50"/>
      <c r="J176" s="50"/>
      <c r="K176" s="50"/>
      <c r="L176" s="50"/>
      <c r="M176" s="50"/>
      <c r="S176" s="50"/>
      <c r="T176" s="50"/>
      <c r="U176" s="50"/>
      <c r="V176" s="50"/>
      <c r="W176" s="50"/>
      <c r="X176" s="50"/>
      <c r="Y176" s="50"/>
      <c r="Z176" s="50"/>
      <c r="AA176" s="50"/>
      <c r="AB176" s="50"/>
      <c r="AC176" s="50"/>
      <c r="AD176" s="50"/>
      <c r="AE176" s="50"/>
      <c r="AF176" s="50"/>
      <c r="AG176" s="50"/>
      <c r="AH176" s="50"/>
      <c r="AI176" s="50"/>
      <c r="AJ176" s="50"/>
      <c r="AK176" s="50"/>
      <c r="AL176" s="50"/>
      <c r="AM176" s="50"/>
      <c r="AN176" s="50"/>
      <c r="AO176" s="50"/>
      <c r="AP176" s="50"/>
      <c r="AQ176" s="50"/>
      <c r="AR176" s="50"/>
      <c r="AS176" s="50"/>
      <c r="AT176" s="50"/>
      <c r="AU176" s="50"/>
      <c r="AV176" s="50"/>
      <c r="AW176" s="50"/>
      <c r="AX176" s="50"/>
      <c r="AY176" s="50"/>
      <c r="AZ176" s="50"/>
      <c r="BA176" s="50"/>
      <c r="BB176" s="50"/>
      <c r="BC176" s="50"/>
      <c r="BD176" s="50"/>
      <c r="BE176" s="50"/>
      <c r="BF176" s="50"/>
      <c r="BG176" s="50"/>
      <c r="BH176" s="50"/>
      <c r="BI176" s="50"/>
      <c r="BJ176" s="50"/>
      <c r="BK176" s="50"/>
      <c r="BL176" s="50"/>
      <c r="BM176" s="50"/>
      <c r="BN176" s="50"/>
      <c r="BO176" s="50"/>
      <c r="BP176" s="50"/>
      <c r="BQ176" s="50"/>
      <c r="BR176" s="50"/>
      <c r="BS176" s="50"/>
      <c r="BT176" s="50"/>
      <c r="BU176" s="50"/>
      <c r="BV176" s="50"/>
    </row>
    <row r="177" spans="2:74">
      <c r="B177" s="50"/>
      <c r="C177" s="50"/>
      <c r="D177" s="50"/>
      <c r="E177" s="50"/>
      <c r="F177" s="50"/>
      <c r="G177" s="50"/>
      <c r="H177" s="50"/>
      <c r="I177" s="50"/>
      <c r="J177" s="50"/>
      <c r="K177" s="50"/>
      <c r="L177" s="50"/>
      <c r="M177" s="50"/>
      <c r="S177" s="50"/>
      <c r="T177" s="50"/>
      <c r="U177" s="50"/>
      <c r="V177" s="50"/>
      <c r="W177" s="50"/>
      <c r="X177" s="50"/>
      <c r="Y177" s="50"/>
      <c r="Z177" s="50"/>
      <c r="AA177" s="50"/>
      <c r="AB177" s="50"/>
      <c r="AC177" s="50"/>
      <c r="AD177" s="50"/>
      <c r="AE177" s="50"/>
      <c r="AF177" s="50"/>
      <c r="AG177" s="50"/>
      <c r="AH177" s="50"/>
      <c r="AI177" s="50"/>
      <c r="AJ177" s="50"/>
      <c r="AK177" s="50"/>
      <c r="AL177" s="50"/>
      <c r="AM177" s="50"/>
      <c r="AN177" s="50"/>
      <c r="AO177" s="50"/>
      <c r="AP177" s="50"/>
      <c r="AQ177" s="50"/>
      <c r="AR177" s="50"/>
      <c r="AS177" s="50"/>
      <c r="AT177" s="50"/>
      <c r="AU177" s="50"/>
      <c r="AV177" s="50"/>
      <c r="AW177" s="50"/>
      <c r="AX177" s="50"/>
      <c r="AY177" s="50"/>
      <c r="AZ177" s="50"/>
      <c r="BA177" s="50"/>
      <c r="BB177" s="50"/>
      <c r="BC177" s="50"/>
      <c r="BD177" s="50"/>
      <c r="BE177" s="50"/>
      <c r="BF177" s="50"/>
      <c r="BG177" s="50"/>
      <c r="BH177" s="50"/>
      <c r="BI177" s="50"/>
      <c r="BJ177" s="50"/>
      <c r="BK177" s="50"/>
      <c r="BL177" s="50"/>
      <c r="BM177" s="50"/>
      <c r="BN177" s="50"/>
      <c r="BO177" s="50"/>
      <c r="BP177" s="50"/>
      <c r="BQ177" s="50"/>
      <c r="BR177" s="50"/>
      <c r="BS177" s="50"/>
      <c r="BT177" s="50"/>
      <c r="BU177" s="50"/>
      <c r="BV177" s="50"/>
    </row>
    <row r="178" spans="2:74">
      <c r="B178" s="50"/>
      <c r="C178" s="50"/>
      <c r="D178" s="50"/>
      <c r="E178" s="50"/>
      <c r="F178" s="50"/>
      <c r="G178" s="50"/>
      <c r="H178" s="50"/>
      <c r="I178" s="50"/>
      <c r="J178" s="50"/>
      <c r="K178" s="50"/>
      <c r="L178" s="50"/>
      <c r="M178" s="50"/>
      <c r="N178" s="50"/>
      <c r="O178" s="50"/>
      <c r="P178" s="50"/>
      <c r="Q178" s="50"/>
      <c r="R178" s="50"/>
      <c r="S178" s="50"/>
      <c r="T178" s="50"/>
      <c r="U178" s="50"/>
      <c r="V178" s="50"/>
      <c r="W178" s="50"/>
      <c r="X178" s="50"/>
      <c r="Y178" s="50"/>
      <c r="Z178" s="50"/>
      <c r="AA178" s="50"/>
      <c r="AB178" s="50"/>
      <c r="AC178" s="50"/>
      <c r="AD178" s="50"/>
      <c r="AE178" s="50"/>
      <c r="AF178" s="50"/>
      <c r="AG178" s="50"/>
      <c r="AH178" s="50"/>
      <c r="AI178" s="50"/>
      <c r="AJ178" s="50"/>
      <c r="AK178" s="50"/>
      <c r="AL178" s="50"/>
      <c r="AM178" s="50"/>
      <c r="AN178" s="50"/>
      <c r="AO178" s="50"/>
      <c r="AP178" s="50"/>
      <c r="AQ178" s="50"/>
      <c r="AR178" s="50"/>
      <c r="AS178" s="50"/>
      <c r="AT178" s="50"/>
      <c r="AU178" s="50"/>
      <c r="AV178" s="50"/>
      <c r="AW178" s="50"/>
      <c r="AX178" s="50"/>
      <c r="AY178" s="50"/>
      <c r="AZ178" s="50"/>
      <c r="BA178" s="50"/>
      <c r="BB178" s="50"/>
      <c r="BC178" s="50"/>
      <c r="BD178" s="50"/>
      <c r="BE178" s="50"/>
      <c r="BF178" s="50"/>
      <c r="BG178" s="50"/>
      <c r="BH178" s="50"/>
      <c r="BI178" s="50"/>
      <c r="BJ178" s="50"/>
      <c r="BK178" s="50"/>
      <c r="BL178" s="50"/>
      <c r="BM178" s="50"/>
      <c r="BN178" s="50"/>
      <c r="BO178" s="50"/>
      <c r="BP178" s="50"/>
      <c r="BQ178" s="50"/>
      <c r="BR178" s="50"/>
      <c r="BS178" s="50"/>
      <c r="BT178" s="50"/>
      <c r="BU178" s="50"/>
      <c r="BV178" s="50"/>
    </row>
    <row r="179" spans="2:74">
      <c r="B179" s="50"/>
      <c r="C179" s="50"/>
      <c r="D179" s="50"/>
      <c r="E179" s="50"/>
      <c r="F179" s="50"/>
      <c r="G179" s="50"/>
      <c r="H179" s="50"/>
      <c r="I179" s="50"/>
      <c r="J179" s="50"/>
      <c r="K179" s="50"/>
      <c r="L179" s="50"/>
      <c r="M179" s="50"/>
      <c r="N179" s="50"/>
      <c r="O179" s="50"/>
      <c r="P179" s="50"/>
      <c r="Q179" s="50"/>
      <c r="R179" s="50"/>
      <c r="S179" s="50"/>
      <c r="T179" s="50"/>
      <c r="U179" s="50"/>
      <c r="V179" s="50"/>
      <c r="W179" s="50"/>
      <c r="X179" s="50"/>
      <c r="Y179" s="50"/>
      <c r="Z179" s="50"/>
      <c r="AA179" s="50"/>
      <c r="AB179" s="50"/>
      <c r="AC179" s="50"/>
      <c r="AD179" s="50"/>
      <c r="AE179" s="50"/>
      <c r="AF179" s="50"/>
      <c r="AG179" s="50"/>
      <c r="AH179" s="50"/>
      <c r="AI179" s="50"/>
      <c r="AJ179" s="50"/>
      <c r="AK179" s="50"/>
      <c r="AL179" s="50"/>
      <c r="AM179" s="50"/>
      <c r="AN179" s="50"/>
      <c r="AO179" s="50"/>
      <c r="AP179" s="50"/>
      <c r="AQ179" s="50"/>
      <c r="AR179" s="50"/>
      <c r="AS179" s="50"/>
      <c r="AT179" s="50"/>
      <c r="AU179" s="50"/>
      <c r="AV179" s="50"/>
      <c r="AW179" s="50"/>
      <c r="AX179" s="50"/>
      <c r="AY179" s="50"/>
      <c r="AZ179" s="50"/>
      <c r="BA179" s="50"/>
      <c r="BB179" s="50"/>
      <c r="BC179" s="50"/>
      <c r="BD179" s="50"/>
      <c r="BE179" s="50"/>
      <c r="BF179" s="50"/>
      <c r="BG179" s="50"/>
      <c r="BH179" s="50"/>
      <c r="BI179" s="50"/>
      <c r="BJ179" s="50"/>
      <c r="BK179" s="50"/>
      <c r="BL179" s="50"/>
      <c r="BM179" s="50"/>
      <c r="BN179" s="50"/>
      <c r="BO179" s="50"/>
      <c r="BP179" s="50"/>
      <c r="BQ179" s="50"/>
      <c r="BR179" s="50"/>
      <c r="BS179" s="50"/>
      <c r="BT179" s="50"/>
      <c r="BU179" s="50"/>
      <c r="BV179" s="50"/>
    </row>
    <row r="180" spans="2:74">
      <c r="B180" s="50"/>
      <c r="C180" s="50"/>
      <c r="D180" s="50"/>
      <c r="E180" s="50"/>
      <c r="F180" s="50"/>
      <c r="G180" s="50"/>
      <c r="H180" s="50"/>
      <c r="I180" s="50"/>
      <c r="J180" s="50"/>
      <c r="K180" s="50"/>
      <c r="L180" s="50"/>
      <c r="M180" s="50"/>
      <c r="N180" s="50"/>
      <c r="O180" s="50"/>
      <c r="P180" s="50"/>
      <c r="Q180" s="50"/>
      <c r="R180" s="50"/>
      <c r="S180" s="50"/>
      <c r="T180" s="50"/>
      <c r="U180" s="50"/>
      <c r="V180" s="50"/>
      <c r="W180" s="50"/>
      <c r="X180" s="50"/>
      <c r="Y180" s="50"/>
      <c r="Z180" s="50"/>
      <c r="AA180" s="50"/>
      <c r="AB180" s="50"/>
      <c r="AC180" s="50"/>
      <c r="AD180" s="50"/>
      <c r="AE180" s="50"/>
      <c r="AF180" s="50"/>
      <c r="AG180" s="50"/>
      <c r="AH180" s="50"/>
      <c r="AI180" s="50"/>
      <c r="AJ180" s="50"/>
      <c r="AK180" s="50"/>
      <c r="AL180" s="50"/>
      <c r="AM180" s="50"/>
      <c r="AN180" s="50"/>
      <c r="AO180" s="50"/>
      <c r="AP180" s="50"/>
      <c r="AQ180" s="50"/>
      <c r="AR180" s="50"/>
      <c r="AS180" s="50"/>
      <c r="AT180" s="50"/>
      <c r="AU180" s="50"/>
      <c r="AV180" s="50"/>
      <c r="AW180" s="50"/>
      <c r="AX180" s="50"/>
      <c r="AY180" s="50"/>
      <c r="AZ180" s="50"/>
      <c r="BA180" s="50"/>
      <c r="BB180" s="50"/>
      <c r="BC180" s="50"/>
      <c r="BD180" s="50"/>
      <c r="BE180" s="50"/>
      <c r="BF180" s="50"/>
      <c r="BG180" s="50"/>
      <c r="BH180" s="50"/>
      <c r="BI180" s="50"/>
      <c r="BJ180" s="50"/>
      <c r="BK180" s="50"/>
      <c r="BL180" s="50"/>
      <c r="BM180" s="50"/>
      <c r="BN180" s="50"/>
      <c r="BO180" s="50"/>
      <c r="BP180" s="50"/>
      <c r="BQ180" s="50"/>
      <c r="BR180" s="50"/>
      <c r="BS180" s="50"/>
      <c r="BT180" s="50"/>
      <c r="BU180" s="50"/>
      <c r="BV180" s="50"/>
    </row>
    <row r="181" spans="2:74">
      <c r="B181" s="50"/>
      <c r="C181" s="50"/>
      <c r="D181" s="50"/>
      <c r="E181" s="50"/>
      <c r="F181" s="50"/>
      <c r="G181" s="50"/>
      <c r="H181" s="50"/>
      <c r="I181" s="50"/>
      <c r="J181" s="50"/>
      <c r="K181" s="50"/>
      <c r="L181" s="50"/>
      <c r="M181" s="50"/>
      <c r="N181" s="50"/>
      <c r="O181" s="50"/>
      <c r="P181" s="50"/>
      <c r="Q181" s="50"/>
      <c r="R181" s="50"/>
      <c r="S181" s="50"/>
      <c r="T181" s="50"/>
      <c r="U181" s="50"/>
      <c r="V181" s="50"/>
      <c r="W181" s="50"/>
      <c r="X181" s="50"/>
      <c r="Y181" s="50"/>
      <c r="Z181" s="50"/>
      <c r="AA181" s="50"/>
      <c r="AB181" s="50"/>
      <c r="AC181" s="50"/>
      <c r="AD181" s="50"/>
      <c r="AE181" s="50"/>
      <c r="AF181" s="50"/>
      <c r="AG181" s="50"/>
      <c r="AH181" s="50"/>
      <c r="AI181" s="50"/>
      <c r="AJ181" s="50"/>
      <c r="AK181" s="50"/>
      <c r="AL181" s="50"/>
      <c r="AM181" s="50"/>
      <c r="AN181" s="50"/>
      <c r="AO181" s="50"/>
      <c r="AP181" s="50"/>
      <c r="AQ181" s="50"/>
      <c r="AR181" s="50"/>
      <c r="AS181" s="50"/>
      <c r="AT181" s="50"/>
      <c r="AU181" s="50"/>
      <c r="AV181" s="50"/>
      <c r="AW181" s="50"/>
      <c r="AX181" s="50"/>
      <c r="AY181" s="50"/>
      <c r="AZ181" s="50"/>
      <c r="BA181" s="50"/>
      <c r="BB181" s="50"/>
      <c r="BC181" s="50"/>
      <c r="BD181" s="50"/>
      <c r="BE181" s="50"/>
      <c r="BF181" s="50"/>
      <c r="BG181" s="50"/>
      <c r="BH181" s="50"/>
      <c r="BI181" s="50"/>
      <c r="BJ181" s="50"/>
      <c r="BK181" s="50"/>
      <c r="BL181" s="50"/>
      <c r="BM181" s="50"/>
      <c r="BN181" s="50"/>
      <c r="BO181" s="50"/>
      <c r="BP181" s="50"/>
      <c r="BQ181" s="50"/>
      <c r="BR181" s="50"/>
      <c r="BS181" s="50"/>
      <c r="BT181" s="50"/>
      <c r="BU181" s="50"/>
      <c r="BV181" s="50"/>
    </row>
    <row r="182" spans="2:74">
      <c r="B182" s="50"/>
      <c r="C182" s="50"/>
      <c r="D182" s="50"/>
      <c r="E182" s="50"/>
      <c r="F182" s="50"/>
      <c r="G182" s="50"/>
      <c r="H182" s="50"/>
      <c r="I182" s="50"/>
      <c r="J182" s="50"/>
      <c r="K182" s="50"/>
      <c r="L182" s="50"/>
      <c r="M182" s="50"/>
      <c r="N182" s="50"/>
      <c r="O182" s="50"/>
      <c r="P182" s="50"/>
      <c r="Q182" s="50"/>
      <c r="R182" s="50"/>
      <c r="S182" s="50"/>
      <c r="T182" s="50"/>
      <c r="U182" s="50"/>
      <c r="V182" s="50"/>
      <c r="W182" s="50"/>
      <c r="X182" s="50"/>
      <c r="Y182" s="50"/>
      <c r="Z182" s="50"/>
      <c r="AA182" s="50"/>
      <c r="AB182" s="50"/>
      <c r="AC182" s="50"/>
      <c r="AD182" s="50"/>
      <c r="AE182" s="50"/>
      <c r="AF182" s="50"/>
      <c r="AG182" s="50"/>
      <c r="AH182" s="50"/>
      <c r="AI182" s="50"/>
      <c r="AJ182" s="50"/>
      <c r="AK182" s="50"/>
      <c r="AL182" s="50"/>
      <c r="AM182" s="50"/>
      <c r="AN182" s="50"/>
      <c r="AO182" s="50"/>
      <c r="AP182" s="50"/>
      <c r="AQ182" s="50"/>
      <c r="AR182" s="50"/>
      <c r="AS182" s="50"/>
      <c r="AT182" s="50"/>
      <c r="AU182" s="50"/>
      <c r="AV182" s="50"/>
      <c r="AW182" s="50"/>
      <c r="AX182" s="50"/>
      <c r="AY182" s="50"/>
      <c r="AZ182" s="50"/>
      <c r="BA182" s="50"/>
      <c r="BB182" s="50"/>
      <c r="BC182" s="50"/>
      <c r="BD182" s="50"/>
      <c r="BE182" s="50"/>
      <c r="BF182" s="50"/>
      <c r="BG182" s="50"/>
      <c r="BH182" s="50"/>
      <c r="BI182" s="50"/>
      <c r="BJ182" s="50"/>
      <c r="BK182" s="50"/>
      <c r="BL182" s="50"/>
      <c r="BM182" s="50"/>
      <c r="BN182" s="50"/>
      <c r="BO182" s="50"/>
      <c r="BP182" s="50"/>
      <c r="BQ182" s="50"/>
      <c r="BR182" s="50"/>
      <c r="BS182" s="50"/>
      <c r="BT182" s="50"/>
      <c r="BU182" s="50"/>
      <c r="BV182" s="50"/>
    </row>
    <row r="183" spans="2:74">
      <c r="B183" s="50"/>
      <c r="C183" s="50"/>
      <c r="D183" s="50"/>
      <c r="E183" s="50"/>
      <c r="F183" s="50"/>
      <c r="G183" s="50"/>
      <c r="H183" s="50"/>
      <c r="I183" s="50"/>
      <c r="J183" s="50"/>
      <c r="K183" s="50"/>
      <c r="L183" s="50"/>
      <c r="M183" s="50"/>
      <c r="N183" s="50"/>
      <c r="O183" s="50"/>
      <c r="P183" s="50"/>
      <c r="Q183" s="50"/>
      <c r="R183" s="50"/>
      <c r="S183" s="50"/>
      <c r="T183" s="50"/>
      <c r="U183" s="50"/>
      <c r="V183" s="50"/>
      <c r="W183" s="50"/>
      <c r="X183" s="50"/>
      <c r="Y183" s="50"/>
      <c r="Z183" s="50"/>
      <c r="AA183" s="50"/>
      <c r="AB183" s="50"/>
      <c r="AC183" s="50"/>
      <c r="AD183" s="50"/>
      <c r="AE183" s="50"/>
      <c r="AF183" s="50"/>
      <c r="AG183" s="50"/>
      <c r="AH183" s="50"/>
      <c r="AI183" s="50"/>
      <c r="AJ183" s="50"/>
      <c r="AK183" s="50"/>
      <c r="AL183" s="50"/>
      <c r="AM183" s="50"/>
      <c r="AN183" s="50"/>
      <c r="AO183" s="50"/>
      <c r="AP183" s="50"/>
      <c r="AQ183" s="50"/>
      <c r="AR183" s="50"/>
      <c r="AS183" s="50"/>
      <c r="AT183" s="50"/>
      <c r="AU183" s="50"/>
      <c r="AV183" s="50"/>
      <c r="AW183" s="50"/>
      <c r="AX183" s="50"/>
      <c r="AY183" s="50"/>
      <c r="AZ183" s="50"/>
      <c r="BA183" s="50"/>
      <c r="BB183" s="50"/>
      <c r="BC183" s="50"/>
      <c r="BD183" s="50"/>
      <c r="BE183" s="50"/>
      <c r="BF183" s="50"/>
      <c r="BG183" s="50"/>
      <c r="BH183" s="50"/>
      <c r="BI183" s="50"/>
      <c r="BJ183" s="50"/>
      <c r="BK183" s="50"/>
      <c r="BL183" s="50"/>
      <c r="BM183" s="50"/>
      <c r="BN183" s="50"/>
      <c r="BO183" s="50"/>
      <c r="BP183" s="50"/>
      <c r="BQ183" s="50"/>
      <c r="BR183" s="50"/>
      <c r="BS183" s="50"/>
      <c r="BT183" s="50"/>
      <c r="BU183" s="50"/>
      <c r="BV183" s="50"/>
    </row>
    <row r="184" spans="2:74">
      <c r="B184" s="50"/>
      <c r="C184" s="50"/>
      <c r="D184" s="50"/>
      <c r="E184" s="50"/>
      <c r="F184" s="50"/>
      <c r="G184" s="50"/>
      <c r="H184" s="50"/>
      <c r="I184" s="50"/>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c r="BU184" s="50"/>
      <c r="BV184" s="50"/>
    </row>
    <row r="185" spans="2:74">
      <c r="B185" s="50"/>
      <c r="C185" s="50"/>
      <c r="D185" s="50"/>
      <c r="E185" s="50"/>
      <c r="F185" s="50"/>
      <c r="G185" s="50"/>
      <c r="H185" s="50"/>
      <c r="I185" s="50"/>
      <c r="J185" s="50"/>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c r="BU185" s="50"/>
      <c r="BV185" s="50"/>
    </row>
    <row r="186" spans="2:74">
      <c r="B186" s="50"/>
      <c r="C186" s="50"/>
      <c r="D186" s="50"/>
      <c r="E186" s="50"/>
      <c r="F186" s="50"/>
      <c r="G186" s="50"/>
      <c r="H186" s="50"/>
      <c r="I186" s="50"/>
      <c r="J186" s="50"/>
      <c r="K186" s="50"/>
      <c r="L186" s="50"/>
      <c r="M186" s="50"/>
      <c r="N186" s="50"/>
      <c r="O186" s="50"/>
      <c r="P186" s="50"/>
      <c r="Q186" s="50"/>
      <c r="R186" s="50"/>
      <c r="S186" s="50"/>
      <c r="T186" s="50"/>
      <c r="U186" s="50"/>
      <c r="V186" s="50"/>
      <c r="W186" s="50"/>
      <c r="X186" s="50"/>
      <c r="Y186" s="50"/>
      <c r="Z186" s="50"/>
      <c r="AA186" s="50"/>
      <c r="AB186" s="50"/>
      <c r="AC186" s="50"/>
      <c r="AD186" s="50"/>
      <c r="AE186" s="50"/>
      <c r="AF186" s="50"/>
      <c r="AG186" s="50"/>
      <c r="AH186" s="50"/>
      <c r="AI186" s="50"/>
      <c r="AJ186" s="50"/>
      <c r="AK186" s="50"/>
      <c r="AL186" s="50"/>
      <c r="AM186" s="50"/>
      <c r="AN186" s="50"/>
      <c r="AO186" s="50"/>
      <c r="AP186" s="50"/>
      <c r="AQ186" s="50"/>
      <c r="AR186" s="50"/>
      <c r="AS186" s="50"/>
      <c r="AT186" s="50"/>
      <c r="AU186" s="50"/>
      <c r="AV186" s="50"/>
      <c r="AW186" s="50"/>
      <c r="AX186" s="50"/>
      <c r="AY186" s="50"/>
      <c r="AZ186" s="50"/>
      <c r="BA186" s="50"/>
      <c r="BB186" s="50"/>
      <c r="BC186" s="50"/>
      <c r="BD186" s="50"/>
      <c r="BE186" s="50"/>
      <c r="BF186" s="50"/>
      <c r="BG186" s="50"/>
      <c r="BH186" s="50"/>
      <c r="BI186" s="50"/>
      <c r="BJ186" s="50"/>
      <c r="BK186" s="50"/>
      <c r="BL186" s="50"/>
      <c r="BM186" s="50"/>
      <c r="BN186" s="50"/>
      <c r="BO186" s="50"/>
      <c r="BP186" s="50"/>
      <c r="BQ186" s="50"/>
      <c r="BR186" s="50"/>
      <c r="BS186" s="50"/>
      <c r="BT186" s="50"/>
      <c r="BU186" s="50"/>
      <c r="BV186" s="50"/>
    </row>
    <row r="187" spans="2:74">
      <c r="B187" s="50"/>
      <c r="C187" s="50"/>
      <c r="D187" s="50"/>
      <c r="E187" s="50"/>
      <c r="F187" s="50"/>
      <c r="G187" s="50"/>
      <c r="H187" s="50"/>
      <c r="I187" s="50"/>
      <c r="J187" s="50"/>
      <c r="K187" s="50"/>
      <c r="L187" s="50"/>
      <c r="M187" s="50"/>
      <c r="N187" s="50"/>
      <c r="O187" s="50"/>
      <c r="P187" s="50"/>
      <c r="Q187" s="50"/>
      <c r="R187" s="50"/>
      <c r="S187" s="50"/>
      <c r="T187" s="50"/>
      <c r="U187" s="50"/>
      <c r="V187" s="50"/>
      <c r="W187" s="50"/>
      <c r="X187" s="50"/>
      <c r="Y187" s="50"/>
      <c r="Z187" s="50"/>
      <c r="AA187" s="50"/>
      <c r="AB187" s="50"/>
      <c r="AC187" s="50"/>
      <c r="AD187" s="50"/>
      <c r="AE187" s="50"/>
      <c r="AF187" s="50"/>
      <c r="AG187" s="50"/>
      <c r="AH187" s="50"/>
      <c r="AI187" s="50"/>
      <c r="AJ187" s="50"/>
      <c r="AK187" s="50"/>
      <c r="AL187" s="50"/>
      <c r="AM187" s="50"/>
      <c r="AN187" s="50"/>
      <c r="AO187" s="50"/>
      <c r="AP187" s="50"/>
      <c r="AQ187" s="50"/>
      <c r="AR187" s="50"/>
      <c r="AS187" s="50"/>
      <c r="AT187" s="50"/>
      <c r="AU187" s="50"/>
      <c r="AV187" s="50"/>
      <c r="AW187" s="50"/>
      <c r="AX187" s="50"/>
      <c r="AY187" s="50"/>
      <c r="AZ187" s="50"/>
      <c r="BA187" s="50"/>
      <c r="BB187" s="50"/>
      <c r="BC187" s="50"/>
      <c r="BD187" s="50"/>
      <c r="BE187" s="50"/>
      <c r="BF187" s="50"/>
      <c r="BG187" s="50"/>
      <c r="BH187" s="50"/>
      <c r="BI187" s="50"/>
      <c r="BJ187" s="50"/>
      <c r="BK187" s="50"/>
      <c r="BL187" s="50"/>
      <c r="BM187" s="50"/>
      <c r="BN187" s="50"/>
      <c r="BO187" s="50"/>
      <c r="BP187" s="50"/>
      <c r="BQ187" s="50"/>
      <c r="BR187" s="50"/>
      <c r="BS187" s="50"/>
      <c r="BT187" s="50"/>
      <c r="BU187" s="50"/>
      <c r="BV187" s="50"/>
    </row>
    <row r="188" spans="2:74">
      <c r="B188" s="50"/>
      <c r="C188" s="50"/>
      <c r="D188" s="50"/>
      <c r="E188" s="50"/>
      <c r="F188" s="50"/>
      <c r="G188" s="50"/>
      <c r="H188" s="50"/>
      <c r="I188" s="50"/>
      <c r="J188" s="50"/>
      <c r="K188" s="50"/>
      <c r="L188" s="50"/>
      <c r="M188" s="50"/>
      <c r="N188" s="50"/>
      <c r="O188" s="50"/>
      <c r="P188" s="50"/>
      <c r="Q188" s="50"/>
      <c r="R188" s="50"/>
      <c r="S188" s="50"/>
      <c r="T188" s="50"/>
      <c r="U188" s="50"/>
      <c r="V188" s="50"/>
      <c r="W188" s="50"/>
      <c r="X188" s="50"/>
      <c r="Y188" s="50"/>
      <c r="Z188" s="50"/>
      <c r="AA188" s="50"/>
      <c r="AB188" s="50"/>
      <c r="AC188" s="50"/>
      <c r="AD188" s="50"/>
      <c r="AE188" s="50"/>
      <c r="AF188" s="50"/>
      <c r="AG188" s="50"/>
      <c r="AH188" s="50"/>
      <c r="AI188" s="50"/>
      <c r="AJ188" s="50"/>
      <c r="AK188" s="50"/>
      <c r="AL188" s="50"/>
      <c r="AM188" s="50"/>
      <c r="AN188" s="50"/>
      <c r="AO188" s="50"/>
      <c r="AP188" s="50"/>
      <c r="AQ188" s="50"/>
      <c r="AR188" s="50"/>
      <c r="AS188" s="50"/>
      <c r="AT188" s="50"/>
      <c r="AU188" s="50"/>
      <c r="AV188" s="50"/>
      <c r="AW188" s="50"/>
      <c r="AX188" s="50"/>
      <c r="AY188" s="50"/>
      <c r="AZ188" s="50"/>
      <c r="BA188" s="50"/>
      <c r="BB188" s="50"/>
      <c r="BC188" s="50"/>
      <c r="BD188" s="50"/>
      <c r="BE188" s="50"/>
      <c r="BF188" s="50"/>
      <c r="BG188" s="50"/>
      <c r="BH188" s="50"/>
      <c r="BI188" s="50"/>
      <c r="BJ188" s="50"/>
      <c r="BK188" s="50"/>
      <c r="BL188" s="50"/>
      <c r="BM188" s="50"/>
      <c r="BN188" s="50"/>
      <c r="BO188" s="50"/>
      <c r="BP188" s="50"/>
      <c r="BQ188" s="50"/>
      <c r="BR188" s="50"/>
      <c r="BS188" s="50"/>
      <c r="BT188" s="50"/>
      <c r="BU188" s="50"/>
      <c r="BV188" s="50"/>
    </row>
    <row r="189" spans="2:74">
      <c r="B189" s="50"/>
      <c r="C189" s="50"/>
      <c r="D189" s="50"/>
      <c r="E189" s="50"/>
      <c r="F189" s="50"/>
      <c r="G189" s="50"/>
      <c r="H189" s="50"/>
      <c r="I189" s="50"/>
      <c r="J189" s="50"/>
      <c r="K189" s="50"/>
      <c r="L189" s="50"/>
      <c r="M189" s="50"/>
      <c r="N189" s="50"/>
      <c r="O189" s="50"/>
      <c r="P189" s="50"/>
      <c r="Q189" s="50"/>
      <c r="R189" s="50"/>
      <c r="S189" s="50"/>
      <c r="T189" s="50"/>
      <c r="U189" s="50"/>
      <c r="V189" s="50"/>
      <c r="W189" s="50"/>
      <c r="X189" s="50"/>
      <c r="Y189" s="50"/>
      <c r="Z189" s="50"/>
      <c r="AA189" s="50"/>
      <c r="AB189" s="50"/>
      <c r="AC189" s="50"/>
      <c r="AD189" s="50"/>
      <c r="AE189" s="50"/>
      <c r="AF189" s="50"/>
      <c r="AG189" s="50"/>
      <c r="AH189" s="50"/>
      <c r="AI189" s="50"/>
      <c r="AJ189" s="50"/>
      <c r="AK189" s="50"/>
      <c r="AL189" s="50"/>
      <c r="AM189" s="50"/>
      <c r="AN189" s="50"/>
      <c r="AO189" s="50"/>
      <c r="AP189" s="50"/>
      <c r="AQ189" s="50"/>
      <c r="AR189" s="50"/>
      <c r="AS189" s="50"/>
      <c r="AT189" s="50"/>
      <c r="AU189" s="50"/>
      <c r="AV189" s="50"/>
      <c r="AW189" s="50"/>
      <c r="AX189" s="50"/>
      <c r="AY189" s="50"/>
      <c r="AZ189" s="50"/>
      <c r="BA189" s="50"/>
      <c r="BB189" s="50"/>
      <c r="BC189" s="50"/>
      <c r="BD189" s="50"/>
      <c r="BE189" s="50"/>
      <c r="BF189" s="50"/>
      <c r="BG189" s="50"/>
      <c r="BH189" s="50"/>
      <c r="BI189" s="50"/>
      <c r="BJ189" s="50"/>
      <c r="BK189" s="50"/>
      <c r="BL189" s="50"/>
      <c r="BM189" s="50"/>
      <c r="BN189" s="50"/>
      <c r="BO189" s="50"/>
      <c r="BP189" s="50"/>
      <c r="BQ189" s="50"/>
      <c r="BR189" s="50"/>
      <c r="BS189" s="50"/>
      <c r="BT189" s="50"/>
      <c r="BU189" s="50"/>
      <c r="BV189" s="50"/>
    </row>
    <row r="190" spans="2:74">
      <c r="B190" s="50"/>
      <c r="C190" s="50"/>
      <c r="D190" s="50"/>
      <c r="E190" s="50"/>
      <c r="F190" s="50"/>
      <c r="G190" s="50"/>
      <c r="H190" s="50"/>
      <c r="I190" s="50"/>
      <c r="J190" s="50"/>
      <c r="K190" s="50"/>
      <c r="L190" s="50"/>
      <c r="M190" s="50"/>
      <c r="N190" s="50"/>
      <c r="O190" s="50"/>
      <c r="P190" s="50"/>
      <c r="Q190" s="50"/>
      <c r="R190" s="50"/>
      <c r="S190" s="50"/>
      <c r="T190" s="50"/>
      <c r="U190" s="50"/>
      <c r="V190" s="50"/>
      <c r="W190" s="50"/>
      <c r="X190" s="50"/>
      <c r="Y190" s="50"/>
      <c r="Z190" s="50"/>
      <c r="AA190" s="50"/>
      <c r="AB190" s="50"/>
      <c r="AC190" s="50"/>
      <c r="AD190" s="50"/>
      <c r="AE190" s="50"/>
      <c r="AF190" s="50"/>
      <c r="AG190" s="50"/>
      <c r="AH190" s="50"/>
      <c r="AI190" s="50"/>
      <c r="AJ190" s="50"/>
      <c r="AK190" s="50"/>
      <c r="AL190" s="50"/>
      <c r="AM190" s="50"/>
      <c r="AN190" s="50"/>
      <c r="AO190" s="50"/>
      <c r="AP190" s="50"/>
      <c r="AQ190" s="50"/>
      <c r="AR190" s="50"/>
      <c r="AS190" s="50"/>
      <c r="AT190" s="50"/>
      <c r="AU190" s="50"/>
      <c r="AV190" s="50"/>
      <c r="AW190" s="50"/>
      <c r="AX190" s="50"/>
      <c r="AY190" s="50"/>
      <c r="AZ190" s="50"/>
      <c r="BA190" s="50"/>
      <c r="BB190" s="50"/>
      <c r="BC190" s="50"/>
      <c r="BD190" s="50"/>
      <c r="BE190" s="50"/>
      <c r="BF190" s="50"/>
      <c r="BG190" s="50"/>
      <c r="BH190" s="50"/>
      <c r="BI190" s="50"/>
      <c r="BJ190" s="50"/>
      <c r="BK190" s="50"/>
      <c r="BL190" s="50"/>
      <c r="BM190" s="50"/>
      <c r="BN190" s="50"/>
      <c r="BO190" s="50"/>
      <c r="BP190" s="50"/>
      <c r="BQ190" s="50"/>
      <c r="BR190" s="50"/>
      <c r="BS190" s="50"/>
      <c r="BT190" s="50"/>
      <c r="BU190" s="50"/>
      <c r="BV190" s="50"/>
    </row>
    <row r="191" spans="2:74">
      <c r="B191" s="50"/>
      <c r="C191" s="50"/>
      <c r="D191" s="50"/>
      <c r="E191" s="50"/>
      <c r="F191" s="50"/>
      <c r="G191" s="50"/>
      <c r="H191" s="50"/>
      <c r="I191" s="50"/>
      <c r="J191" s="50"/>
      <c r="K191" s="50"/>
      <c r="L191" s="50"/>
      <c r="M191" s="50"/>
      <c r="N191" s="50"/>
      <c r="O191" s="50"/>
      <c r="P191" s="50"/>
      <c r="Q191" s="50"/>
      <c r="R191" s="50"/>
      <c r="S191" s="50"/>
      <c r="T191" s="50"/>
      <c r="U191" s="50"/>
      <c r="V191" s="50"/>
      <c r="W191" s="50"/>
      <c r="X191" s="50"/>
      <c r="Y191" s="50"/>
      <c r="Z191" s="50"/>
      <c r="AA191" s="50"/>
      <c r="AB191" s="50"/>
      <c r="AC191" s="50"/>
      <c r="AD191" s="50"/>
      <c r="AE191" s="50"/>
      <c r="AF191" s="50"/>
      <c r="AG191" s="50"/>
      <c r="AH191" s="50"/>
      <c r="AI191" s="50"/>
      <c r="AJ191" s="50"/>
      <c r="AK191" s="50"/>
      <c r="AL191" s="50"/>
      <c r="AM191" s="50"/>
      <c r="AN191" s="50"/>
      <c r="AO191" s="50"/>
      <c r="AP191" s="50"/>
      <c r="AQ191" s="50"/>
      <c r="AR191" s="50"/>
      <c r="AS191" s="50"/>
      <c r="AT191" s="50"/>
      <c r="AU191" s="50"/>
      <c r="AV191" s="50"/>
      <c r="AW191" s="50"/>
      <c r="AX191" s="50"/>
      <c r="AY191" s="50"/>
      <c r="AZ191" s="50"/>
      <c r="BA191" s="50"/>
      <c r="BB191" s="50"/>
      <c r="BC191" s="50"/>
      <c r="BD191" s="50"/>
      <c r="BE191" s="50"/>
      <c r="BF191" s="50"/>
      <c r="BG191" s="50"/>
      <c r="BH191" s="50"/>
      <c r="BI191" s="50"/>
      <c r="BJ191" s="50"/>
      <c r="BK191" s="50"/>
      <c r="BL191" s="50"/>
      <c r="BM191" s="50"/>
      <c r="BN191" s="50"/>
      <c r="BO191" s="50"/>
      <c r="BP191" s="50"/>
      <c r="BQ191" s="50"/>
      <c r="BR191" s="50"/>
      <c r="BS191" s="50"/>
      <c r="BT191" s="50"/>
      <c r="BU191" s="50"/>
      <c r="BV191" s="50"/>
    </row>
    <row r="192" spans="2:74">
      <c r="B192" s="50"/>
      <c r="C192" s="50"/>
      <c r="D192" s="50"/>
      <c r="E192" s="50"/>
      <c r="F192" s="50"/>
      <c r="G192" s="50"/>
      <c r="H192" s="50"/>
      <c r="I192" s="50"/>
      <c r="J192" s="50"/>
      <c r="K192" s="50"/>
      <c r="L192" s="50"/>
      <c r="M192" s="50"/>
      <c r="N192" s="50"/>
      <c r="O192" s="50"/>
      <c r="P192" s="50"/>
      <c r="Q192" s="50"/>
      <c r="R192" s="50"/>
      <c r="S192" s="50"/>
      <c r="T192" s="50"/>
      <c r="U192" s="50"/>
      <c r="V192" s="50"/>
      <c r="W192" s="50"/>
      <c r="X192" s="50"/>
      <c r="Y192" s="50"/>
      <c r="Z192" s="50"/>
      <c r="AA192" s="50"/>
      <c r="AB192" s="50"/>
      <c r="AC192" s="50"/>
      <c r="AD192" s="50"/>
      <c r="AE192" s="50"/>
      <c r="AF192" s="50"/>
      <c r="AG192" s="50"/>
      <c r="AH192" s="50"/>
      <c r="AI192" s="50"/>
      <c r="AJ192" s="50"/>
      <c r="AK192" s="50"/>
      <c r="AL192" s="50"/>
      <c r="AM192" s="50"/>
      <c r="AN192" s="50"/>
      <c r="AO192" s="50"/>
      <c r="AP192" s="50"/>
      <c r="AQ192" s="50"/>
      <c r="AR192" s="50"/>
      <c r="AS192" s="50"/>
      <c r="AT192" s="50"/>
      <c r="AU192" s="50"/>
      <c r="AV192" s="50"/>
      <c r="AW192" s="50"/>
      <c r="AX192" s="50"/>
      <c r="AY192" s="50"/>
      <c r="AZ192" s="50"/>
      <c r="BA192" s="50"/>
      <c r="BB192" s="50"/>
      <c r="BC192" s="50"/>
      <c r="BD192" s="50"/>
      <c r="BE192" s="50"/>
      <c r="BF192" s="50"/>
      <c r="BG192" s="50"/>
      <c r="BH192" s="50"/>
      <c r="BI192" s="50"/>
      <c r="BJ192" s="50"/>
      <c r="BK192" s="50"/>
      <c r="BL192" s="50"/>
      <c r="BM192" s="50"/>
      <c r="BN192" s="50"/>
      <c r="BO192" s="50"/>
      <c r="BP192" s="50"/>
      <c r="BQ192" s="50"/>
      <c r="BR192" s="50"/>
      <c r="BS192" s="50"/>
      <c r="BT192" s="50"/>
      <c r="BU192" s="50"/>
      <c r="BV192" s="50"/>
    </row>
    <row r="193" spans="2:74">
      <c r="B193" s="50"/>
      <c r="C193" s="50"/>
      <c r="D193" s="50"/>
      <c r="E193" s="50"/>
      <c r="F193" s="50"/>
      <c r="G193" s="50"/>
      <c r="H193" s="50"/>
      <c r="I193" s="50"/>
      <c r="J193" s="50"/>
      <c r="K193" s="50"/>
      <c r="L193" s="50"/>
      <c r="M193" s="50"/>
      <c r="N193" s="50"/>
      <c r="O193" s="50"/>
      <c r="P193" s="50"/>
      <c r="Q193" s="50"/>
      <c r="R193" s="50"/>
      <c r="S193" s="50"/>
      <c r="T193" s="50"/>
      <c r="U193" s="50"/>
      <c r="V193" s="50"/>
      <c r="W193" s="50"/>
      <c r="X193" s="50"/>
      <c r="Y193" s="50"/>
      <c r="Z193" s="50"/>
      <c r="AA193" s="50"/>
      <c r="AB193" s="50"/>
      <c r="AC193" s="50"/>
      <c r="AD193" s="50"/>
      <c r="AE193" s="50"/>
      <c r="AF193" s="50"/>
      <c r="AG193" s="50"/>
      <c r="AH193" s="50"/>
      <c r="AI193" s="50"/>
      <c r="AJ193" s="50"/>
      <c r="AK193" s="50"/>
      <c r="AL193" s="50"/>
      <c r="AM193" s="50"/>
      <c r="AN193" s="50"/>
      <c r="AO193" s="50"/>
      <c r="AP193" s="50"/>
      <c r="AQ193" s="50"/>
      <c r="AR193" s="50"/>
      <c r="AS193" s="50"/>
      <c r="AT193" s="50"/>
      <c r="AU193" s="50"/>
      <c r="AV193" s="50"/>
      <c r="AW193" s="50"/>
      <c r="AX193" s="50"/>
      <c r="AY193" s="50"/>
      <c r="AZ193" s="50"/>
      <c r="BA193" s="50"/>
      <c r="BB193" s="50"/>
      <c r="BC193" s="50"/>
      <c r="BD193" s="50"/>
      <c r="BE193" s="50"/>
      <c r="BF193" s="50"/>
      <c r="BG193" s="50"/>
      <c r="BH193" s="50"/>
      <c r="BI193" s="50"/>
      <c r="BJ193" s="50"/>
      <c r="BK193" s="50"/>
      <c r="BL193" s="50"/>
      <c r="BM193" s="50"/>
      <c r="BN193" s="50"/>
      <c r="BO193" s="50"/>
      <c r="BP193" s="50"/>
      <c r="BQ193" s="50"/>
      <c r="BR193" s="50"/>
      <c r="BS193" s="50"/>
      <c r="BT193" s="50"/>
      <c r="BU193" s="50"/>
      <c r="BV193" s="50"/>
    </row>
    <row r="194" spans="2:74">
      <c r="B194" s="50"/>
      <c r="C194" s="50"/>
      <c r="D194" s="50"/>
      <c r="E194" s="50"/>
      <c r="F194" s="50"/>
      <c r="G194" s="50"/>
      <c r="H194" s="50"/>
      <c r="I194" s="50"/>
      <c r="J194" s="50"/>
      <c r="K194" s="50"/>
      <c r="L194" s="50"/>
      <c r="M194" s="50"/>
      <c r="N194" s="50"/>
      <c r="O194" s="50"/>
      <c r="P194" s="50"/>
      <c r="Q194" s="50"/>
      <c r="R194" s="50"/>
      <c r="S194" s="50"/>
      <c r="T194" s="50"/>
      <c r="U194" s="50"/>
      <c r="V194" s="50"/>
      <c r="W194" s="50"/>
      <c r="X194" s="50"/>
      <c r="Y194" s="50"/>
      <c r="Z194" s="50"/>
      <c r="AA194" s="50"/>
      <c r="AB194" s="50"/>
      <c r="AC194" s="50"/>
      <c r="AD194" s="50"/>
      <c r="AE194" s="50"/>
      <c r="AF194" s="50"/>
      <c r="AG194" s="50"/>
      <c r="AH194" s="50"/>
      <c r="AI194" s="50"/>
      <c r="AJ194" s="50"/>
      <c r="AK194" s="50"/>
      <c r="AL194" s="50"/>
      <c r="AM194" s="50"/>
      <c r="AN194" s="50"/>
      <c r="AO194" s="50"/>
      <c r="AP194" s="50"/>
      <c r="AQ194" s="50"/>
      <c r="AR194" s="50"/>
      <c r="AS194" s="50"/>
      <c r="AT194" s="50"/>
      <c r="AU194" s="50"/>
      <c r="AV194" s="50"/>
      <c r="AW194" s="50"/>
      <c r="AX194" s="50"/>
      <c r="AY194" s="50"/>
      <c r="AZ194" s="50"/>
      <c r="BA194" s="50"/>
      <c r="BB194" s="50"/>
      <c r="BC194" s="50"/>
      <c r="BD194" s="50"/>
      <c r="BE194" s="50"/>
      <c r="BF194" s="50"/>
      <c r="BG194" s="50"/>
      <c r="BH194" s="50"/>
      <c r="BI194" s="50"/>
      <c r="BJ194" s="50"/>
      <c r="BK194" s="50"/>
      <c r="BL194" s="50"/>
      <c r="BM194" s="50"/>
      <c r="BN194" s="50"/>
      <c r="BO194" s="50"/>
      <c r="BP194" s="50"/>
      <c r="BQ194" s="50"/>
      <c r="BR194" s="50"/>
      <c r="BS194" s="50"/>
      <c r="BT194" s="50"/>
      <c r="BU194" s="50"/>
      <c r="BV194" s="50"/>
    </row>
    <row r="195" spans="2:74">
      <c r="B195" s="50"/>
      <c r="C195" s="50"/>
      <c r="D195" s="50"/>
      <c r="E195" s="50"/>
      <c r="F195" s="50"/>
      <c r="G195" s="50"/>
      <c r="H195" s="50"/>
      <c r="I195" s="50"/>
      <c r="J195" s="50"/>
      <c r="K195" s="50"/>
      <c r="L195" s="50"/>
      <c r="M195" s="50"/>
      <c r="N195" s="50"/>
      <c r="O195" s="50"/>
      <c r="P195" s="50"/>
      <c r="Q195" s="50"/>
      <c r="R195" s="50"/>
      <c r="S195" s="50"/>
      <c r="T195" s="50"/>
      <c r="U195" s="50"/>
      <c r="V195" s="50"/>
      <c r="W195" s="50"/>
      <c r="X195" s="50"/>
      <c r="Y195" s="50"/>
      <c r="Z195" s="50"/>
      <c r="AA195" s="50"/>
      <c r="AB195" s="50"/>
      <c r="AC195" s="50"/>
      <c r="AD195" s="50"/>
      <c r="AE195" s="50"/>
      <c r="AF195" s="50"/>
      <c r="AG195" s="50"/>
      <c r="AH195" s="50"/>
      <c r="AI195" s="50"/>
      <c r="AJ195" s="50"/>
      <c r="AK195" s="50"/>
      <c r="AL195" s="50"/>
      <c r="AM195" s="50"/>
      <c r="AN195" s="50"/>
      <c r="AO195" s="50"/>
      <c r="AP195" s="50"/>
      <c r="AQ195" s="50"/>
      <c r="AR195" s="50"/>
      <c r="AS195" s="50"/>
      <c r="AT195" s="50"/>
      <c r="AU195" s="50"/>
      <c r="AV195" s="50"/>
      <c r="AW195" s="50"/>
      <c r="AX195" s="50"/>
      <c r="AY195" s="50"/>
      <c r="AZ195" s="50"/>
      <c r="BA195" s="50"/>
      <c r="BB195" s="50"/>
      <c r="BC195" s="50"/>
      <c r="BD195" s="50"/>
      <c r="BE195" s="50"/>
      <c r="BF195" s="50"/>
      <c r="BG195" s="50"/>
      <c r="BH195" s="50"/>
      <c r="BI195" s="50"/>
      <c r="BJ195" s="50"/>
      <c r="BK195" s="50"/>
      <c r="BL195" s="50"/>
      <c r="BM195" s="50"/>
      <c r="BN195" s="50"/>
      <c r="BO195" s="50"/>
      <c r="BP195" s="50"/>
      <c r="BQ195" s="50"/>
      <c r="BR195" s="50"/>
      <c r="BS195" s="50"/>
      <c r="BT195" s="50"/>
      <c r="BU195" s="50"/>
      <c r="BV195" s="50"/>
    </row>
    <row r="196" spans="2:74">
      <c r="B196" s="50"/>
      <c r="C196" s="50"/>
      <c r="D196" s="50"/>
      <c r="E196" s="50"/>
      <c r="F196" s="50"/>
      <c r="G196" s="50"/>
      <c r="H196" s="50"/>
      <c r="I196" s="50"/>
      <c r="J196" s="50"/>
      <c r="K196" s="50"/>
      <c r="L196" s="50"/>
      <c r="M196" s="50"/>
      <c r="N196" s="50"/>
      <c r="O196" s="50"/>
      <c r="P196" s="50"/>
      <c r="Q196" s="50"/>
      <c r="R196" s="50"/>
      <c r="S196" s="50"/>
      <c r="T196" s="50"/>
      <c r="U196" s="50"/>
      <c r="V196" s="50"/>
      <c r="W196" s="50"/>
      <c r="X196" s="50"/>
      <c r="Y196" s="50"/>
      <c r="Z196" s="50"/>
      <c r="AA196" s="50"/>
      <c r="AB196" s="50"/>
      <c r="AC196" s="50"/>
      <c r="AD196" s="50"/>
      <c r="AE196" s="50"/>
      <c r="AF196" s="50"/>
      <c r="AG196" s="50"/>
      <c r="AH196" s="50"/>
      <c r="AI196" s="50"/>
      <c r="AJ196" s="50"/>
      <c r="AK196" s="50"/>
      <c r="AL196" s="50"/>
      <c r="AM196" s="50"/>
      <c r="AN196" s="50"/>
      <c r="AO196" s="50"/>
      <c r="AP196" s="50"/>
      <c r="AQ196" s="50"/>
      <c r="AR196" s="50"/>
      <c r="AS196" s="50"/>
      <c r="AT196" s="50"/>
      <c r="AU196" s="50"/>
      <c r="AV196" s="50"/>
      <c r="AW196" s="50"/>
      <c r="AX196" s="50"/>
      <c r="AY196" s="50"/>
      <c r="AZ196" s="50"/>
      <c r="BA196" s="50"/>
      <c r="BB196" s="50"/>
      <c r="BC196" s="50"/>
      <c r="BD196" s="50"/>
      <c r="BE196" s="50"/>
      <c r="BF196" s="50"/>
      <c r="BG196" s="50"/>
      <c r="BH196" s="50"/>
      <c r="BI196" s="50"/>
      <c r="BJ196" s="50"/>
      <c r="BK196" s="50"/>
      <c r="BL196" s="50"/>
      <c r="BM196" s="50"/>
      <c r="BN196" s="50"/>
      <c r="BO196" s="50"/>
      <c r="BP196" s="50"/>
      <c r="BQ196" s="50"/>
      <c r="BR196" s="50"/>
      <c r="BS196" s="50"/>
      <c r="BT196" s="50"/>
      <c r="BU196" s="50"/>
      <c r="BV196" s="50"/>
    </row>
    <row r="197" spans="2:74">
      <c r="B197" s="50"/>
      <c r="C197" s="50"/>
      <c r="D197" s="50"/>
      <c r="E197" s="50"/>
      <c r="F197" s="50"/>
      <c r="G197" s="50"/>
      <c r="H197" s="50"/>
      <c r="I197" s="50"/>
      <c r="J197" s="50"/>
      <c r="K197" s="50"/>
      <c r="L197" s="50"/>
      <c r="M197" s="50"/>
      <c r="N197" s="50"/>
      <c r="O197" s="50"/>
      <c r="P197" s="50"/>
      <c r="Q197" s="50"/>
      <c r="R197" s="50"/>
      <c r="S197" s="50"/>
      <c r="T197" s="50"/>
      <c r="U197" s="50"/>
      <c r="V197" s="50"/>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50"/>
      <c r="BA197" s="50"/>
      <c r="BB197" s="50"/>
      <c r="BC197" s="50"/>
      <c r="BD197" s="50"/>
      <c r="BE197" s="50"/>
      <c r="BF197" s="50"/>
      <c r="BG197" s="50"/>
      <c r="BH197" s="50"/>
      <c r="BI197" s="50"/>
      <c r="BJ197" s="50"/>
      <c r="BK197" s="50"/>
      <c r="BL197" s="50"/>
      <c r="BM197" s="50"/>
      <c r="BN197" s="50"/>
      <c r="BO197" s="50"/>
      <c r="BP197" s="50"/>
      <c r="BQ197" s="50"/>
      <c r="BR197" s="50"/>
      <c r="BS197" s="50"/>
      <c r="BT197" s="50"/>
      <c r="BU197" s="50"/>
      <c r="BV197" s="50"/>
    </row>
    <row r="198" spans="2:74">
      <c r="B198" s="50"/>
      <c r="C198" s="50"/>
      <c r="D198" s="50"/>
      <c r="E198" s="50"/>
      <c r="F198" s="50"/>
      <c r="G198" s="50"/>
      <c r="H198" s="50"/>
      <c r="I198" s="50"/>
      <c r="J198" s="50"/>
      <c r="K198" s="50"/>
      <c r="L198" s="50"/>
      <c r="M198" s="50"/>
      <c r="N198" s="50"/>
      <c r="O198" s="50"/>
      <c r="P198" s="50"/>
      <c r="Q198" s="50"/>
      <c r="R198" s="50"/>
      <c r="S198" s="50"/>
      <c r="T198" s="50"/>
      <c r="U198" s="50"/>
      <c r="V198" s="50"/>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0"/>
      <c r="AU198" s="50"/>
      <c r="AV198" s="50"/>
      <c r="AW198" s="50"/>
      <c r="AX198" s="50"/>
      <c r="AY198" s="50"/>
      <c r="AZ198" s="50"/>
      <c r="BA198" s="50"/>
      <c r="BB198" s="50"/>
      <c r="BC198" s="50"/>
      <c r="BD198" s="50"/>
      <c r="BE198" s="50"/>
      <c r="BF198" s="50"/>
      <c r="BG198" s="50"/>
      <c r="BH198" s="50"/>
      <c r="BI198" s="50"/>
      <c r="BJ198" s="50"/>
      <c r="BK198" s="50"/>
      <c r="BL198" s="50"/>
      <c r="BM198" s="50"/>
      <c r="BN198" s="50"/>
      <c r="BO198" s="50"/>
      <c r="BP198" s="50"/>
      <c r="BQ198" s="50"/>
      <c r="BR198" s="50"/>
      <c r="BS198" s="50"/>
      <c r="BT198" s="50"/>
      <c r="BU198" s="50"/>
      <c r="BV198" s="50"/>
    </row>
    <row r="199" spans="2:74">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0"/>
      <c r="AU199" s="50"/>
      <c r="AV199" s="50"/>
      <c r="AW199" s="50"/>
      <c r="AX199" s="50"/>
      <c r="AY199" s="50"/>
      <c r="AZ199" s="50"/>
      <c r="BA199" s="50"/>
      <c r="BB199" s="50"/>
      <c r="BC199" s="50"/>
      <c r="BD199" s="50"/>
      <c r="BE199" s="50"/>
      <c r="BF199" s="50"/>
      <c r="BG199" s="50"/>
      <c r="BH199" s="50"/>
      <c r="BI199" s="50"/>
      <c r="BJ199" s="50"/>
      <c r="BK199" s="50"/>
      <c r="BL199" s="50"/>
      <c r="BM199" s="50"/>
      <c r="BN199" s="50"/>
      <c r="BO199" s="50"/>
      <c r="BP199" s="50"/>
      <c r="BQ199" s="50"/>
      <c r="BR199" s="50"/>
      <c r="BS199" s="50"/>
      <c r="BT199" s="50"/>
      <c r="BU199" s="50"/>
      <c r="BV199" s="50"/>
    </row>
    <row r="200" spans="2:74">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0"/>
      <c r="AU200" s="50"/>
      <c r="AV200" s="50"/>
      <c r="AW200" s="50"/>
      <c r="AX200" s="50"/>
      <c r="AY200" s="50"/>
      <c r="AZ200" s="50"/>
      <c r="BA200" s="50"/>
      <c r="BB200" s="50"/>
      <c r="BC200" s="50"/>
      <c r="BD200" s="50"/>
      <c r="BE200" s="50"/>
      <c r="BF200" s="50"/>
      <c r="BG200" s="50"/>
      <c r="BH200" s="50"/>
      <c r="BI200" s="50"/>
      <c r="BJ200" s="50"/>
      <c r="BK200" s="50"/>
      <c r="BL200" s="50"/>
      <c r="BM200" s="50"/>
      <c r="BN200" s="50"/>
      <c r="BO200" s="50"/>
      <c r="BP200" s="50"/>
      <c r="BQ200" s="50"/>
      <c r="BR200" s="50"/>
      <c r="BS200" s="50"/>
      <c r="BT200" s="50"/>
      <c r="BU200" s="50"/>
      <c r="BV200" s="50"/>
    </row>
    <row r="201" spans="2:74">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0"/>
      <c r="AU201" s="50"/>
      <c r="AV201" s="50"/>
      <c r="AW201" s="50"/>
      <c r="AX201" s="50"/>
      <c r="AY201" s="50"/>
      <c r="AZ201" s="50"/>
      <c r="BA201" s="50"/>
      <c r="BB201" s="50"/>
      <c r="BC201" s="50"/>
      <c r="BD201" s="50"/>
      <c r="BE201" s="50"/>
      <c r="BF201" s="50"/>
      <c r="BG201" s="50"/>
      <c r="BH201" s="50"/>
      <c r="BI201" s="50"/>
      <c r="BJ201" s="50"/>
      <c r="BK201" s="50"/>
      <c r="BL201" s="50"/>
      <c r="BM201" s="50"/>
      <c r="BN201" s="50"/>
      <c r="BO201" s="50"/>
      <c r="BP201" s="50"/>
      <c r="BQ201" s="50"/>
      <c r="BR201" s="50"/>
      <c r="BS201" s="50"/>
      <c r="BT201" s="50"/>
      <c r="BU201" s="50"/>
      <c r="BV201" s="50"/>
    </row>
    <row r="202" spans="2:74">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0"/>
      <c r="AU202" s="50"/>
      <c r="AV202" s="50"/>
      <c r="AW202" s="50"/>
      <c r="AX202" s="50"/>
      <c r="AY202" s="50"/>
      <c r="AZ202" s="50"/>
      <c r="BA202" s="50"/>
      <c r="BB202" s="50"/>
      <c r="BC202" s="50"/>
      <c r="BD202" s="50"/>
      <c r="BE202" s="50"/>
      <c r="BF202" s="50"/>
      <c r="BG202" s="50"/>
      <c r="BH202" s="50"/>
      <c r="BI202" s="50"/>
      <c r="BJ202" s="50"/>
      <c r="BK202" s="50"/>
      <c r="BL202" s="50"/>
      <c r="BM202" s="50"/>
      <c r="BN202" s="50"/>
      <c r="BO202" s="50"/>
      <c r="BP202" s="50"/>
      <c r="BQ202" s="50"/>
      <c r="BR202" s="50"/>
      <c r="BS202" s="50"/>
      <c r="BT202" s="50"/>
      <c r="BU202" s="50"/>
      <c r="BV202" s="50"/>
    </row>
    <row r="203" spans="2:74">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0"/>
      <c r="AU203" s="50"/>
      <c r="AV203" s="50"/>
      <c r="AW203" s="50"/>
      <c r="AX203" s="50"/>
      <c r="AY203" s="50"/>
      <c r="AZ203" s="50"/>
      <c r="BA203" s="50"/>
      <c r="BB203" s="50"/>
      <c r="BC203" s="50"/>
      <c r="BD203" s="50"/>
      <c r="BE203" s="50"/>
      <c r="BF203" s="50"/>
      <c r="BG203" s="50"/>
      <c r="BH203" s="50"/>
      <c r="BI203" s="50"/>
      <c r="BJ203" s="50"/>
      <c r="BK203" s="50"/>
      <c r="BL203" s="50"/>
      <c r="BM203" s="50"/>
      <c r="BN203" s="50"/>
      <c r="BO203" s="50"/>
      <c r="BP203" s="50"/>
      <c r="BQ203" s="50"/>
      <c r="BR203" s="50"/>
      <c r="BS203" s="50"/>
      <c r="BT203" s="50"/>
      <c r="BU203" s="50"/>
      <c r="BV203" s="50"/>
    </row>
    <row r="204" spans="2:74">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0"/>
      <c r="AU204" s="50"/>
      <c r="AV204" s="50"/>
      <c r="AW204" s="50"/>
      <c r="AX204" s="50"/>
      <c r="AY204" s="50"/>
      <c r="AZ204" s="50"/>
      <c r="BA204" s="50"/>
      <c r="BB204" s="50"/>
      <c r="BC204" s="50"/>
      <c r="BD204" s="50"/>
      <c r="BE204" s="50"/>
      <c r="BF204" s="50"/>
      <c r="BG204" s="50"/>
      <c r="BH204" s="50"/>
      <c r="BI204" s="50"/>
      <c r="BJ204" s="50"/>
      <c r="BK204" s="50"/>
      <c r="BL204" s="50"/>
      <c r="BM204" s="50"/>
      <c r="BN204" s="50"/>
      <c r="BO204" s="50"/>
      <c r="BP204" s="50"/>
      <c r="BQ204" s="50"/>
      <c r="BR204" s="50"/>
      <c r="BS204" s="50"/>
      <c r="BT204" s="50"/>
      <c r="BU204" s="50"/>
      <c r="BV204" s="50"/>
    </row>
    <row r="205" spans="2:74">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0"/>
      <c r="AU205" s="50"/>
      <c r="AV205" s="50"/>
      <c r="AW205" s="50"/>
      <c r="AX205" s="50"/>
      <c r="AY205" s="50"/>
      <c r="AZ205" s="50"/>
      <c r="BA205" s="50"/>
      <c r="BB205" s="50"/>
      <c r="BC205" s="50"/>
      <c r="BD205" s="50"/>
      <c r="BE205" s="50"/>
      <c r="BF205" s="50"/>
      <c r="BG205" s="50"/>
      <c r="BH205" s="50"/>
      <c r="BI205" s="50"/>
      <c r="BJ205" s="50"/>
      <c r="BK205" s="50"/>
      <c r="BL205" s="50"/>
      <c r="BM205" s="50"/>
      <c r="BN205" s="50"/>
      <c r="BO205" s="50"/>
      <c r="BP205" s="50"/>
      <c r="BQ205" s="50"/>
      <c r="BR205" s="50"/>
      <c r="BS205" s="50"/>
      <c r="BT205" s="50"/>
      <c r="BU205" s="50"/>
      <c r="BV205" s="50"/>
    </row>
    <row r="206" spans="2:74">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0"/>
      <c r="AU206" s="50"/>
      <c r="AV206" s="50"/>
      <c r="AW206" s="50"/>
      <c r="AX206" s="50"/>
      <c r="AY206" s="50"/>
      <c r="AZ206" s="50"/>
      <c r="BA206" s="50"/>
      <c r="BB206" s="50"/>
      <c r="BC206" s="50"/>
      <c r="BD206" s="50"/>
      <c r="BE206" s="50"/>
      <c r="BF206" s="50"/>
      <c r="BG206" s="50"/>
      <c r="BH206" s="50"/>
      <c r="BI206" s="50"/>
      <c r="BJ206" s="50"/>
      <c r="BK206" s="50"/>
      <c r="BL206" s="50"/>
      <c r="BM206" s="50"/>
      <c r="BN206" s="50"/>
      <c r="BO206" s="50"/>
      <c r="BP206" s="50"/>
      <c r="BQ206" s="50"/>
      <c r="BR206" s="50"/>
      <c r="BS206" s="50"/>
      <c r="BT206" s="50"/>
      <c r="BU206" s="50"/>
      <c r="BV206" s="50"/>
    </row>
    <row r="207" spans="2:74">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0"/>
      <c r="AU207" s="50"/>
      <c r="AV207" s="50"/>
      <c r="AW207" s="50"/>
      <c r="AX207" s="50"/>
      <c r="AY207" s="50"/>
      <c r="AZ207" s="50"/>
      <c r="BA207" s="50"/>
      <c r="BB207" s="50"/>
      <c r="BC207" s="50"/>
      <c r="BD207" s="50"/>
      <c r="BE207" s="50"/>
      <c r="BF207" s="50"/>
      <c r="BG207" s="50"/>
      <c r="BH207" s="50"/>
      <c r="BI207" s="50"/>
      <c r="BJ207" s="50"/>
      <c r="BK207" s="50"/>
      <c r="BL207" s="50"/>
      <c r="BM207" s="50"/>
      <c r="BN207" s="50"/>
      <c r="BO207" s="50"/>
      <c r="BP207" s="50"/>
      <c r="BQ207" s="50"/>
      <c r="BR207" s="50"/>
      <c r="BS207" s="50"/>
      <c r="BT207" s="50"/>
      <c r="BU207" s="50"/>
      <c r="BV207" s="50"/>
    </row>
    <row r="208" spans="2:74">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0"/>
      <c r="AU208" s="50"/>
      <c r="AV208" s="50"/>
      <c r="AW208" s="50"/>
      <c r="AX208" s="50"/>
      <c r="AY208" s="50"/>
      <c r="AZ208" s="50"/>
      <c r="BA208" s="50"/>
      <c r="BB208" s="50"/>
      <c r="BC208" s="50"/>
      <c r="BD208" s="50"/>
      <c r="BE208" s="50"/>
      <c r="BF208" s="50"/>
      <c r="BG208" s="50"/>
      <c r="BH208" s="50"/>
      <c r="BI208" s="50"/>
      <c r="BJ208" s="50"/>
      <c r="BK208" s="50"/>
      <c r="BL208" s="50"/>
      <c r="BM208" s="50"/>
      <c r="BN208" s="50"/>
      <c r="BO208" s="50"/>
      <c r="BP208" s="50"/>
      <c r="BQ208" s="50"/>
      <c r="BR208" s="50"/>
      <c r="BS208" s="50"/>
      <c r="BT208" s="50"/>
      <c r="BU208" s="50"/>
      <c r="BV208" s="50"/>
    </row>
    <row r="209" spans="2:74">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0"/>
      <c r="AU209" s="50"/>
      <c r="AV209" s="50"/>
      <c r="AW209" s="50"/>
      <c r="AX209" s="50"/>
      <c r="AY209" s="50"/>
      <c r="AZ209" s="50"/>
      <c r="BA209" s="50"/>
      <c r="BB209" s="50"/>
      <c r="BC209" s="50"/>
      <c r="BD209" s="50"/>
      <c r="BE209" s="50"/>
      <c r="BF209" s="50"/>
      <c r="BG209" s="50"/>
      <c r="BH209" s="50"/>
      <c r="BI209" s="50"/>
      <c r="BJ209" s="50"/>
      <c r="BK209" s="50"/>
      <c r="BL209" s="50"/>
      <c r="BM209" s="50"/>
      <c r="BN209" s="50"/>
      <c r="BO209" s="50"/>
      <c r="BP209" s="50"/>
      <c r="BQ209" s="50"/>
      <c r="BR209" s="50"/>
      <c r="BS209" s="50"/>
      <c r="BT209" s="50"/>
      <c r="BU209" s="50"/>
      <c r="BV209" s="50"/>
    </row>
    <row r="210" spans="2:74">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c r="BI210" s="50"/>
      <c r="BJ210" s="50"/>
      <c r="BK210" s="50"/>
      <c r="BL210" s="50"/>
      <c r="BM210" s="50"/>
      <c r="BN210" s="50"/>
      <c r="BO210" s="50"/>
      <c r="BP210" s="50"/>
      <c r="BQ210" s="50"/>
      <c r="BR210" s="50"/>
      <c r="BS210" s="50"/>
      <c r="BT210" s="50"/>
      <c r="BU210" s="50"/>
      <c r="BV210" s="50"/>
    </row>
    <row r="211" spans="2:74">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0"/>
      <c r="AU211" s="50"/>
      <c r="AV211" s="50"/>
      <c r="AW211" s="50"/>
      <c r="AX211" s="50"/>
      <c r="AY211" s="50"/>
      <c r="AZ211" s="50"/>
      <c r="BA211" s="50"/>
      <c r="BB211" s="50"/>
      <c r="BC211" s="50"/>
      <c r="BD211" s="50"/>
      <c r="BE211" s="50"/>
      <c r="BF211" s="50"/>
      <c r="BG211" s="50"/>
      <c r="BH211" s="50"/>
      <c r="BI211" s="50"/>
      <c r="BJ211" s="50"/>
      <c r="BK211" s="50"/>
      <c r="BL211" s="50"/>
      <c r="BM211" s="50"/>
      <c r="BN211" s="50"/>
      <c r="BO211" s="50"/>
      <c r="BP211" s="50"/>
      <c r="BQ211" s="50"/>
      <c r="BR211" s="50"/>
      <c r="BS211" s="50"/>
      <c r="BT211" s="50"/>
      <c r="BU211" s="50"/>
      <c r="BV211" s="50"/>
    </row>
    <row r="212" spans="2:74">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0"/>
      <c r="AU212" s="50"/>
      <c r="AV212" s="50"/>
      <c r="AW212" s="50"/>
      <c r="AX212" s="50"/>
      <c r="AY212" s="50"/>
      <c r="AZ212" s="50"/>
      <c r="BA212" s="50"/>
      <c r="BB212" s="50"/>
      <c r="BC212" s="50"/>
      <c r="BD212" s="50"/>
      <c r="BE212" s="50"/>
      <c r="BF212" s="50"/>
      <c r="BG212" s="50"/>
      <c r="BH212" s="50"/>
      <c r="BI212" s="50"/>
      <c r="BJ212" s="50"/>
      <c r="BK212" s="50"/>
      <c r="BL212" s="50"/>
      <c r="BM212" s="50"/>
      <c r="BN212" s="50"/>
      <c r="BO212" s="50"/>
      <c r="BP212" s="50"/>
      <c r="BQ212" s="50"/>
      <c r="BR212" s="50"/>
      <c r="BS212" s="50"/>
      <c r="BT212" s="50"/>
      <c r="BU212" s="50"/>
      <c r="BV212" s="50"/>
    </row>
    <row r="213" spans="2:74">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0"/>
      <c r="AU213" s="50"/>
      <c r="AV213" s="50"/>
      <c r="AW213" s="50"/>
      <c r="AX213" s="50"/>
      <c r="AY213" s="50"/>
      <c r="AZ213" s="50"/>
      <c r="BA213" s="50"/>
      <c r="BB213" s="50"/>
      <c r="BC213" s="50"/>
      <c r="BD213" s="50"/>
      <c r="BE213" s="50"/>
      <c r="BF213" s="50"/>
      <c r="BG213" s="50"/>
      <c r="BH213" s="50"/>
      <c r="BI213" s="50"/>
      <c r="BJ213" s="50"/>
      <c r="BK213" s="50"/>
      <c r="BL213" s="50"/>
      <c r="BM213" s="50"/>
      <c r="BN213" s="50"/>
      <c r="BO213" s="50"/>
      <c r="BP213" s="50"/>
      <c r="BQ213" s="50"/>
      <c r="BR213" s="50"/>
      <c r="BS213" s="50"/>
      <c r="BT213" s="50"/>
      <c r="BU213" s="50"/>
      <c r="BV213" s="50"/>
    </row>
    <row r="214" spans="2:74">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0"/>
      <c r="AU214" s="50"/>
      <c r="AV214" s="50"/>
      <c r="AW214" s="50"/>
      <c r="AX214" s="50"/>
      <c r="AY214" s="50"/>
      <c r="AZ214" s="50"/>
      <c r="BA214" s="50"/>
      <c r="BB214" s="50"/>
      <c r="BC214" s="50"/>
      <c r="BD214" s="50"/>
      <c r="BE214" s="50"/>
      <c r="BF214" s="50"/>
      <c r="BG214" s="50"/>
      <c r="BH214" s="50"/>
      <c r="BI214" s="50"/>
      <c r="BJ214" s="50"/>
      <c r="BK214" s="50"/>
      <c r="BL214" s="50"/>
      <c r="BM214" s="50"/>
      <c r="BN214" s="50"/>
      <c r="BO214" s="50"/>
      <c r="BP214" s="50"/>
      <c r="BQ214" s="50"/>
      <c r="BR214" s="50"/>
      <c r="BS214" s="50"/>
      <c r="BT214" s="50"/>
      <c r="BU214" s="50"/>
      <c r="BV214" s="50"/>
    </row>
    <row r="215" spans="2:74">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0"/>
      <c r="AU215" s="50"/>
      <c r="AV215" s="50"/>
      <c r="AW215" s="50"/>
      <c r="AX215" s="50"/>
      <c r="AY215" s="50"/>
      <c r="AZ215" s="50"/>
      <c r="BA215" s="50"/>
      <c r="BB215" s="50"/>
      <c r="BC215" s="50"/>
      <c r="BD215" s="50"/>
      <c r="BE215" s="50"/>
      <c r="BF215" s="50"/>
      <c r="BG215" s="50"/>
      <c r="BH215" s="50"/>
      <c r="BI215" s="50"/>
      <c r="BJ215" s="50"/>
      <c r="BK215" s="50"/>
      <c r="BL215" s="50"/>
      <c r="BM215" s="50"/>
      <c r="BN215" s="50"/>
      <c r="BO215" s="50"/>
      <c r="BP215" s="50"/>
      <c r="BQ215" s="50"/>
      <c r="BR215" s="50"/>
      <c r="BS215" s="50"/>
      <c r="BT215" s="50"/>
      <c r="BU215" s="50"/>
      <c r="BV215" s="50"/>
    </row>
    <row r="216" spans="2:74">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0"/>
      <c r="AU216" s="50"/>
      <c r="AV216" s="50"/>
      <c r="AW216" s="50"/>
      <c r="AX216" s="50"/>
      <c r="AY216" s="50"/>
      <c r="AZ216" s="50"/>
      <c r="BA216" s="50"/>
      <c r="BB216" s="50"/>
      <c r="BC216" s="50"/>
      <c r="BD216" s="50"/>
      <c r="BE216" s="50"/>
      <c r="BF216" s="50"/>
      <c r="BG216" s="50"/>
      <c r="BH216" s="50"/>
      <c r="BI216" s="50"/>
      <c r="BJ216" s="50"/>
      <c r="BK216" s="50"/>
      <c r="BL216" s="50"/>
      <c r="BM216" s="50"/>
      <c r="BN216" s="50"/>
      <c r="BO216" s="50"/>
      <c r="BP216" s="50"/>
      <c r="BQ216" s="50"/>
      <c r="BR216" s="50"/>
      <c r="BS216" s="50"/>
      <c r="BT216" s="50"/>
      <c r="BU216" s="50"/>
      <c r="BV216" s="50"/>
    </row>
    <row r="217" spans="2:74">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0"/>
      <c r="AU217" s="50"/>
      <c r="AV217" s="50"/>
      <c r="AW217" s="50"/>
      <c r="AX217" s="50"/>
      <c r="AY217" s="50"/>
      <c r="AZ217" s="50"/>
      <c r="BA217" s="50"/>
      <c r="BB217" s="50"/>
      <c r="BC217" s="50"/>
      <c r="BD217" s="50"/>
      <c r="BE217" s="50"/>
      <c r="BF217" s="50"/>
      <c r="BG217" s="50"/>
      <c r="BH217" s="50"/>
      <c r="BI217" s="50"/>
      <c r="BJ217" s="50"/>
      <c r="BK217" s="50"/>
      <c r="BL217" s="50"/>
      <c r="BM217" s="50"/>
      <c r="BN217" s="50"/>
      <c r="BO217" s="50"/>
      <c r="BP217" s="50"/>
      <c r="BQ217" s="50"/>
      <c r="BR217" s="50"/>
      <c r="BS217" s="50"/>
      <c r="BT217" s="50"/>
      <c r="BU217" s="50"/>
      <c r="BV217" s="50"/>
    </row>
    <row r="218" spans="2:74">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0"/>
      <c r="AU218" s="50"/>
      <c r="AV218" s="50"/>
      <c r="AW218" s="50"/>
      <c r="AX218" s="50"/>
      <c r="AY218" s="50"/>
      <c r="AZ218" s="50"/>
      <c r="BA218" s="50"/>
      <c r="BB218" s="50"/>
      <c r="BC218" s="50"/>
      <c r="BD218" s="50"/>
      <c r="BE218" s="50"/>
      <c r="BF218" s="50"/>
      <c r="BG218" s="50"/>
      <c r="BH218" s="50"/>
      <c r="BI218" s="50"/>
      <c r="BJ218" s="50"/>
      <c r="BK218" s="50"/>
      <c r="BL218" s="50"/>
      <c r="BM218" s="50"/>
      <c r="BN218" s="50"/>
      <c r="BO218" s="50"/>
      <c r="BP218" s="50"/>
      <c r="BQ218" s="50"/>
      <c r="BR218" s="50"/>
      <c r="BS218" s="50"/>
      <c r="BT218" s="50"/>
      <c r="BU218" s="50"/>
      <c r="BV218" s="50"/>
    </row>
    <row r="219" spans="2:74">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0"/>
      <c r="AU219" s="50"/>
      <c r="AV219" s="50"/>
      <c r="AW219" s="50"/>
      <c r="AX219" s="50"/>
      <c r="AY219" s="50"/>
      <c r="AZ219" s="50"/>
      <c r="BA219" s="50"/>
      <c r="BB219" s="50"/>
      <c r="BC219" s="50"/>
      <c r="BD219" s="50"/>
      <c r="BE219" s="50"/>
      <c r="BF219" s="50"/>
      <c r="BG219" s="50"/>
      <c r="BH219" s="50"/>
      <c r="BI219" s="50"/>
      <c r="BJ219" s="50"/>
      <c r="BK219" s="50"/>
      <c r="BL219" s="50"/>
      <c r="BM219" s="50"/>
      <c r="BN219" s="50"/>
      <c r="BO219" s="50"/>
      <c r="BP219" s="50"/>
      <c r="BQ219" s="50"/>
      <c r="BR219" s="50"/>
      <c r="BS219" s="50"/>
      <c r="BT219" s="50"/>
      <c r="BU219" s="50"/>
      <c r="BV219" s="50"/>
    </row>
    <row r="220" spans="2:74">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0"/>
      <c r="AU220" s="50"/>
      <c r="AV220" s="50"/>
      <c r="AW220" s="50"/>
      <c r="AX220" s="50"/>
      <c r="AY220" s="50"/>
      <c r="AZ220" s="50"/>
      <c r="BA220" s="50"/>
      <c r="BB220" s="50"/>
      <c r="BC220" s="50"/>
      <c r="BD220" s="50"/>
      <c r="BE220" s="50"/>
      <c r="BF220" s="50"/>
      <c r="BG220" s="50"/>
      <c r="BH220" s="50"/>
      <c r="BI220" s="50"/>
      <c r="BJ220" s="50"/>
      <c r="BK220" s="50"/>
      <c r="BL220" s="50"/>
      <c r="BM220" s="50"/>
      <c r="BN220" s="50"/>
      <c r="BO220" s="50"/>
      <c r="BP220" s="50"/>
      <c r="BQ220" s="50"/>
      <c r="BR220" s="50"/>
      <c r="BS220" s="50"/>
      <c r="BT220" s="50"/>
      <c r="BU220" s="50"/>
      <c r="BV220" s="50"/>
    </row>
    <row r="221" spans="2:74">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0"/>
      <c r="AU221" s="50"/>
      <c r="AV221" s="50"/>
      <c r="AW221" s="50"/>
      <c r="AX221" s="50"/>
      <c r="AY221" s="50"/>
      <c r="AZ221" s="50"/>
      <c r="BA221" s="50"/>
      <c r="BB221" s="50"/>
      <c r="BC221" s="50"/>
      <c r="BD221" s="50"/>
      <c r="BE221" s="50"/>
      <c r="BF221" s="50"/>
      <c r="BG221" s="50"/>
      <c r="BH221" s="50"/>
      <c r="BI221" s="50"/>
      <c r="BJ221" s="50"/>
      <c r="BK221" s="50"/>
      <c r="BL221" s="50"/>
      <c r="BM221" s="50"/>
      <c r="BN221" s="50"/>
      <c r="BO221" s="50"/>
      <c r="BP221" s="50"/>
      <c r="BQ221" s="50"/>
      <c r="BR221" s="50"/>
      <c r="BS221" s="50"/>
      <c r="BT221" s="50"/>
      <c r="BU221" s="50"/>
      <c r="BV221" s="50"/>
    </row>
    <row r="222" spans="2:74">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0"/>
      <c r="AU222" s="50"/>
      <c r="AV222" s="50"/>
      <c r="AW222" s="50"/>
      <c r="AX222" s="50"/>
      <c r="AY222" s="50"/>
      <c r="AZ222" s="50"/>
      <c r="BA222" s="50"/>
      <c r="BB222" s="50"/>
      <c r="BC222" s="50"/>
      <c r="BD222" s="50"/>
      <c r="BE222" s="50"/>
      <c r="BF222" s="50"/>
      <c r="BG222" s="50"/>
      <c r="BH222" s="50"/>
      <c r="BI222" s="50"/>
      <c r="BJ222" s="50"/>
      <c r="BK222" s="50"/>
      <c r="BL222" s="50"/>
      <c r="BM222" s="50"/>
      <c r="BN222" s="50"/>
      <c r="BO222" s="50"/>
      <c r="BP222" s="50"/>
      <c r="BQ222" s="50"/>
      <c r="BR222" s="50"/>
      <c r="BS222" s="50"/>
      <c r="BT222" s="50"/>
      <c r="BU222" s="50"/>
      <c r="BV222" s="50"/>
    </row>
    <row r="223" spans="2:74">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0"/>
      <c r="AU223" s="50"/>
      <c r="AV223" s="50"/>
      <c r="AW223" s="50"/>
      <c r="AX223" s="50"/>
      <c r="AY223" s="50"/>
      <c r="AZ223" s="50"/>
      <c r="BA223" s="50"/>
      <c r="BB223" s="50"/>
      <c r="BC223" s="50"/>
      <c r="BD223" s="50"/>
      <c r="BE223" s="50"/>
      <c r="BF223" s="50"/>
      <c r="BG223" s="50"/>
      <c r="BH223" s="50"/>
      <c r="BI223" s="50"/>
      <c r="BJ223" s="50"/>
      <c r="BK223" s="50"/>
      <c r="BL223" s="50"/>
      <c r="BM223" s="50"/>
      <c r="BN223" s="50"/>
      <c r="BO223" s="50"/>
      <c r="BP223" s="50"/>
      <c r="BQ223" s="50"/>
      <c r="BR223" s="50"/>
      <c r="BS223" s="50"/>
      <c r="BT223" s="50"/>
      <c r="BU223" s="50"/>
      <c r="BV223" s="50"/>
    </row>
    <row r="224" spans="2:74">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0"/>
      <c r="AU224" s="50"/>
      <c r="AV224" s="50"/>
      <c r="AW224" s="50"/>
      <c r="AX224" s="50"/>
      <c r="AY224" s="50"/>
      <c r="AZ224" s="50"/>
      <c r="BA224" s="50"/>
      <c r="BB224" s="50"/>
      <c r="BC224" s="50"/>
      <c r="BD224" s="50"/>
      <c r="BE224" s="50"/>
      <c r="BF224" s="50"/>
      <c r="BG224" s="50"/>
      <c r="BH224" s="50"/>
      <c r="BI224" s="50"/>
      <c r="BJ224" s="50"/>
      <c r="BK224" s="50"/>
      <c r="BL224" s="50"/>
      <c r="BM224" s="50"/>
      <c r="BN224" s="50"/>
      <c r="BO224" s="50"/>
      <c r="BP224" s="50"/>
      <c r="BQ224" s="50"/>
      <c r="BR224" s="50"/>
      <c r="BS224" s="50"/>
      <c r="BT224" s="50"/>
      <c r="BU224" s="50"/>
      <c r="BV224" s="50"/>
    </row>
    <row r="225" spans="2:74">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0"/>
      <c r="AU225" s="50"/>
      <c r="AV225" s="50"/>
      <c r="AW225" s="50"/>
      <c r="AX225" s="50"/>
      <c r="AY225" s="50"/>
      <c r="AZ225" s="50"/>
      <c r="BA225" s="50"/>
      <c r="BB225" s="50"/>
      <c r="BC225" s="50"/>
      <c r="BD225" s="50"/>
      <c r="BE225" s="50"/>
      <c r="BF225" s="50"/>
      <c r="BG225" s="50"/>
      <c r="BH225" s="50"/>
      <c r="BI225" s="50"/>
      <c r="BJ225" s="50"/>
      <c r="BK225" s="50"/>
      <c r="BL225" s="50"/>
      <c r="BM225" s="50"/>
      <c r="BN225" s="50"/>
      <c r="BO225" s="50"/>
      <c r="BP225" s="50"/>
      <c r="BQ225" s="50"/>
      <c r="BR225" s="50"/>
      <c r="BS225" s="50"/>
      <c r="BT225" s="50"/>
      <c r="BU225" s="50"/>
      <c r="BV225" s="50"/>
    </row>
    <row r="226" spans="2:74">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0"/>
      <c r="AU226" s="50"/>
      <c r="AV226" s="50"/>
      <c r="AW226" s="50"/>
      <c r="AX226" s="50"/>
      <c r="AY226" s="50"/>
      <c r="AZ226" s="50"/>
      <c r="BA226" s="50"/>
      <c r="BB226" s="50"/>
      <c r="BC226" s="50"/>
      <c r="BD226" s="50"/>
      <c r="BE226" s="50"/>
      <c r="BF226" s="50"/>
      <c r="BG226" s="50"/>
      <c r="BH226" s="50"/>
      <c r="BI226" s="50"/>
      <c r="BJ226" s="50"/>
      <c r="BK226" s="50"/>
      <c r="BL226" s="50"/>
      <c r="BM226" s="50"/>
      <c r="BN226" s="50"/>
      <c r="BO226" s="50"/>
      <c r="BP226" s="50"/>
      <c r="BQ226" s="50"/>
      <c r="BR226" s="50"/>
      <c r="BS226" s="50"/>
      <c r="BT226" s="50"/>
      <c r="BU226" s="50"/>
      <c r="BV226" s="50"/>
    </row>
    <row r="227" spans="2:74">
      <c r="B227" s="50"/>
      <c r="C227" s="50"/>
      <c r="D227" s="50"/>
      <c r="E227" s="50"/>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0"/>
      <c r="AU227" s="50"/>
      <c r="AV227" s="50"/>
      <c r="AW227" s="50"/>
      <c r="AX227" s="50"/>
      <c r="AY227" s="50"/>
      <c r="AZ227" s="50"/>
      <c r="BA227" s="50"/>
      <c r="BB227" s="50"/>
      <c r="BC227" s="50"/>
      <c r="BD227" s="50"/>
      <c r="BE227" s="50"/>
      <c r="BF227" s="50"/>
      <c r="BG227" s="50"/>
      <c r="BH227" s="50"/>
      <c r="BI227" s="50"/>
      <c r="BJ227" s="50"/>
      <c r="BK227" s="50"/>
      <c r="BL227" s="50"/>
      <c r="BM227" s="50"/>
      <c r="BN227" s="50"/>
      <c r="BO227" s="50"/>
      <c r="BP227" s="50"/>
      <c r="BQ227" s="50"/>
      <c r="BR227" s="50"/>
      <c r="BS227" s="50"/>
      <c r="BT227" s="50"/>
      <c r="BU227" s="50"/>
      <c r="BV227" s="50"/>
    </row>
  </sheetData>
  <sheetProtection pivotTables="0"/>
  <mergeCells count="50">
    <mergeCell ref="E146:F146"/>
    <mergeCell ref="E147:F147"/>
    <mergeCell ref="A151:B151"/>
    <mergeCell ref="A153:B153"/>
    <mergeCell ref="A154:B154"/>
    <mergeCell ref="E143:F143"/>
    <mergeCell ref="E144:F144"/>
    <mergeCell ref="B145:D145"/>
    <mergeCell ref="E145:F145"/>
    <mergeCell ref="G99:G100"/>
    <mergeCell ref="A143:D144"/>
    <mergeCell ref="Z1:AA1"/>
    <mergeCell ref="B1:Q1"/>
    <mergeCell ref="G88:G89"/>
    <mergeCell ref="G86:L86"/>
    <mergeCell ref="A68:I68"/>
    <mergeCell ref="K68:M68"/>
    <mergeCell ref="A81:H81"/>
    <mergeCell ref="AT1:BD1"/>
    <mergeCell ref="I126:I134"/>
    <mergeCell ref="I121:L121"/>
    <mergeCell ref="A121:G121"/>
    <mergeCell ref="A88:A89"/>
    <mergeCell ref="A86:F86"/>
    <mergeCell ref="B116:J116"/>
    <mergeCell ref="A92:F92"/>
    <mergeCell ref="A94:A95"/>
    <mergeCell ref="A97:F97"/>
    <mergeCell ref="A99:A100"/>
    <mergeCell ref="B102:I102"/>
    <mergeCell ref="AF1:AP1"/>
    <mergeCell ref="G92:L92"/>
    <mergeCell ref="G94:G95"/>
    <mergeCell ref="G97:L97"/>
    <mergeCell ref="C160:D160"/>
    <mergeCell ref="C161:D161"/>
    <mergeCell ref="C162:D162"/>
    <mergeCell ref="C163:D163"/>
    <mergeCell ref="E160:F160"/>
    <mergeCell ref="E161:F161"/>
    <mergeCell ref="E162:F162"/>
    <mergeCell ref="E163:F163"/>
    <mergeCell ref="C165:D165"/>
    <mergeCell ref="C166:D166"/>
    <mergeCell ref="C167:D167"/>
    <mergeCell ref="C168:D168"/>
    <mergeCell ref="A165:B165"/>
    <mergeCell ref="A166:B166"/>
    <mergeCell ref="A167:B167"/>
    <mergeCell ref="A168:B168"/>
  </mergeCells>
  <conditionalFormatting sqref="F104:F106">
    <cfRule type="iconSet" priority="2">
      <iconSet reverse="1">
        <cfvo type="percent" val="0"/>
        <cfvo type="percent" val="33"/>
        <cfvo type="percent" val="67"/>
      </iconSet>
    </cfRule>
  </conditionalFormatting>
  <conditionalFormatting sqref="E104:E106">
    <cfRule type="cellIs" dxfId="241" priority="1" stopIfTrue="1" operator="equal">
      <formula>"Wet"</formula>
    </cfRule>
  </conditionalFormatting>
  <dataValidations count="2">
    <dataValidation type="decimal" allowBlank="1" showInputMessage="1" showErrorMessage="1" sqref="E107">
      <formula1>0</formula1>
      <formula2>180000</formula2>
    </dataValidation>
    <dataValidation type="whole" allowBlank="1" showInputMessage="1" showErrorMessage="1" sqref="F107">
      <formula1>-999</formula1>
      <formula2>999</formula2>
    </dataValidation>
  </dataValidations>
  <pageMargins left="0.7" right="0.7" top="0.75" bottom="0.75" header="0.3" footer="0.3"/>
  <pageSetup paperSize="9" orientation="portrait" verticalDpi="0" r:id="rId1"/>
  <legacyDrawing r:id="rId2"/>
</worksheet>
</file>

<file path=xl/worksheets/sheet2.xml><?xml version="1.0" encoding="utf-8"?>
<worksheet xmlns="http://schemas.openxmlformats.org/spreadsheetml/2006/main" xmlns:r="http://schemas.openxmlformats.org/officeDocument/2006/relationships">
  <sheetPr codeName="Feuil9">
    <tabColor rgb="FFFFC000"/>
  </sheetPr>
  <dimension ref="A1:X406"/>
  <sheetViews>
    <sheetView showGridLines="0" workbookViewId="0">
      <selection activeCell="J46" sqref="J46"/>
    </sheetView>
  </sheetViews>
  <sheetFormatPr baseColWidth="10" defaultColWidth="11.42578125" defaultRowHeight="15"/>
  <cols>
    <col min="1" max="2" width="11.42578125" style="3" customWidth="1"/>
    <col min="3" max="6" width="11.42578125" style="3"/>
    <col min="7" max="7" width="11.42578125" style="3" customWidth="1"/>
    <col min="8" max="8" width="11.42578125" style="3"/>
    <col min="9" max="9" width="11.42578125" style="3" customWidth="1"/>
    <col min="10" max="10" width="11.42578125" style="3"/>
    <col min="11" max="12" width="11.42578125" style="3" customWidth="1"/>
    <col min="13" max="13" width="14.85546875" style="3" customWidth="1"/>
    <col min="14" max="15" width="11.42578125" style="3" customWidth="1"/>
    <col min="16" max="17" width="11.42578125" style="3"/>
    <col min="18" max="18" width="13.5703125" style="3" customWidth="1"/>
    <col min="19" max="16384" width="11.42578125" style="3"/>
  </cols>
  <sheetData>
    <row r="1" spans="1:24" ht="16.5" thickBot="1">
      <c r="A1" s="605" t="s">
        <v>238</v>
      </c>
      <c r="B1" s="606"/>
      <c r="C1" s="606"/>
      <c r="D1" s="606"/>
      <c r="E1" s="606"/>
      <c r="F1" s="606"/>
      <c r="G1" s="606"/>
      <c r="H1" s="606"/>
      <c r="I1" s="606"/>
      <c r="J1" s="606"/>
      <c r="K1" s="606"/>
      <c r="L1" s="606"/>
      <c r="M1" s="606"/>
      <c r="N1" s="606"/>
      <c r="O1" s="606"/>
      <c r="P1" s="607"/>
    </row>
    <row r="2" spans="1:24">
      <c r="A2" s="85" t="s">
        <v>68</v>
      </c>
      <c r="B2" s="85" t="s">
        <v>244</v>
      </c>
      <c r="C2" s="86" t="s">
        <v>179</v>
      </c>
      <c r="D2" s="86" t="s">
        <v>180</v>
      </c>
      <c r="E2" s="86" t="s">
        <v>181</v>
      </c>
      <c r="F2" s="86" t="s">
        <v>130</v>
      </c>
      <c r="G2" s="86"/>
      <c r="H2" s="86" t="s">
        <v>182</v>
      </c>
      <c r="I2" s="86" t="s">
        <v>183</v>
      </c>
      <c r="J2" s="86" t="s">
        <v>184</v>
      </c>
      <c r="K2" s="86"/>
      <c r="L2" s="87" t="s">
        <v>239</v>
      </c>
      <c r="M2" s="87" t="s">
        <v>240</v>
      </c>
      <c r="N2" s="87" t="s">
        <v>241</v>
      </c>
      <c r="O2" s="87" t="s">
        <v>242</v>
      </c>
      <c r="P2" s="87" t="s">
        <v>185</v>
      </c>
      <c r="R2" s="14" t="s">
        <v>128</v>
      </c>
      <c r="S2" s="84" t="s">
        <v>239</v>
      </c>
    </row>
    <row r="3" spans="1:24">
      <c r="A3" s="88" t="str">
        <f>Module!H2</f>
        <v>Sakhir</v>
      </c>
      <c r="B3" s="89">
        <f>VLOOKUP(A3,$R$3:$S$60,2,0)</f>
        <v>75.053122658619813</v>
      </c>
      <c r="C3" s="90">
        <f>Module!B5</f>
        <v>0</v>
      </c>
      <c r="D3" s="90">
        <f>Module!B6</f>
        <v>62</v>
      </c>
      <c r="E3" s="90">
        <f>Module!B32</f>
        <v>3</v>
      </c>
      <c r="F3" s="91">
        <v>0</v>
      </c>
      <c r="G3" s="92">
        <f>VLOOKUP(H3,$U$5:$X$8,3,0)</f>
        <v>0.1847141723146272</v>
      </c>
      <c r="H3" s="91" t="s">
        <v>12</v>
      </c>
      <c r="I3" s="92">
        <f>VLOOKUP(H3,$U$5:$V$8,2,0)</f>
        <v>1</v>
      </c>
      <c r="J3" s="93">
        <f>Module!I12</f>
        <v>17</v>
      </c>
      <c r="K3" s="94">
        <f>VLOOKUP(H3,$U$5:$X$8,4,0)</f>
        <v>0.96676581151405383</v>
      </c>
      <c r="L3" s="95">
        <f>B3</f>
        <v>75.053122658619813</v>
      </c>
      <c r="M3" s="95">
        <f>C3*$V$10+$V$11*D3+E3*$V$12+I3*$V$13</f>
        <v>66.628403365640608</v>
      </c>
      <c r="N3" s="95">
        <f>G3*F3+J3*K3</f>
        <v>16.435018795738916</v>
      </c>
      <c r="O3" s="95">
        <f>L3+((L3*M3)/100)</f>
        <v>125.05981996211403</v>
      </c>
      <c r="P3" s="96">
        <f>O3-((O3*N3)/100)</f>
        <v>104.50621504542335</v>
      </c>
      <c r="R3" s="36" t="s">
        <v>125</v>
      </c>
      <c r="S3" s="80">
        <v>65.967565947562932</v>
      </c>
    </row>
    <row r="4" spans="1:24">
      <c r="A4" s="88" t="str">
        <f>A3</f>
        <v>Sakhir</v>
      </c>
      <c r="B4" s="89">
        <f t="shared" ref="B4:B66" si="0">VLOOKUP(A4,$R$3:$S$60,2,0)</f>
        <v>75.053122658619813</v>
      </c>
      <c r="C4" s="90">
        <f>C3</f>
        <v>0</v>
      </c>
      <c r="D4" s="90">
        <f>D3</f>
        <v>62</v>
      </c>
      <c r="E4" s="90">
        <f>E3</f>
        <v>3</v>
      </c>
      <c r="F4" s="91">
        <f>F3+1</f>
        <v>1</v>
      </c>
      <c r="G4" s="92">
        <f>VLOOKUP(H4,$U$5:$X$8,3,0)</f>
        <v>0.1847141723146272</v>
      </c>
      <c r="H4" s="91" t="s">
        <v>12</v>
      </c>
      <c r="I4" s="92">
        <f>VLOOKUP(H4,$U$5:$V$8,2,0)</f>
        <v>1</v>
      </c>
      <c r="J4" s="93">
        <f>J3</f>
        <v>17</v>
      </c>
      <c r="K4" s="94">
        <f>VLOOKUP(H4,$U$5:$X$8,4,0)</f>
        <v>0.96676581151405383</v>
      </c>
      <c r="L4" s="95">
        <f>B4</f>
        <v>75.053122658619813</v>
      </c>
      <c r="M4" s="95">
        <f>C4*$V$10+$V$11*D4+E4*$V$12+I4*$V$13</f>
        <v>66.628403365640608</v>
      </c>
      <c r="N4" s="95">
        <f>G4*F4+J4*K4</f>
        <v>16.619732968053544</v>
      </c>
      <c r="O4" s="95">
        <f>L4+((L4*M4)/100)</f>
        <v>125.05981996211403</v>
      </c>
      <c r="P4" s="96">
        <f>O4-((O4*N4)/100)</f>
        <v>104.27521183408216</v>
      </c>
      <c r="R4" s="36" t="s">
        <v>312</v>
      </c>
      <c r="S4" s="80">
        <v>67.936248358302777</v>
      </c>
    </row>
    <row r="5" spans="1:24">
      <c r="A5" s="88" t="str">
        <f t="shared" ref="A5:A68" si="1">A4</f>
        <v>Sakhir</v>
      </c>
      <c r="B5" s="89">
        <f t="shared" si="0"/>
        <v>75.053122658619813</v>
      </c>
      <c r="C5" s="90">
        <f t="shared" ref="C5:E6" si="2">C4</f>
        <v>0</v>
      </c>
      <c r="D5" s="90">
        <f t="shared" si="2"/>
        <v>62</v>
      </c>
      <c r="E5" s="90">
        <f t="shared" si="2"/>
        <v>3</v>
      </c>
      <c r="F5" s="91">
        <f t="shared" ref="F5:F68" si="3">F4+1</f>
        <v>2</v>
      </c>
      <c r="G5" s="92">
        <f>VLOOKUP(H5,$U$5:$X$8,3,0)</f>
        <v>0.1847141723146272</v>
      </c>
      <c r="H5" s="91" t="s">
        <v>12</v>
      </c>
      <c r="I5" s="92">
        <f>VLOOKUP(H5,$U$5:$V$8,2,0)</f>
        <v>1</v>
      </c>
      <c r="J5" s="93">
        <f t="shared" ref="J5:J68" si="4">J4</f>
        <v>17</v>
      </c>
      <c r="K5" s="94">
        <f>VLOOKUP(H5,$U$5:$X$8,4,0)</f>
        <v>0.96676581151405383</v>
      </c>
      <c r="L5" s="95">
        <f>B5</f>
        <v>75.053122658619813</v>
      </c>
      <c r="M5" s="95">
        <f>C5*$V$10+$V$11*D5+E5*$V$12+I5*$V$13</f>
        <v>66.628403365640608</v>
      </c>
      <c r="N5" s="95">
        <f>G5*F5+J5*K5</f>
        <v>16.804447140368172</v>
      </c>
      <c r="O5" s="95">
        <f>L5+((L5*M5)/100)</f>
        <v>125.05981996211403</v>
      </c>
      <c r="P5" s="96">
        <f>O5-((O5*N5)/100)</f>
        <v>104.04420862274098</v>
      </c>
      <c r="R5" s="36" t="s">
        <v>123</v>
      </c>
      <c r="S5" s="80">
        <v>57.249092698427809</v>
      </c>
      <c r="U5" s="96" t="s">
        <v>12</v>
      </c>
      <c r="V5" s="95">
        <v>1</v>
      </c>
      <c r="W5" s="95">
        <v>0.1847141723146272</v>
      </c>
      <c r="X5" s="95">
        <v>0.96676581151405383</v>
      </c>
    </row>
    <row r="6" spans="1:24">
      <c r="A6" s="88" t="str">
        <f t="shared" si="1"/>
        <v>Sakhir</v>
      </c>
      <c r="B6" s="89">
        <f t="shared" si="0"/>
        <v>75.053122658619813</v>
      </c>
      <c r="C6" s="90">
        <f t="shared" si="2"/>
        <v>0</v>
      </c>
      <c r="D6" s="90">
        <f t="shared" si="2"/>
        <v>62</v>
      </c>
      <c r="E6" s="90">
        <f t="shared" si="2"/>
        <v>3</v>
      </c>
      <c r="F6" s="91">
        <f t="shared" si="3"/>
        <v>3</v>
      </c>
      <c r="G6" s="92">
        <f>VLOOKUP(H6,$U$5:$X$8,3,0)</f>
        <v>0.1847141723146272</v>
      </c>
      <c r="H6" s="91" t="s">
        <v>12</v>
      </c>
      <c r="I6" s="92">
        <f>VLOOKUP(H6,$U$5:$V$8,2,0)</f>
        <v>1</v>
      </c>
      <c r="J6" s="93">
        <f t="shared" si="4"/>
        <v>17</v>
      </c>
      <c r="K6" s="94">
        <f>VLOOKUP(H6,$U$5:$X$8,4,0)</f>
        <v>0.96676581151405383</v>
      </c>
      <c r="L6" s="95">
        <f>B6</f>
        <v>75.053122658619813</v>
      </c>
      <c r="M6" s="95">
        <f>C6*$V$10+$V$11*D6+E6*$V$12+I6*$V$13</f>
        <v>66.628403365640608</v>
      </c>
      <c r="N6" s="95">
        <f>G6*F6+J6*K6</f>
        <v>16.989161312682796</v>
      </c>
      <c r="O6" s="95">
        <f>L6+((L6*M6)/100)</f>
        <v>125.05981996211403</v>
      </c>
      <c r="P6" s="96">
        <f>O6-((O6*N6)/100)</f>
        <v>103.81320541139979</v>
      </c>
      <c r="R6" s="36" t="s">
        <v>122</v>
      </c>
      <c r="S6" s="80">
        <v>65.724498509957584</v>
      </c>
      <c r="U6" s="96" t="s">
        <v>186</v>
      </c>
      <c r="V6" s="95">
        <v>2</v>
      </c>
      <c r="W6" s="95">
        <v>0.21057465437781986</v>
      </c>
      <c r="X6" s="95">
        <v>0.97685616744811155</v>
      </c>
    </row>
    <row r="7" spans="1:24">
      <c r="A7" s="88" t="str">
        <f t="shared" si="1"/>
        <v>Sakhir</v>
      </c>
      <c r="B7" s="89">
        <f t="shared" si="0"/>
        <v>75.053122658619813</v>
      </c>
      <c r="C7" s="90">
        <f t="shared" ref="C7:C70" si="5">C6</f>
        <v>0</v>
      </c>
      <c r="D7" s="90">
        <f t="shared" ref="D7:D70" si="6">D6</f>
        <v>62</v>
      </c>
      <c r="E7" s="90">
        <f t="shared" ref="E7:E70" si="7">E6</f>
        <v>3</v>
      </c>
      <c r="F7" s="91">
        <f t="shared" si="3"/>
        <v>4</v>
      </c>
      <c r="G7" s="92">
        <f t="shared" ref="G7:G70" si="8">VLOOKUP(H7,$U$5:$X$8,3,0)</f>
        <v>0.1847141723146272</v>
      </c>
      <c r="H7" s="91" t="s">
        <v>12</v>
      </c>
      <c r="I7" s="92">
        <f t="shared" ref="I7:I70" si="9">VLOOKUP(H7,$U$5:$V$8,2,0)</f>
        <v>1</v>
      </c>
      <c r="J7" s="93">
        <f t="shared" si="4"/>
        <v>17</v>
      </c>
      <c r="K7" s="94">
        <f t="shared" ref="K7:K70" si="10">VLOOKUP(H7,$U$5:$X$8,4,0)</f>
        <v>0.96676581151405383</v>
      </c>
      <c r="L7" s="95">
        <f>B7</f>
        <v>75.053122658619813</v>
      </c>
      <c r="M7" s="95">
        <f t="shared" ref="M7:M70" si="11">C7*$V$10+$V$11*D7+E7*$V$12+I7*$V$13</f>
        <v>66.628403365640608</v>
      </c>
      <c r="N7" s="95">
        <f t="shared" ref="N7:N70" si="12">G7*F7+J7*K7</f>
        <v>17.173875484997424</v>
      </c>
      <c r="O7" s="95">
        <f t="shared" ref="O7:O70" si="13">L7+((L7*M7)/100)</f>
        <v>125.05981996211403</v>
      </c>
      <c r="P7" s="96">
        <f t="shared" ref="P7:P70" si="14">O7-((O7*N7)/100)</f>
        <v>103.58220220005862</v>
      </c>
      <c r="R7" s="36" t="s">
        <v>127</v>
      </c>
      <c r="S7" s="80">
        <v>68.697399776561099</v>
      </c>
      <c r="U7" s="96" t="s">
        <v>135</v>
      </c>
      <c r="V7" s="95">
        <v>3</v>
      </c>
      <c r="W7" s="95">
        <v>0.23111450252550558</v>
      </c>
      <c r="X7" s="95">
        <v>0.76808799417676743</v>
      </c>
    </row>
    <row r="8" spans="1:24">
      <c r="A8" s="88" t="str">
        <f t="shared" si="1"/>
        <v>Sakhir</v>
      </c>
      <c r="B8" s="89">
        <f t="shared" si="0"/>
        <v>75.053122658619813</v>
      </c>
      <c r="C8" s="90">
        <f t="shared" si="5"/>
        <v>0</v>
      </c>
      <c r="D8" s="90">
        <f t="shared" si="6"/>
        <v>62</v>
      </c>
      <c r="E8" s="90">
        <f t="shared" si="7"/>
        <v>3</v>
      </c>
      <c r="F8" s="91">
        <f t="shared" si="3"/>
        <v>5</v>
      </c>
      <c r="G8" s="92">
        <f t="shared" si="8"/>
        <v>0.1847141723146272</v>
      </c>
      <c r="H8" s="91" t="s">
        <v>12</v>
      </c>
      <c r="I8" s="92">
        <f t="shared" si="9"/>
        <v>1</v>
      </c>
      <c r="J8" s="93">
        <f t="shared" si="4"/>
        <v>17</v>
      </c>
      <c r="K8" s="94">
        <f t="shared" si="10"/>
        <v>0.96676581151405383</v>
      </c>
      <c r="L8" s="95">
        <f t="shared" ref="L8:L70" si="15">B8</f>
        <v>75.053122658619813</v>
      </c>
      <c r="M8" s="95">
        <f t="shared" si="11"/>
        <v>66.628403365640608</v>
      </c>
      <c r="N8" s="95">
        <f t="shared" si="12"/>
        <v>17.358589657312052</v>
      </c>
      <c r="O8" s="95">
        <f t="shared" si="13"/>
        <v>125.05981996211403</v>
      </c>
      <c r="P8" s="96">
        <f t="shared" si="14"/>
        <v>103.35119898871743</v>
      </c>
      <c r="R8" s="36" t="s">
        <v>121</v>
      </c>
      <c r="S8" s="80">
        <v>88.212432120000003</v>
      </c>
      <c r="U8" s="96" t="s">
        <v>152</v>
      </c>
      <c r="V8" s="95">
        <v>4</v>
      </c>
      <c r="W8" s="95">
        <v>0.25957855738757146</v>
      </c>
      <c r="X8" s="95">
        <v>0.50683041930034523</v>
      </c>
    </row>
    <row r="9" spans="1:24">
      <c r="A9" s="88" t="str">
        <f t="shared" si="1"/>
        <v>Sakhir</v>
      </c>
      <c r="B9" s="89">
        <f t="shared" si="0"/>
        <v>75.053122658619813</v>
      </c>
      <c r="C9" s="90">
        <f t="shared" si="5"/>
        <v>0</v>
      </c>
      <c r="D9" s="90">
        <f t="shared" si="6"/>
        <v>62</v>
      </c>
      <c r="E9" s="90">
        <f t="shared" si="7"/>
        <v>3</v>
      </c>
      <c r="F9" s="91">
        <f t="shared" si="3"/>
        <v>6</v>
      </c>
      <c r="G9" s="92">
        <f t="shared" si="8"/>
        <v>0.1847141723146272</v>
      </c>
      <c r="H9" s="91" t="s">
        <v>12</v>
      </c>
      <c r="I9" s="92">
        <f t="shared" si="9"/>
        <v>1</v>
      </c>
      <c r="J9" s="93">
        <f t="shared" si="4"/>
        <v>17</v>
      </c>
      <c r="K9" s="94">
        <f t="shared" si="10"/>
        <v>0.96676581151405383</v>
      </c>
      <c r="L9" s="95">
        <f t="shared" si="15"/>
        <v>75.053122658619813</v>
      </c>
      <c r="M9" s="95">
        <f t="shared" si="11"/>
        <v>66.628403365640608</v>
      </c>
      <c r="N9" s="95">
        <f t="shared" si="12"/>
        <v>17.54330382962668</v>
      </c>
      <c r="O9" s="95">
        <f t="shared" si="13"/>
        <v>125.05981996211403</v>
      </c>
      <c r="P9" s="96">
        <f t="shared" si="14"/>
        <v>103.12019577737625</v>
      </c>
      <c r="R9" s="36" t="s">
        <v>309</v>
      </c>
      <c r="S9" s="80">
        <v>51.02805</v>
      </c>
    </row>
    <row r="10" spans="1:24">
      <c r="A10" s="88" t="str">
        <f t="shared" si="1"/>
        <v>Sakhir</v>
      </c>
      <c r="B10" s="89">
        <f t="shared" si="0"/>
        <v>75.053122658619813</v>
      </c>
      <c r="C10" s="90">
        <f t="shared" si="5"/>
        <v>0</v>
      </c>
      <c r="D10" s="90">
        <f t="shared" si="6"/>
        <v>62</v>
      </c>
      <c r="E10" s="90">
        <f t="shared" si="7"/>
        <v>3</v>
      </c>
      <c r="F10" s="91">
        <f t="shared" si="3"/>
        <v>7</v>
      </c>
      <c r="G10" s="92">
        <f t="shared" si="8"/>
        <v>0.1847141723146272</v>
      </c>
      <c r="H10" s="91" t="s">
        <v>12</v>
      </c>
      <c r="I10" s="92">
        <f t="shared" si="9"/>
        <v>1</v>
      </c>
      <c r="J10" s="93">
        <f t="shared" si="4"/>
        <v>17</v>
      </c>
      <c r="K10" s="94">
        <f t="shared" si="10"/>
        <v>0.96676581151405383</v>
      </c>
      <c r="L10" s="95">
        <f t="shared" si="15"/>
        <v>75.053122658619813</v>
      </c>
      <c r="M10" s="95">
        <f t="shared" si="11"/>
        <v>66.628403365640608</v>
      </c>
      <c r="N10" s="95">
        <f t="shared" si="12"/>
        <v>17.728018001941308</v>
      </c>
      <c r="O10" s="95">
        <f t="shared" si="13"/>
        <v>125.05981996211403</v>
      </c>
      <c r="P10" s="96">
        <f t="shared" si="14"/>
        <v>102.88919256603506</v>
      </c>
      <c r="R10" s="36" t="s">
        <v>120</v>
      </c>
      <c r="S10" s="80">
        <v>72.397308837321546</v>
      </c>
      <c r="U10" s="86" t="s">
        <v>179</v>
      </c>
      <c r="V10" s="95">
        <v>-5.4202307500879315E-2</v>
      </c>
    </row>
    <row r="11" spans="1:24">
      <c r="A11" s="88" t="str">
        <f t="shared" si="1"/>
        <v>Sakhir</v>
      </c>
      <c r="B11" s="89">
        <f t="shared" si="0"/>
        <v>75.053122658619813</v>
      </c>
      <c r="C11" s="90">
        <f t="shared" si="5"/>
        <v>0</v>
      </c>
      <c r="D11" s="90">
        <f t="shared" si="6"/>
        <v>62</v>
      </c>
      <c r="E11" s="90">
        <f t="shared" si="7"/>
        <v>3</v>
      </c>
      <c r="F11" s="91">
        <f t="shared" si="3"/>
        <v>8</v>
      </c>
      <c r="G11" s="92">
        <f t="shared" si="8"/>
        <v>0.1847141723146272</v>
      </c>
      <c r="H11" s="91" t="s">
        <v>12</v>
      </c>
      <c r="I11" s="92">
        <f t="shared" si="9"/>
        <v>1</v>
      </c>
      <c r="J11" s="93">
        <f t="shared" si="4"/>
        <v>17</v>
      </c>
      <c r="K11" s="94">
        <f t="shared" si="10"/>
        <v>0.96676581151405383</v>
      </c>
      <c r="L11" s="95">
        <f t="shared" si="15"/>
        <v>75.053122658619813</v>
      </c>
      <c r="M11" s="95">
        <f t="shared" si="11"/>
        <v>66.628403365640608</v>
      </c>
      <c r="N11" s="95">
        <f t="shared" si="12"/>
        <v>17.912732174255932</v>
      </c>
      <c r="O11" s="95">
        <f t="shared" si="13"/>
        <v>125.05981996211403</v>
      </c>
      <c r="P11" s="96">
        <f t="shared" si="14"/>
        <v>102.65818935469389</v>
      </c>
      <c r="R11" s="36" t="s">
        <v>119</v>
      </c>
      <c r="S11" s="80">
        <v>78.511415496222455</v>
      </c>
      <c r="U11" s="86" t="s">
        <v>180</v>
      </c>
      <c r="V11" s="95">
        <v>4.9535168764568274E-2</v>
      </c>
    </row>
    <row r="12" spans="1:24">
      <c r="A12" s="88" t="str">
        <f t="shared" si="1"/>
        <v>Sakhir</v>
      </c>
      <c r="B12" s="89">
        <f t="shared" si="0"/>
        <v>75.053122658619813</v>
      </c>
      <c r="C12" s="90">
        <f t="shared" si="5"/>
        <v>0</v>
      </c>
      <c r="D12" s="90">
        <f t="shared" si="6"/>
        <v>62</v>
      </c>
      <c r="E12" s="90">
        <f t="shared" si="7"/>
        <v>3</v>
      </c>
      <c r="F12" s="91">
        <f t="shared" si="3"/>
        <v>9</v>
      </c>
      <c r="G12" s="92">
        <f t="shared" si="8"/>
        <v>0.1847141723146272</v>
      </c>
      <c r="H12" s="91" t="s">
        <v>12</v>
      </c>
      <c r="I12" s="92">
        <f t="shared" si="9"/>
        <v>1</v>
      </c>
      <c r="J12" s="93">
        <f t="shared" si="4"/>
        <v>17</v>
      </c>
      <c r="K12" s="94">
        <f t="shared" si="10"/>
        <v>0.96676581151405383</v>
      </c>
      <c r="L12" s="95">
        <f t="shared" si="15"/>
        <v>75.053122658619813</v>
      </c>
      <c r="M12" s="95">
        <f t="shared" si="11"/>
        <v>66.628403365640608</v>
      </c>
      <c r="N12" s="95">
        <f t="shared" si="12"/>
        <v>18.09744634657056</v>
      </c>
      <c r="O12" s="95">
        <f t="shared" si="13"/>
        <v>125.05981996211403</v>
      </c>
      <c r="P12" s="96">
        <f t="shared" si="14"/>
        <v>102.42718614335271</v>
      </c>
      <c r="R12" s="36" t="s">
        <v>118</v>
      </c>
      <c r="S12" s="80">
        <v>68.870312356199364</v>
      </c>
      <c r="U12" s="86" t="s">
        <v>181</v>
      </c>
      <c r="V12" s="95">
        <v>2.1930400877773866</v>
      </c>
    </row>
    <row r="13" spans="1:24">
      <c r="A13" s="88" t="str">
        <f t="shared" si="1"/>
        <v>Sakhir</v>
      </c>
      <c r="B13" s="89">
        <f t="shared" si="0"/>
        <v>75.053122658619813</v>
      </c>
      <c r="C13" s="90">
        <f t="shared" si="5"/>
        <v>0</v>
      </c>
      <c r="D13" s="90">
        <f t="shared" si="6"/>
        <v>62</v>
      </c>
      <c r="E13" s="90">
        <f t="shared" si="7"/>
        <v>3</v>
      </c>
      <c r="F13" s="91">
        <f t="shared" si="3"/>
        <v>10</v>
      </c>
      <c r="G13" s="92">
        <f t="shared" si="8"/>
        <v>0.1847141723146272</v>
      </c>
      <c r="H13" s="91" t="s">
        <v>12</v>
      </c>
      <c r="I13" s="92">
        <f t="shared" si="9"/>
        <v>1</v>
      </c>
      <c r="J13" s="93">
        <f t="shared" si="4"/>
        <v>17</v>
      </c>
      <c r="K13" s="94">
        <f t="shared" si="10"/>
        <v>0.96676581151405383</v>
      </c>
      <c r="L13" s="95">
        <f t="shared" si="15"/>
        <v>75.053122658619813</v>
      </c>
      <c r="M13" s="95">
        <f t="shared" si="11"/>
        <v>66.628403365640608</v>
      </c>
      <c r="N13" s="95">
        <f t="shared" si="12"/>
        <v>18.282160518885188</v>
      </c>
      <c r="O13" s="95">
        <f t="shared" si="13"/>
        <v>125.05981996211403</v>
      </c>
      <c r="P13" s="96">
        <f t="shared" si="14"/>
        <v>102.19618293201152</v>
      </c>
      <c r="R13" s="36" t="s">
        <v>117</v>
      </c>
      <c r="S13" s="80">
        <v>81.276540993135427</v>
      </c>
      <c r="U13" s="86" t="s">
        <v>183</v>
      </c>
      <c r="V13" s="95">
        <v>56.97810263890522</v>
      </c>
    </row>
    <row r="14" spans="1:24">
      <c r="A14" s="88" t="str">
        <f t="shared" si="1"/>
        <v>Sakhir</v>
      </c>
      <c r="B14" s="89">
        <f t="shared" si="0"/>
        <v>75.053122658619813</v>
      </c>
      <c r="C14" s="90">
        <f t="shared" si="5"/>
        <v>0</v>
      </c>
      <c r="D14" s="90">
        <f t="shared" si="6"/>
        <v>62</v>
      </c>
      <c r="E14" s="90">
        <f t="shared" si="7"/>
        <v>3</v>
      </c>
      <c r="F14" s="91">
        <f t="shared" si="3"/>
        <v>11</v>
      </c>
      <c r="G14" s="92">
        <f t="shared" si="8"/>
        <v>0.1847141723146272</v>
      </c>
      <c r="H14" s="91" t="s">
        <v>12</v>
      </c>
      <c r="I14" s="92">
        <f t="shared" si="9"/>
        <v>1</v>
      </c>
      <c r="J14" s="93">
        <f t="shared" si="4"/>
        <v>17</v>
      </c>
      <c r="K14" s="94">
        <f t="shared" si="10"/>
        <v>0.96676581151405383</v>
      </c>
      <c r="L14" s="95">
        <f t="shared" si="15"/>
        <v>75.053122658619813</v>
      </c>
      <c r="M14" s="95">
        <f t="shared" si="11"/>
        <v>66.628403365640608</v>
      </c>
      <c r="N14" s="95">
        <f t="shared" si="12"/>
        <v>18.466874691199816</v>
      </c>
      <c r="O14" s="95">
        <f t="shared" si="13"/>
        <v>125.05981996211403</v>
      </c>
      <c r="P14" s="96">
        <f t="shared" si="14"/>
        <v>101.96517972067033</v>
      </c>
      <c r="R14" s="36" t="s">
        <v>116</v>
      </c>
      <c r="S14" s="80">
        <v>61.103851434667945</v>
      </c>
    </row>
    <row r="15" spans="1:24">
      <c r="A15" s="88" t="str">
        <f t="shared" si="1"/>
        <v>Sakhir</v>
      </c>
      <c r="B15" s="89">
        <f t="shared" si="0"/>
        <v>75.053122658619813</v>
      </c>
      <c r="C15" s="90">
        <f t="shared" si="5"/>
        <v>0</v>
      </c>
      <c r="D15" s="90">
        <f t="shared" si="6"/>
        <v>62</v>
      </c>
      <c r="E15" s="90">
        <f t="shared" si="7"/>
        <v>3</v>
      </c>
      <c r="F15" s="91">
        <f t="shared" si="3"/>
        <v>12</v>
      </c>
      <c r="G15" s="92">
        <f t="shared" si="8"/>
        <v>0.1847141723146272</v>
      </c>
      <c r="H15" s="91" t="s">
        <v>12</v>
      </c>
      <c r="I15" s="92">
        <f t="shared" si="9"/>
        <v>1</v>
      </c>
      <c r="J15" s="93">
        <f t="shared" si="4"/>
        <v>17</v>
      </c>
      <c r="K15" s="94">
        <f t="shared" si="10"/>
        <v>0.96676581151405383</v>
      </c>
      <c r="L15" s="95">
        <f t="shared" si="15"/>
        <v>75.053122658619813</v>
      </c>
      <c r="M15" s="95">
        <f t="shared" si="11"/>
        <v>66.628403365640608</v>
      </c>
      <c r="N15" s="95">
        <f t="shared" si="12"/>
        <v>18.651588863514441</v>
      </c>
      <c r="O15" s="95">
        <f t="shared" si="13"/>
        <v>125.05981996211403</v>
      </c>
      <c r="P15" s="96">
        <f t="shared" si="14"/>
        <v>101.73417650932916</v>
      </c>
      <c r="R15" s="36" t="s">
        <v>115</v>
      </c>
      <c r="S15" s="80">
        <v>77.947576960744172</v>
      </c>
    </row>
    <row r="16" spans="1:24">
      <c r="A16" s="88" t="str">
        <f t="shared" si="1"/>
        <v>Sakhir</v>
      </c>
      <c r="B16" s="89">
        <f t="shared" si="0"/>
        <v>75.053122658619813</v>
      </c>
      <c r="C16" s="90">
        <f t="shared" si="5"/>
        <v>0</v>
      </c>
      <c r="D16" s="90">
        <f t="shared" si="6"/>
        <v>62</v>
      </c>
      <c r="E16" s="90">
        <f t="shared" si="7"/>
        <v>3</v>
      </c>
      <c r="F16" s="91">
        <f t="shared" si="3"/>
        <v>13</v>
      </c>
      <c r="G16" s="92">
        <f t="shared" si="8"/>
        <v>0.1847141723146272</v>
      </c>
      <c r="H16" s="91" t="s">
        <v>12</v>
      </c>
      <c r="I16" s="92">
        <f t="shared" si="9"/>
        <v>1</v>
      </c>
      <c r="J16" s="93">
        <f t="shared" si="4"/>
        <v>17</v>
      </c>
      <c r="K16" s="94">
        <f t="shared" si="10"/>
        <v>0.96676581151405383</v>
      </c>
      <c r="L16" s="95">
        <f t="shared" si="15"/>
        <v>75.053122658619813</v>
      </c>
      <c r="M16" s="95">
        <f t="shared" si="11"/>
        <v>66.628403365640608</v>
      </c>
      <c r="N16" s="95">
        <f t="shared" si="12"/>
        <v>18.836303035829069</v>
      </c>
      <c r="O16" s="95">
        <f t="shared" si="13"/>
        <v>125.05981996211403</v>
      </c>
      <c r="P16" s="96">
        <f t="shared" si="14"/>
        <v>101.50317329798798</v>
      </c>
      <c r="R16" s="36" t="s">
        <v>114</v>
      </c>
      <c r="S16" s="80">
        <v>58.91017676745799</v>
      </c>
    </row>
    <row r="17" spans="1:20">
      <c r="A17" s="88" t="str">
        <f t="shared" si="1"/>
        <v>Sakhir</v>
      </c>
      <c r="B17" s="89">
        <f t="shared" si="0"/>
        <v>75.053122658619813</v>
      </c>
      <c r="C17" s="90">
        <f t="shared" si="5"/>
        <v>0</v>
      </c>
      <c r="D17" s="90">
        <f t="shared" si="6"/>
        <v>62</v>
      </c>
      <c r="E17" s="90">
        <f t="shared" si="7"/>
        <v>3</v>
      </c>
      <c r="F17" s="91">
        <f t="shared" si="3"/>
        <v>14</v>
      </c>
      <c r="G17" s="92">
        <f t="shared" si="8"/>
        <v>0.1847141723146272</v>
      </c>
      <c r="H17" s="91" t="s">
        <v>12</v>
      </c>
      <c r="I17" s="92">
        <f t="shared" si="9"/>
        <v>1</v>
      </c>
      <c r="J17" s="93">
        <f t="shared" si="4"/>
        <v>17</v>
      </c>
      <c r="K17" s="94">
        <f t="shared" si="10"/>
        <v>0.96676581151405383</v>
      </c>
      <c r="L17" s="95">
        <f t="shared" si="15"/>
        <v>75.053122658619813</v>
      </c>
      <c r="M17" s="95">
        <f t="shared" si="11"/>
        <v>66.628403365640608</v>
      </c>
      <c r="N17" s="95">
        <f t="shared" si="12"/>
        <v>19.021017208143697</v>
      </c>
      <c r="O17" s="95">
        <f t="shared" si="13"/>
        <v>125.05981996211403</v>
      </c>
      <c r="P17" s="96">
        <f t="shared" si="14"/>
        <v>101.2721700866468</v>
      </c>
      <c r="R17" s="36" t="s">
        <v>113</v>
      </c>
      <c r="S17" s="80">
        <v>68.504290291596206</v>
      </c>
    </row>
    <row r="18" spans="1:20">
      <c r="A18" s="88" t="str">
        <f t="shared" si="1"/>
        <v>Sakhir</v>
      </c>
      <c r="B18" s="89">
        <f t="shared" si="0"/>
        <v>75.053122658619813</v>
      </c>
      <c r="C18" s="90">
        <f t="shared" si="5"/>
        <v>0</v>
      </c>
      <c r="D18" s="90">
        <f t="shared" si="6"/>
        <v>62</v>
      </c>
      <c r="E18" s="90">
        <f t="shared" si="7"/>
        <v>3</v>
      </c>
      <c r="F18" s="91">
        <f t="shared" si="3"/>
        <v>15</v>
      </c>
      <c r="G18" s="92">
        <f t="shared" si="8"/>
        <v>0.1847141723146272</v>
      </c>
      <c r="H18" s="91" t="s">
        <v>12</v>
      </c>
      <c r="I18" s="92">
        <f t="shared" si="9"/>
        <v>1</v>
      </c>
      <c r="J18" s="93">
        <f t="shared" si="4"/>
        <v>17</v>
      </c>
      <c r="K18" s="94">
        <f t="shared" si="10"/>
        <v>0.96676581151405383</v>
      </c>
      <c r="L18" s="95">
        <f t="shared" si="15"/>
        <v>75.053122658619813</v>
      </c>
      <c r="M18" s="95">
        <f t="shared" si="11"/>
        <v>66.628403365640608</v>
      </c>
      <c r="N18" s="95">
        <f t="shared" si="12"/>
        <v>19.205731380458325</v>
      </c>
      <c r="O18" s="95">
        <f t="shared" si="13"/>
        <v>125.05981996211403</v>
      </c>
      <c r="P18" s="96">
        <f t="shared" si="14"/>
        <v>101.04116687530562</v>
      </c>
      <c r="R18" s="36" t="s">
        <v>112</v>
      </c>
      <c r="S18" s="80">
        <v>59.71508686008935</v>
      </c>
    </row>
    <row r="19" spans="1:20">
      <c r="A19" s="88" t="str">
        <f t="shared" si="1"/>
        <v>Sakhir</v>
      </c>
      <c r="B19" s="89">
        <f t="shared" si="0"/>
        <v>75.053122658619813</v>
      </c>
      <c r="C19" s="90">
        <f t="shared" si="5"/>
        <v>0</v>
      </c>
      <c r="D19" s="90">
        <f t="shared" si="6"/>
        <v>62</v>
      </c>
      <c r="E19" s="90">
        <f t="shared" si="7"/>
        <v>3</v>
      </c>
      <c r="F19" s="91">
        <f t="shared" si="3"/>
        <v>16</v>
      </c>
      <c r="G19" s="92">
        <f t="shared" si="8"/>
        <v>0.1847141723146272</v>
      </c>
      <c r="H19" s="91" t="s">
        <v>12</v>
      </c>
      <c r="I19" s="92">
        <f t="shared" si="9"/>
        <v>1</v>
      </c>
      <c r="J19" s="93">
        <f t="shared" si="4"/>
        <v>17</v>
      </c>
      <c r="K19" s="94">
        <f t="shared" si="10"/>
        <v>0.96676581151405383</v>
      </c>
      <c r="L19" s="95">
        <f t="shared" si="15"/>
        <v>75.053122658619813</v>
      </c>
      <c r="M19" s="95">
        <f t="shared" si="11"/>
        <v>66.628403365640608</v>
      </c>
      <c r="N19" s="95">
        <f t="shared" si="12"/>
        <v>19.390445552772952</v>
      </c>
      <c r="O19" s="95">
        <f t="shared" si="13"/>
        <v>125.05981996211403</v>
      </c>
      <c r="P19" s="96">
        <f t="shared" si="14"/>
        <v>100.81016366396443</v>
      </c>
      <c r="R19" s="36" t="s">
        <v>111</v>
      </c>
      <c r="S19" s="80">
        <v>65.365908622990943</v>
      </c>
    </row>
    <row r="20" spans="1:20">
      <c r="A20" s="88" t="str">
        <f t="shared" si="1"/>
        <v>Sakhir</v>
      </c>
      <c r="B20" s="89">
        <f t="shared" si="0"/>
        <v>75.053122658619813</v>
      </c>
      <c r="C20" s="90">
        <f t="shared" si="5"/>
        <v>0</v>
      </c>
      <c r="D20" s="90">
        <f t="shared" si="6"/>
        <v>62</v>
      </c>
      <c r="E20" s="90">
        <f t="shared" si="7"/>
        <v>3</v>
      </c>
      <c r="F20" s="91">
        <f t="shared" si="3"/>
        <v>17</v>
      </c>
      <c r="G20" s="92">
        <f t="shared" si="8"/>
        <v>0.1847141723146272</v>
      </c>
      <c r="H20" s="91" t="s">
        <v>12</v>
      </c>
      <c r="I20" s="92">
        <f t="shared" si="9"/>
        <v>1</v>
      </c>
      <c r="J20" s="93">
        <f t="shared" si="4"/>
        <v>17</v>
      </c>
      <c r="K20" s="94">
        <f t="shared" si="10"/>
        <v>0.96676581151405383</v>
      </c>
      <c r="L20" s="95">
        <f t="shared" si="15"/>
        <v>75.053122658619813</v>
      </c>
      <c r="M20" s="95">
        <f t="shared" si="11"/>
        <v>66.628403365640608</v>
      </c>
      <c r="N20" s="95">
        <f t="shared" si="12"/>
        <v>19.575159725087577</v>
      </c>
      <c r="O20" s="95">
        <f t="shared" si="13"/>
        <v>125.05981996211403</v>
      </c>
      <c r="P20" s="96">
        <f t="shared" si="14"/>
        <v>100.57916045262326</v>
      </c>
      <c r="R20" s="36" t="s">
        <v>310</v>
      </c>
      <c r="S20" s="80">
        <v>55.8</v>
      </c>
    </row>
    <row r="21" spans="1:20">
      <c r="A21" s="88" t="str">
        <f t="shared" si="1"/>
        <v>Sakhir</v>
      </c>
      <c r="B21" s="89">
        <f t="shared" si="0"/>
        <v>75.053122658619813</v>
      </c>
      <c r="C21" s="90">
        <f t="shared" si="5"/>
        <v>0</v>
      </c>
      <c r="D21" s="90">
        <f t="shared" si="6"/>
        <v>62</v>
      </c>
      <c r="E21" s="90">
        <f t="shared" si="7"/>
        <v>3</v>
      </c>
      <c r="F21" s="91">
        <f t="shared" si="3"/>
        <v>18</v>
      </c>
      <c r="G21" s="92">
        <f t="shared" si="8"/>
        <v>0.1847141723146272</v>
      </c>
      <c r="H21" s="91" t="s">
        <v>12</v>
      </c>
      <c r="I21" s="92">
        <f t="shared" si="9"/>
        <v>1</v>
      </c>
      <c r="J21" s="93">
        <f t="shared" si="4"/>
        <v>17</v>
      </c>
      <c r="K21" s="94">
        <f t="shared" si="10"/>
        <v>0.96676581151405383</v>
      </c>
      <c r="L21" s="95">
        <f t="shared" si="15"/>
        <v>75.053122658619813</v>
      </c>
      <c r="M21" s="95">
        <f t="shared" si="11"/>
        <v>66.628403365640608</v>
      </c>
      <c r="N21" s="95">
        <f t="shared" si="12"/>
        <v>19.759873897402205</v>
      </c>
      <c r="O21" s="95">
        <f t="shared" si="13"/>
        <v>125.05981996211403</v>
      </c>
      <c r="P21" s="96">
        <f t="shared" si="14"/>
        <v>100.34815724128207</v>
      </c>
      <c r="R21" s="36" t="s">
        <v>110</v>
      </c>
      <c r="S21" s="80">
        <v>64.429309562842761</v>
      </c>
    </row>
    <row r="22" spans="1:20">
      <c r="A22" s="88" t="str">
        <f t="shared" si="1"/>
        <v>Sakhir</v>
      </c>
      <c r="B22" s="89">
        <f t="shared" si="0"/>
        <v>75.053122658619813</v>
      </c>
      <c r="C22" s="90">
        <f t="shared" si="5"/>
        <v>0</v>
      </c>
      <c r="D22" s="90">
        <f t="shared" si="6"/>
        <v>62</v>
      </c>
      <c r="E22" s="90">
        <f t="shared" si="7"/>
        <v>3</v>
      </c>
      <c r="F22" s="91">
        <f t="shared" si="3"/>
        <v>19</v>
      </c>
      <c r="G22" s="92">
        <f t="shared" si="8"/>
        <v>0.1847141723146272</v>
      </c>
      <c r="H22" s="91" t="s">
        <v>12</v>
      </c>
      <c r="I22" s="92">
        <f t="shared" si="9"/>
        <v>1</v>
      </c>
      <c r="J22" s="93">
        <f t="shared" si="4"/>
        <v>17</v>
      </c>
      <c r="K22" s="94">
        <f t="shared" si="10"/>
        <v>0.96676581151405383</v>
      </c>
      <c r="L22" s="95">
        <f t="shared" si="15"/>
        <v>75.053122658619813</v>
      </c>
      <c r="M22" s="95">
        <f t="shared" si="11"/>
        <v>66.628403365640608</v>
      </c>
      <c r="N22" s="95">
        <f t="shared" si="12"/>
        <v>19.944588069716833</v>
      </c>
      <c r="O22" s="95">
        <f t="shared" si="13"/>
        <v>125.05981996211403</v>
      </c>
      <c r="P22" s="96">
        <f t="shared" si="14"/>
        <v>100.11715402994089</v>
      </c>
      <c r="R22" s="36" t="s">
        <v>109</v>
      </c>
      <c r="S22" s="80">
        <v>89.574073587353169</v>
      </c>
    </row>
    <row r="23" spans="1:20">
      <c r="A23" s="88" t="str">
        <f t="shared" si="1"/>
        <v>Sakhir</v>
      </c>
      <c r="B23" s="89">
        <f t="shared" si="0"/>
        <v>75.053122658619813</v>
      </c>
      <c r="C23" s="90">
        <f t="shared" si="5"/>
        <v>0</v>
      </c>
      <c r="D23" s="90">
        <f t="shared" si="6"/>
        <v>62</v>
      </c>
      <c r="E23" s="90">
        <f t="shared" si="7"/>
        <v>3</v>
      </c>
      <c r="F23" s="91">
        <f t="shared" si="3"/>
        <v>20</v>
      </c>
      <c r="G23" s="92">
        <f t="shared" si="8"/>
        <v>0.1847141723146272</v>
      </c>
      <c r="H23" s="91" t="s">
        <v>12</v>
      </c>
      <c r="I23" s="92">
        <f t="shared" si="9"/>
        <v>1</v>
      </c>
      <c r="J23" s="93">
        <f t="shared" si="4"/>
        <v>17</v>
      </c>
      <c r="K23" s="94">
        <f t="shared" si="10"/>
        <v>0.96676581151405383</v>
      </c>
      <c r="L23" s="95">
        <f t="shared" si="15"/>
        <v>75.053122658619813</v>
      </c>
      <c r="M23" s="95">
        <f t="shared" si="11"/>
        <v>66.628403365640608</v>
      </c>
      <c r="N23" s="95">
        <f t="shared" si="12"/>
        <v>20.129302242031461</v>
      </c>
      <c r="O23" s="95">
        <f t="shared" si="13"/>
        <v>125.05981996211403</v>
      </c>
      <c r="P23" s="96">
        <f t="shared" si="14"/>
        <v>99.886150818599702</v>
      </c>
      <c r="R23" s="36" t="s">
        <v>108</v>
      </c>
      <c r="S23" s="80">
        <v>73.870416565896591</v>
      </c>
    </row>
    <row r="24" spans="1:20">
      <c r="A24" s="88" t="str">
        <f t="shared" si="1"/>
        <v>Sakhir</v>
      </c>
      <c r="B24" s="89">
        <f t="shared" si="0"/>
        <v>75.053122658619813</v>
      </c>
      <c r="C24" s="90">
        <f t="shared" si="5"/>
        <v>0</v>
      </c>
      <c r="D24" s="90">
        <f t="shared" si="6"/>
        <v>62</v>
      </c>
      <c r="E24" s="90">
        <f t="shared" si="7"/>
        <v>3</v>
      </c>
      <c r="F24" s="91">
        <f t="shared" si="3"/>
        <v>21</v>
      </c>
      <c r="G24" s="92">
        <f t="shared" si="8"/>
        <v>0.1847141723146272</v>
      </c>
      <c r="H24" s="91" t="s">
        <v>12</v>
      </c>
      <c r="I24" s="92">
        <f t="shared" si="9"/>
        <v>1</v>
      </c>
      <c r="J24" s="93">
        <f t="shared" si="4"/>
        <v>17</v>
      </c>
      <c r="K24" s="94">
        <f t="shared" si="10"/>
        <v>0.96676581151405383</v>
      </c>
      <c r="L24" s="95">
        <f t="shared" si="15"/>
        <v>75.053122658619813</v>
      </c>
      <c r="M24" s="95">
        <f t="shared" si="11"/>
        <v>66.628403365640608</v>
      </c>
      <c r="N24" s="95">
        <f t="shared" si="12"/>
        <v>20.314016414346089</v>
      </c>
      <c r="O24" s="95">
        <f t="shared" si="13"/>
        <v>125.05981996211403</v>
      </c>
      <c r="P24" s="96">
        <f t="shared" si="14"/>
        <v>99.655147607258527</v>
      </c>
      <c r="R24" s="36" t="s">
        <v>107</v>
      </c>
      <c r="S24" s="80">
        <v>67.60986593885589</v>
      </c>
    </row>
    <row r="25" spans="1:20">
      <c r="A25" s="88" t="str">
        <f t="shared" si="1"/>
        <v>Sakhir</v>
      </c>
      <c r="B25" s="89">
        <f t="shared" si="0"/>
        <v>75.053122658619813</v>
      </c>
      <c r="C25" s="90">
        <f t="shared" si="5"/>
        <v>0</v>
      </c>
      <c r="D25" s="90">
        <f t="shared" si="6"/>
        <v>62</v>
      </c>
      <c r="E25" s="90">
        <f t="shared" si="7"/>
        <v>3</v>
      </c>
      <c r="F25" s="91">
        <f t="shared" si="3"/>
        <v>22</v>
      </c>
      <c r="G25" s="92">
        <f t="shared" si="8"/>
        <v>0.1847141723146272</v>
      </c>
      <c r="H25" s="91" t="s">
        <v>12</v>
      </c>
      <c r="I25" s="92">
        <f t="shared" si="9"/>
        <v>1</v>
      </c>
      <c r="J25" s="93">
        <f t="shared" si="4"/>
        <v>17</v>
      </c>
      <c r="K25" s="94">
        <f t="shared" si="10"/>
        <v>0.96676581151405383</v>
      </c>
      <c r="L25" s="95">
        <f t="shared" si="15"/>
        <v>75.053122658619813</v>
      </c>
      <c r="M25" s="95">
        <f t="shared" si="11"/>
        <v>66.628403365640608</v>
      </c>
      <c r="N25" s="95">
        <f t="shared" si="12"/>
        <v>20.498730586660713</v>
      </c>
      <c r="O25" s="95">
        <f t="shared" si="13"/>
        <v>125.05981996211403</v>
      </c>
      <c r="P25" s="96">
        <f t="shared" si="14"/>
        <v>99.424144395917338</v>
      </c>
      <c r="R25" s="36" t="s">
        <v>106</v>
      </c>
      <c r="S25" s="80">
        <v>77.065772515562387</v>
      </c>
    </row>
    <row r="26" spans="1:20">
      <c r="A26" s="88" t="str">
        <f t="shared" si="1"/>
        <v>Sakhir</v>
      </c>
      <c r="B26" s="89">
        <f t="shared" si="0"/>
        <v>75.053122658619813</v>
      </c>
      <c r="C26" s="90">
        <f t="shared" si="5"/>
        <v>0</v>
      </c>
      <c r="D26" s="90">
        <f t="shared" si="6"/>
        <v>62</v>
      </c>
      <c r="E26" s="90">
        <f t="shared" si="7"/>
        <v>3</v>
      </c>
      <c r="F26" s="91">
        <f t="shared" si="3"/>
        <v>23</v>
      </c>
      <c r="G26" s="92">
        <f t="shared" si="8"/>
        <v>0.1847141723146272</v>
      </c>
      <c r="H26" s="91" t="s">
        <v>12</v>
      </c>
      <c r="I26" s="92">
        <f t="shared" si="9"/>
        <v>1</v>
      </c>
      <c r="J26" s="93">
        <f t="shared" si="4"/>
        <v>17</v>
      </c>
      <c r="K26" s="94">
        <f t="shared" si="10"/>
        <v>0.96676581151405383</v>
      </c>
      <c r="L26" s="95">
        <f t="shared" si="15"/>
        <v>75.053122658619813</v>
      </c>
      <c r="M26" s="95">
        <f t="shared" si="11"/>
        <v>66.628403365640608</v>
      </c>
      <c r="N26" s="95">
        <f t="shared" si="12"/>
        <v>20.683444758975341</v>
      </c>
      <c r="O26" s="95">
        <f t="shared" si="13"/>
        <v>125.05981996211403</v>
      </c>
      <c r="P26" s="96">
        <f t="shared" si="14"/>
        <v>99.193141184576163</v>
      </c>
      <c r="R26" s="36" t="s">
        <v>105</v>
      </c>
      <c r="S26" s="80">
        <v>68.252085548798689</v>
      </c>
    </row>
    <row r="27" spans="1:20">
      <c r="A27" s="88" t="str">
        <f t="shared" si="1"/>
        <v>Sakhir</v>
      </c>
      <c r="B27" s="89">
        <f t="shared" si="0"/>
        <v>75.053122658619813</v>
      </c>
      <c r="C27" s="90">
        <f t="shared" si="5"/>
        <v>0</v>
      </c>
      <c r="D27" s="90">
        <f t="shared" si="6"/>
        <v>62</v>
      </c>
      <c r="E27" s="90">
        <f t="shared" si="7"/>
        <v>3</v>
      </c>
      <c r="F27" s="91">
        <f t="shared" si="3"/>
        <v>24</v>
      </c>
      <c r="G27" s="92">
        <f t="shared" si="8"/>
        <v>0.1847141723146272</v>
      </c>
      <c r="H27" s="91" t="s">
        <v>12</v>
      </c>
      <c r="I27" s="92">
        <f t="shared" si="9"/>
        <v>1</v>
      </c>
      <c r="J27" s="93">
        <f t="shared" si="4"/>
        <v>17</v>
      </c>
      <c r="K27" s="94">
        <f t="shared" si="10"/>
        <v>0.96676581151405383</v>
      </c>
      <c r="L27" s="95">
        <f t="shared" si="15"/>
        <v>75.053122658619813</v>
      </c>
      <c r="M27" s="95">
        <f t="shared" si="11"/>
        <v>66.628403365640608</v>
      </c>
      <c r="N27" s="95">
        <f t="shared" si="12"/>
        <v>20.868158931289969</v>
      </c>
      <c r="O27" s="95">
        <f t="shared" si="13"/>
        <v>125.05981996211403</v>
      </c>
      <c r="P27" s="96">
        <f t="shared" si="14"/>
        <v>98.962137973234974</v>
      </c>
      <c r="R27" s="36" t="s">
        <v>104</v>
      </c>
      <c r="S27" s="80">
        <v>59.593222498623511</v>
      </c>
    </row>
    <row r="28" spans="1:20">
      <c r="A28" s="88" t="str">
        <f t="shared" si="1"/>
        <v>Sakhir</v>
      </c>
      <c r="B28" s="89">
        <f t="shared" si="0"/>
        <v>75.053122658619813</v>
      </c>
      <c r="C28" s="90">
        <f t="shared" si="5"/>
        <v>0</v>
      </c>
      <c r="D28" s="90">
        <f t="shared" si="6"/>
        <v>62</v>
      </c>
      <c r="E28" s="90">
        <f t="shared" si="7"/>
        <v>3</v>
      </c>
      <c r="F28" s="91">
        <f t="shared" si="3"/>
        <v>25</v>
      </c>
      <c r="G28" s="92">
        <f t="shared" si="8"/>
        <v>0.1847141723146272</v>
      </c>
      <c r="H28" s="91" t="s">
        <v>12</v>
      </c>
      <c r="I28" s="92">
        <f t="shared" si="9"/>
        <v>1</v>
      </c>
      <c r="J28" s="93">
        <f t="shared" si="4"/>
        <v>17</v>
      </c>
      <c r="K28" s="94">
        <f t="shared" si="10"/>
        <v>0.96676581151405383</v>
      </c>
      <c r="L28" s="95">
        <f t="shared" si="15"/>
        <v>75.053122658619813</v>
      </c>
      <c r="M28" s="95">
        <f t="shared" si="11"/>
        <v>66.628403365640608</v>
      </c>
      <c r="N28" s="95">
        <f t="shared" si="12"/>
        <v>21.052873103604597</v>
      </c>
      <c r="O28" s="95">
        <f t="shared" si="13"/>
        <v>125.05981996211403</v>
      </c>
      <c r="P28" s="96">
        <f t="shared" si="14"/>
        <v>98.731134761893799</v>
      </c>
      <c r="R28" s="36" t="s">
        <v>103</v>
      </c>
      <c r="S28" s="80">
        <v>75.932150051155105</v>
      </c>
    </row>
    <row r="29" spans="1:20">
      <c r="A29" s="88" t="str">
        <f t="shared" si="1"/>
        <v>Sakhir</v>
      </c>
      <c r="B29" s="89">
        <f t="shared" si="0"/>
        <v>75.053122658619813</v>
      </c>
      <c r="C29" s="90">
        <f t="shared" si="5"/>
        <v>0</v>
      </c>
      <c r="D29" s="90">
        <f t="shared" si="6"/>
        <v>62</v>
      </c>
      <c r="E29" s="90">
        <f t="shared" si="7"/>
        <v>3</v>
      </c>
      <c r="F29" s="91">
        <f t="shared" si="3"/>
        <v>26</v>
      </c>
      <c r="G29" s="92">
        <f t="shared" si="8"/>
        <v>0.1847141723146272</v>
      </c>
      <c r="H29" s="91" t="s">
        <v>12</v>
      </c>
      <c r="I29" s="92">
        <f t="shared" si="9"/>
        <v>1</v>
      </c>
      <c r="J29" s="93">
        <f t="shared" si="4"/>
        <v>17</v>
      </c>
      <c r="K29" s="94">
        <f t="shared" si="10"/>
        <v>0.96676581151405383</v>
      </c>
      <c r="L29" s="95">
        <f t="shared" si="15"/>
        <v>75.053122658619813</v>
      </c>
      <c r="M29" s="95">
        <f t="shared" si="11"/>
        <v>66.628403365640608</v>
      </c>
      <c r="N29" s="95">
        <f t="shared" si="12"/>
        <v>21.237587275919225</v>
      </c>
      <c r="O29" s="95">
        <f t="shared" si="13"/>
        <v>125.05981996211403</v>
      </c>
      <c r="P29" s="96">
        <f t="shared" si="14"/>
        <v>98.500131550552609</v>
      </c>
      <c r="R29" s="36" t="s">
        <v>511</v>
      </c>
      <c r="S29" s="80">
        <v>61.063397669965902</v>
      </c>
      <c r="T29" s="3">
        <v>61.02805</v>
      </c>
    </row>
    <row r="30" spans="1:20">
      <c r="A30" s="88" t="str">
        <f t="shared" si="1"/>
        <v>Sakhir</v>
      </c>
      <c r="B30" s="89">
        <f t="shared" si="0"/>
        <v>75.053122658619813</v>
      </c>
      <c r="C30" s="90">
        <f t="shared" si="5"/>
        <v>0</v>
      </c>
      <c r="D30" s="90">
        <f t="shared" si="6"/>
        <v>62</v>
      </c>
      <c r="E30" s="90">
        <f t="shared" si="7"/>
        <v>3</v>
      </c>
      <c r="F30" s="91">
        <f t="shared" si="3"/>
        <v>27</v>
      </c>
      <c r="G30" s="92">
        <f t="shared" si="8"/>
        <v>0.1847141723146272</v>
      </c>
      <c r="H30" s="91" t="s">
        <v>12</v>
      </c>
      <c r="I30" s="92">
        <f t="shared" si="9"/>
        <v>1</v>
      </c>
      <c r="J30" s="93">
        <f t="shared" si="4"/>
        <v>17</v>
      </c>
      <c r="K30" s="94">
        <f t="shared" si="10"/>
        <v>0.96676581151405383</v>
      </c>
      <c r="L30" s="95">
        <f t="shared" si="15"/>
        <v>75.053122658619813</v>
      </c>
      <c r="M30" s="95">
        <f t="shared" si="11"/>
        <v>66.628403365640608</v>
      </c>
      <c r="N30" s="95">
        <f t="shared" si="12"/>
        <v>21.422301448233849</v>
      </c>
      <c r="O30" s="95">
        <f t="shared" si="13"/>
        <v>125.05981996211403</v>
      </c>
      <c r="P30" s="96">
        <f t="shared" si="14"/>
        <v>98.269128339211434</v>
      </c>
      <c r="R30" s="36" t="s">
        <v>102</v>
      </c>
      <c r="S30" s="80">
        <v>55.364990454924552</v>
      </c>
    </row>
    <row r="31" spans="1:20">
      <c r="A31" s="88" t="str">
        <f t="shared" si="1"/>
        <v>Sakhir</v>
      </c>
      <c r="B31" s="89">
        <f t="shared" si="0"/>
        <v>75.053122658619813</v>
      </c>
      <c r="C31" s="90">
        <f t="shared" si="5"/>
        <v>0</v>
      </c>
      <c r="D31" s="90">
        <f t="shared" si="6"/>
        <v>62</v>
      </c>
      <c r="E31" s="90">
        <f t="shared" si="7"/>
        <v>3</v>
      </c>
      <c r="F31" s="91">
        <f t="shared" si="3"/>
        <v>28</v>
      </c>
      <c r="G31" s="92">
        <f t="shared" si="8"/>
        <v>0.1847141723146272</v>
      </c>
      <c r="H31" s="91" t="s">
        <v>12</v>
      </c>
      <c r="I31" s="92">
        <f t="shared" si="9"/>
        <v>1</v>
      </c>
      <c r="J31" s="93">
        <f t="shared" si="4"/>
        <v>17</v>
      </c>
      <c r="K31" s="94">
        <f t="shared" si="10"/>
        <v>0.96676581151405383</v>
      </c>
      <c r="L31" s="95">
        <f t="shared" si="15"/>
        <v>75.053122658619813</v>
      </c>
      <c r="M31" s="95">
        <f t="shared" si="11"/>
        <v>66.628403365640608</v>
      </c>
      <c r="N31" s="95">
        <f t="shared" si="12"/>
        <v>21.607015620548477</v>
      </c>
      <c r="O31" s="95">
        <f t="shared" si="13"/>
        <v>125.05981996211403</v>
      </c>
      <c r="P31" s="96">
        <f t="shared" si="14"/>
        <v>98.038125127870245</v>
      </c>
      <c r="R31" s="36" t="s">
        <v>311</v>
      </c>
      <c r="S31" s="80">
        <v>58.5</v>
      </c>
    </row>
    <row r="32" spans="1:20">
      <c r="A32" s="88" t="str">
        <f t="shared" si="1"/>
        <v>Sakhir</v>
      </c>
      <c r="B32" s="89">
        <f t="shared" si="0"/>
        <v>75.053122658619813</v>
      </c>
      <c r="C32" s="90">
        <f t="shared" si="5"/>
        <v>0</v>
      </c>
      <c r="D32" s="90">
        <f t="shared" si="6"/>
        <v>62</v>
      </c>
      <c r="E32" s="90">
        <f t="shared" si="7"/>
        <v>3</v>
      </c>
      <c r="F32" s="91">
        <f t="shared" si="3"/>
        <v>29</v>
      </c>
      <c r="G32" s="92">
        <f t="shared" si="8"/>
        <v>0.1847141723146272</v>
      </c>
      <c r="H32" s="91" t="s">
        <v>12</v>
      </c>
      <c r="I32" s="92">
        <f t="shared" si="9"/>
        <v>1</v>
      </c>
      <c r="J32" s="93">
        <f t="shared" si="4"/>
        <v>17</v>
      </c>
      <c r="K32" s="94">
        <f t="shared" si="10"/>
        <v>0.96676581151405383</v>
      </c>
      <c r="L32" s="95">
        <f t="shared" si="15"/>
        <v>75.053122658619813</v>
      </c>
      <c r="M32" s="95">
        <f t="shared" si="11"/>
        <v>66.628403365640608</v>
      </c>
      <c r="N32" s="95">
        <f t="shared" si="12"/>
        <v>21.791729792863105</v>
      </c>
      <c r="O32" s="95">
        <f t="shared" si="13"/>
        <v>125.05981996211403</v>
      </c>
      <c r="P32" s="96">
        <f t="shared" si="14"/>
        <v>97.80712191652907</v>
      </c>
      <c r="R32" s="36" t="s">
        <v>101</v>
      </c>
      <c r="S32" s="80">
        <v>57.696844766388381</v>
      </c>
    </row>
    <row r="33" spans="1:19">
      <c r="A33" s="88" t="str">
        <f t="shared" si="1"/>
        <v>Sakhir</v>
      </c>
      <c r="B33" s="89">
        <f t="shared" si="0"/>
        <v>75.053122658619813</v>
      </c>
      <c r="C33" s="90">
        <f t="shared" si="5"/>
        <v>0</v>
      </c>
      <c r="D33" s="90">
        <f t="shared" si="6"/>
        <v>62</v>
      </c>
      <c r="E33" s="90">
        <f t="shared" si="7"/>
        <v>3</v>
      </c>
      <c r="F33" s="91">
        <f t="shared" si="3"/>
        <v>30</v>
      </c>
      <c r="G33" s="92">
        <f t="shared" si="8"/>
        <v>0.1847141723146272</v>
      </c>
      <c r="H33" s="91" t="s">
        <v>12</v>
      </c>
      <c r="I33" s="92">
        <f t="shared" si="9"/>
        <v>1</v>
      </c>
      <c r="J33" s="93">
        <f t="shared" si="4"/>
        <v>17</v>
      </c>
      <c r="K33" s="94">
        <f t="shared" si="10"/>
        <v>0.96676581151405383</v>
      </c>
      <c r="L33" s="95">
        <f t="shared" si="15"/>
        <v>75.053122658619813</v>
      </c>
      <c r="M33" s="95">
        <f t="shared" si="11"/>
        <v>66.628403365640608</v>
      </c>
      <c r="N33" s="95">
        <f t="shared" si="12"/>
        <v>21.976443965177733</v>
      </c>
      <c r="O33" s="95">
        <f t="shared" si="13"/>
        <v>125.05981996211403</v>
      </c>
      <c r="P33" s="96">
        <f t="shared" si="14"/>
        <v>97.576118705187895</v>
      </c>
      <c r="R33" s="36" t="s">
        <v>100</v>
      </c>
      <c r="S33" s="80">
        <v>68.868076997999125</v>
      </c>
    </row>
    <row r="34" spans="1:19">
      <c r="A34" s="88" t="str">
        <f t="shared" si="1"/>
        <v>Sakhir</v>
      </c>
      <c r="B34" s="89">
        <f t="shared" si="0"/>
        <v>75.053122658619813</v>
      </c>
      <c r="C34" s="90">
        <f t="shared" si="5"/>
        <v>0</v>
      </c>
      <c r="D34" s="90">
        <f t="shared" si="6"/>
        <v>62</v>
      </c>
      <c r="E34" s="90">
        <f t="shared" si="7"/>
        <v>3</v>
      </c>
      <c r="F34" s="91">
        <f t="shared" si="3"/>
        <v>31</v>
      </c>
      <c r="G34" s="92">
        <f t="shared" si="8"/>
        <v>0.1847141723146272</v>
      </c>
      <c r="H34" s="91" t="s">
        <v>12</v>
      </c>
      <c r="I34" s="92">
        <f t="shared" si="9"/>
        <v>1</v>
      </c>
      <c r="J34" s="93">
        <f t="shared" si="4"/>
        <v>17</v>
      </c>
      <c r="K34" s="94">
        <f t="shared" si="10"/>
        <v>0.96676581151405383</v>
      </c>
      <c r="L34" s="95">
        <f t="shared" si="15"/>
        <v>75.053122658619813</v>
      </c>
      <c r="M34" s="95">
        <f t="shared" si="11"/>
        <v>66.628403365640608</v>
      </c>
      <c r="N34" s="95">
        <f t="shared" si="12"/>
        <v>22.161158137492357</v>
      </c>
      <c r="O34" s="95">
        <f t="shared" si="13"/>
        <v>125.05981996211403</v>
      </c>
      <c r="P34" s="96">
        <f t="shared" si="14"/>
        <v>97.345115493846706</v>
      </c>
      <c r="R34" s="36" t="s">
        <v>99</v>
      </c>
      <c r="S34" s="80">
        <v>61.914578934586821</v>
      </c>
    </row>
    <row r="35" spans="1:19">
      <c r="A35" s="88" t="str">
        <f t="shared" si="1"/>
        <v>Sakhir</v>
      </c>
      <c r="B35" s="89">
        <f t="shared" si="0"/>
        <v>75.053122658619813</v>
      </c>
      <c r="C35" s="90">
        <f t="shared" si="5"/>
        <v>0</v>
      </c>
      <c r="D35" s="90">
        <f t="shared" si="6"/>
        <v>62</v>
      </c>
      <c r="E35" s="90">
        <f t="shared" si="7"/>
        <v>3</v>
      </c>
      <c r="F35" s="91">
        <f t="shared" si="3"/>
        <v>32</v>
      </c>
      <c r="G35" s="92">
        <f t="shared" si="8"/>
        <v>0.1847141723146272</v>
      </c>
      <c r="H35" s="91" t="s">
        <v>12</v>
      </c>
      <c r="I35" s="92">
        <f t="shared" si="9"/>
        <v>1</v>
      </c>
      <c r="J35" s="93">
        <f t="shared" si="4"/>
        <v>17</v>
      </c>
      <c r="K35" s="94">
        <f t="shared" si="10"/>
        <v>0.96676581151405383</v>
      </c>
      <c r="L35" s="95">
        <f t="shared" si="15"/>
        <v>75.053122658619813</v>
      </c>
      <c r="M35" s="95">
        <f t="shared" si="11"/>
        <v>66.628403365640608</v>
      </c>
      <c r="N35" s="95">
        <f t="shared" si="12"/>
        <v>22.345872309806985</v>
      </c>
      <c r="O35" s="95">
        <f t="shared" si="13"/>
        <v>125.05981996211403</v>
      </c>
      <c r="P35" s="96">
        <f t="shared" si="14"/>
        <v>97.114112282505531</v>
      </c>
      <c r="R35" s="36" t="s">
        <v>98</v>
      </c>
      <c r="S35" s="80">
        <v>63.590268283946749</v>
      </c>
    </row>
    <row r="36" spans="1:19">
      <c r="A36" s="88" t="str">
        <f t="shared" si="1"/>
        <v>Sakhir</v>
      </c>
      <c r="B36" s="89">
        <f t="shared" si="0"/>
        <v>75.053122658619813</v>
      </c>
      <c r="C36" s="90">
        <f t="shared" si="5"/>
        <v>0</v>
      </c>
      <c r="D36" s="90">
        <f t="shared" si="6"/>
        <v>62</v>
      </c>
      <c r="E36" s="90">
        <f t="shared" si="7"/>
        <v>3</v>
      </c>
      <c r="F36" s="91">
        <f t="shared" si="3"/>
        <v>33</v>
      </c>
      <c r="G36" s="92">
        <f t="shared" si="8"/>
        <v>0.1847141723146272</v>
      </c>
      <c r="H36" s="91" t="s">
        <v>12</v>
      </c>
      <c r="I36" s="92">
        <f t="shared" si="9"/>
        <v>1</v>
      </c>
      <c r="J36" s="93">
        <f t="shared" si="4"/>
        <v>17</v>
      </c>
      <c r="K36" s="94">
        <f t="shared" si="10"/>
        <v>0.96676581151405383</v>
      </c>
      <c r="L36" s="95">
        <f t="shared" si="15"/>
        <v>75.053122658619813</v>
      </c>
      <c r="M36" s="95">
        <f t="shared" si="11"/>
        <v>66.628403365640608</v>
      </c>
      <c r="N36" s="95">
        <f t="shared" si="12"/>
        <v>22.530586482121613</v>
      </c>
      <c r="O36" s="95">
        <f t="shared" si="13"/>
        <v>125.05981996211403</v>
      </c>
      <c r="P36" s="96">
        <f t="shared" si="14"/>
        <v>96.883109071164341</v>
      </c>
      <c r="R36" s="36" t="s">
        <v>97</v>
      </c>
      <c r="S36" s="80">
        <v>66.260319022918495</v>
      </c>
    </row>
    <row r="37" spans="1:19">
      <c r="A37" s="88" t="str">
        <f t="shared" si="1"/>
        <v>Sakhir</v>
      </c>
      <c r="B37" s="89">
        <f t="shared" si="0"/>
        <v>75.053122658619813</v>
      </c>
      <c r="C37" s="90">
        <f t="shared" si="5"/>
        <v>0</v>
      </c>
      <c r="D37" s="90">
        <f t="shared" si="6"/>
        <v>62</v>
      </c>
      <c r="E37" s="90">
        <f t="shared" si="7"/>
        <v>3</v>
      </c>
      <c r="F37" s="91">
        <f t="shared" si="3"/>
        <v>34</v>
      </c>
      <c r="G37" s="92">
        <f t="shared" si="8"/>
        <v>0.1847141723146272</v>
      </c>
      <c r="H37" s="91" t="s">
        <v>12</v>
      </c>
      <c r="I37" s="92">
        <f t="shared" si="9"/>
        <v>1</v>
      </c>
      <c r="J37" s="93">
        <f t="shared" si="4"/>
        <v>17</v>
      </c>
      <c r="K37" s="94">
        <f t="shared" si="10"/>
        <v>0.96676581151405383</v>
      </c>
      <c r="L37" s="95">
        <f t="shared" si="15"/>
        <v>75.053122658619813</v>
      </c>
      <c r="M37" s="95">
        <f t="shared" si="11"/>
        <v>66.628403365640608</v>
      </c>
      <c r="N37" s="95">
        <f t="shared" si="12"/>
        <v>22.715300654436241</v>
      </c>
      <c r="O37" s="95">
        <f t="shared" si="13"/>
        <v>125.05981996211403</v>
      </c>
      <c r="P37" s="96">
        <f t="shared" si="14"/>
        <v>96.652105859823166</v>
      </c>
      <c r="R37" s="36" t="s">
        <v>96</v>
      </c>
      <c r="S37" s="80">
        <v>67.11674422614297</v>
      </c>
    </row>
    <row r="38" spans="1:19">
      <c r="A38" s="88" t="str">
        <f t="shared" si="1"/>
        <v>Sakhir</v>
      </c>
      <c r="B38" s="89">
        <f t="shared" si="0"/>
        <v>75.053122658619813</v>
      </c>
      <c r="C38" s="90">
        <f t="shared" si="5"/>
        <v>0</v>
      </c>
      <c r="D38" s="90">
        <f t="shared" si="6"/>
        <v>62</v>
      </c>
      <c r="E38" s="90">
        <f t="shared" si="7"/>
        <v>3</v>
      </c>
      <c r="F38" s="91">
        <f t="shared" si="3"/>
        <v>35</v>
      </c>
      <c r="G38" s="92">
        <f t="shared" si="8"/>
        <v>0.1847141723146272</v>
      </c>
      <c r="H38" s="91" t="s">
        <v>12</v>
      </c>
      <c r="I38" s="92">
        <f t="shared" si="9"/>
        <v>1</v>
      </c>
      <c r="J38" s="93">
        <f t="shared" si="4"/>
        <v>17</v>
      </c>
      <c r="K38" s="94">
        <f t="shared" si="10"/>
        <v>0.96676581151405383</v>
      </c>
      <c r="L38" s="95">
        <f t="shared" si="15"/>
        <v>75.053122658619813</v>
      </c>
      <c r="M38" s="95">
        <f t="shared" si="11"/>
        <v>66.628403365640608</v>
      </c>
      <c r="N38" s="95">
        <f t="shared" si="12"/>
        <v>22.900014826750869</v>
      </c>
      <c r="O38" s="95">
        <f t="shared" si="13"/>
        <v>125.05981996211403</v>
      </c>
      <c r="P38" s="96">
        <f t="shared" si="14"/>
        <v>96.421102648481977</v>
      </c>
      <c r="R38" s="36" t="s">
        <v>95</v>
      </c>
      <c r="S38" s="80">
        <v>71.052260343736762</v>
      </c>
    </row>
    <row r="39" spans="1:19">
      <c r="A39" s="88" t="str">
        <f t="shared" si="1"/>
        <v>Sakhir</v>
      </c>
      <c r="B39" s="89">
        <f t="shared" si="0"/>
        <v>75.053122658619813</v>
      </c>
      <c r="C39" s="90">
        <f t="shared" si="5"/>
        <v>0</v>
      </c>
      <c r="D39" s="90">
        <f t="shared" si="6"/>
        <v>62</v>
      </c>
      <c r="E39" s="90">
        <f t="shared" si="7"/>
        <v>3</v>
      </c>
      <c r="F39" s="91">
        <f t="shared" si="3"/>
        <v>36</v>
      </c>
      <c r="G39" s="92">
        <f t="shared" si="8"/>
        <v>0.1847141723146272</v>
      </c>
      <c r="H39" s="91" t="s">
        <v>12</v>
      </c>
      <c r="I39" s="92">
        <f t="shared" si="9"/>
        <v>1</v>
      </c>
      <c r="J39" s="93">
        <f t="shared" si="4"/>
        <v>17</v>
      </c>
      <c r="K39" s="94">
        <f t="shared" si="10"/>
        <v>0.96676581151405383</v>
      </c>
      <c r="L39" s="95">
        <f t="shared" si="15"/>
        <v>75.053122658619813</v>
      </c>
      <c r="M39" s="95">
        <f t="shared" si="11"/>
        <v>66.628403365640608</v>
      </c>
      <c r="N39" s="95">
        <f t="shared" si="12"/>
        <v>23.084728999065497</v>
      </c>
      <c r="O39" s="95">
        <f t="shared" si="13"/>
        <v>125.05981996211403</v>
      </c>
      <c r="P39" s="96">
        <f t="shared" si="14"/>
        <v>96.190099437140788</v>
      </c>
      <c r="R39" s="36" t="s">
        <v>94</v>
      </c>
      <c r="S39" s="80">
        <v>72.044535731364206</v>
      </c>
    </row>
    <row r="40" spans="1:19">
      <c r="A40" s="88" t="str">
        <f t="shared" si="1"/>
        <v>Sakhir</v>
      </c>
      <c r="B40" s="89">
        <f t="shared" si="0"/>
        <v>75.053122658619813</v>
      </c>
      <c r="C40" s="90">
        <f t="shared" si="5"/>
        <v>0</v>
      </c>
      <c r="D40" s="90">
        <f t="shared" si="6"/>
        <v>62</v>
      </c>
      <c r="E40" s="90">
        <f t="shared" si="7"/>
        <v>3</v>
      </c>
      <c r="F40" s="91">
        <f t="shared" si="3"/>
        <v>37</v>
      </c>
      <c r="G40" s="92">
        <f t="shared" si="8"/>
        <v>0.1847141723146272</v>
      </c>
      <c r="H40" s="91" t="s">
        <v>12</v>
      </c>
      <c r="I40" s="92">
        <f t="shared" si="9"/>
        <v>1</v>
      </c>
      <c r="J40" s="93">
        <f t="shared" si="4"/>
        <v>17</v>
      </c>
      <c r="K40" s="94">
        <f t="shared" si="10"/>
        <v>0.96676581151405383</v>
      </c>
      <c r="L40" s="95">
        <f t="shared" si="15"/>
        <v>75.053122658619813</v>
      </c>
      <c r="M40" s="95">
        <f t="shared" si="11"/>
        <v>66.628403365640608</v>
      </c>
      <c r="N40" s="95">
        <f t="shared" si="12"/>
        <v>23.269443171380122</v>
      </c>
      <c r="O40" s="95">
        <f t="shared" si="13"/>
        <v>125.05981996211403</v>
      </c>
      <c r="P40" s="96">
        <f t="shared" si="14"/>
        <v>95.959096225799613</v>
      </c>
      <c r="R40" s="36" t="s">
        <v>93</v>
      </c>
      <c r="S40" s="80">
        <v>73.228289975561424</v>
      </c>
    </row>
    <row r="41" spans="1:19">
      <c r="A41" s="88" t="str">
        <f t="shared" si="1"/>
        <v>Sakhir</v>
      </c>
      <c r="B41" s="89">
        <f t="shared" si="0"/>
        <v>75.053122658619813</v>
      </c>
      <c r="C41" s="90">
        <f t="shared" si="5"/>
        <v>0</v>
      </c>
      <c r="D41" s="90">
        <f t="shared" si="6"/>
        <v>62</v>
      </c>
      <c r="E41" s="90">
        <f t="shared" si="7"/>
        <v>3</v>
      </c>
      <c r="F41" s="91">
        <f t="shared" si="3"/>
        <v>38</v>
      </c>
      <c r="G41" s="92">
        <f t="shared" si="8"/>
        <v>0.1847141723146272</v>
      </c>
      <c r="H41" s="91" t="s">
        <v>12</v>
      </c>
      <c r="I41" s="92">
        <f t="shared" si="9"/>
        <v>1</v>
      </c>
      <c r="J41" s="93">
        <f t="shared" si="4"/>
        <v>17</v>
      </c>
      <c r="K41" s="94">
        <f t="shared" si="10"/>
        <v>0.96676581151405383</v>
      </c>
      <c r="L41" s="95">
        <f t="shared" si="15"/>
        <v>75.053122658619813</v>
      </c>
      <c r="M41" s="95">
        <f t="shared" si="11"/>
        <v>66.628403365640608</v>
      </c>
      <c r="N41" s="95">
        <f t="shared" si="12"/>
        <v>23.454157343694749</v>
      </c>
      <c r="O41" s="95">
        <f t="shared" si="13"/>
        <v>125.05981996211403</v>
      </c>
      <c r="P41" s="96">
        <f t="shared" si="14"/>
        <v>95.728093014458437</v>
      </c>
      <c r="R41" s="36" t="s">
        <v>67</v>
      </c>
      <c r="S41" s="80">
        <v>70.561377568304991</v>
      </c>
    </row>
    <row r="42" spans="1:19">
      <c r="A42" s="88" t="str">
        <f t="shared" si="1"/>
        <v>Sakhir</v>
      </c>
      <c r="B42" s="89">
        <f t="shared" si="0"/>
        <v>75.053122658619813</v>
      </c>
      <c r="C42" s="90">
        <f t="shared" si="5"/>
        <v>0</v>
      </c>
      <c r="D42" s="90">
        <f t="shared" si="6"/>
        <v>62</v>
      </c>
      <c r="E42" s="90">
        <f t="shared" si="7"/>
        <v>3</v>
      </c>
      <c r="F42" s="91">
        <f t="shared" si="3"/>
        <v>39</v>
      </c>
      <c r="G42" s="92">
        <f t="shared" si="8"/>
        <v>0.1847141723146272</v>
      </c>
      <c r="H42" s="91" t="s">
        <v>12</v>
      </c>
      <c r="I42" s="92">
        <f t="shared" si="9"/>
        <v>1</v>
      </c>
      <c r="J42" s="93">
        <f t="shared" si="4"/>
        <v>17</v>
      </c>
      <c r="K42" s="94">
        <f t="shared" si="10"/>
        <v>0.96676581151405383</v>
      </c>
      <c r="L42" s="95">
        <f t="shared" si="15"/>
        <v>75.053122658619813</v>
      </c>
      <c r="M42" s="95">
        <f t="shared" si="11"/>
        <v>66.628403365640608</v>
      </c>
      <c r="N42" s="95">
        <f t="shared" si="12"/>
        <v>23.638871516009377</v>
      </c>
      <c r="O42" s="95">
        <f t="shared" si="13"/>
        <v>125.05981996211403</v>
      </c>
      <c r="P42" s="96">
        <f t="shared" si="14"/>
        <v>95.497089803117248</v>
      </c>
      <c r="R42" s="36" t="s">
        <v>92</v>
      </c>
      <c r="S42" s="80">
        <v>56.953937283853861</v>
      </c>
    </row>
    <row r="43" spans="1:19">
      <c r="A43" s="88" t="str">
        <f t="shared" si="1"/>
        <v>Sakhir</v>
      </c>
      <c r="B43" s="89">
        <f t="shared" si="0"/>
        <v>75.053122658619813</v>
      </c>
      <c r="C43" s="90">
        <f t="shared" si="5"/>
        <v>0</v>
      </c>
      <c r="D43" s="90">
        <f t="shared" si="6"/>
        <v>62</v>
      </c>
      <c r="E43" s="90">
        <f t="shared" si="7"/>
        <v>3</v>
      </c>
      <c r="F43" s="91">
        <f t="shared" si="3"/>
        <v>40</v>
      </c>
      <c r="G43" s="92">
        <f t="shared" si="8"/>
        <v>0.1847141723146272</v>
      </c>
      <c r="H43" s="91" t="s">
        <v>12</v>
      </c>
      <c r="I43" s="92">
        <f t="shared" si="9"/>
        <v>1</v>
      </c>
      <c r="J43" s="93">
        <f t="shared" si="4"/>
        <v>17</v>
      </c>
      <c r="K43" s="94">
        <f t="shared" si="10"/>
        <v>0.96676581151405383</v>
      </c>
      <c r="L43" s="95">
        <f t="shared" si="15"/>
        <v>75.053122658619813</v>
      </c>
      <c r="M43" s="95">
        <f t="shared" si="11"/>
        <v>66.628403365640608</v>
      </c>
      <c r="N43" s="95">
        <f t="shared" si="12"/>
        <v>23.823585688324002</v>
      </c>
      <c r="O43" s="95">
        <f t="shared" si="13"/>
        <v>125.05981996211403</v>
      </c>
      <c r="P43" s="96">
        <f t="shared" si="14"/>
        <v>95.266086591776073</v>
      </c>
      <c r="R43" s="36" t="s">
        <v>91</v>
      </c>
      <c r="S43" s="80">
        <v>79.150845964948402</v>
      </c>
    </row>
    <row r="44" spans="1:19">
      <c r="A44" s="88" t="str">
        <f t="shared" si="1"/>
        <v>Sakhir</v>
      </c>
      <c r="B44" s="89">
        <f t="shared" si="0"/>
        <v>75.053122658619813</v>
      </c>
      <c r="C44" s="90">
        <f t="shared" si="5"/>
        <v>0</v>
      </c>
      <c r="D44" s="90">
        <f t="shared" si="6"/>
        <v>62</v>
      </c>
      <c r="E44" s="90">
        <f t="shared" si="7"/>
        <v>3</v>
      </c>
      <c r="F44" s="91">
        <f t="shared" si="3"/>
        <v>41</v>
      </c>
      <c r="G44" s="92">
        <f t="shared" si="8"/>
        <v>0.1847141723146272</v>
      </c>
      <c r="H44" s="91" t="s">
        <v>12</v>
      </c>
      <c r="I44" s="92">
        <f t="shared" si="9"/>
        <v>1</v>
      </c>
      <c r="J44" s="93">
        <f t="shared" si="4"/>
        <v>17</v>
      </c>
      <c r="K44" s="94">
        <f t="shared" si="10"/>
        <v>0.96676581151405383</v>
      </c>
      <c r="L44" s="95">
        <f t="shared" si="15"/>
        <v>75.053122658619813</v>
      </c>
      <c r="M44" s="95">
        <f t="shared" si="11"/>
        <v>66.628403365640608</v>
      </c>
      <c r="N44" s="95">
        <f t="shared" si="12"/>
        <v>24.00829986063863</v>
      </c>
      <c r="O44" s="95">
        <f t="shared" si="13"/>
        <v>125.05981996211403</v>
      </c>
      <c r="P44" s="96">
        <f t="shared" si="14"/>
        <v>95.035083380434884</v>
      </c>
      <c r="R44" s="36" t="s">
        <v>90</v>
      </c>
      <c r="S44" s="80">
        <v>71.092002105627003</v>
      </c>
    </row>
    <row r="45" spans="1:19">
      <c r="A45" s="88" t="str">
        <f t="shared" si="1"/>
        <v>Sakhir</v>
      </c>
      <c r="B45" s="89">
        <f t="shared" si="0"/>
        <v>75.053122658619813</v>
      </c>
      <c r="C45" s="90">
        <f t="shared" si="5"/>
        <v>0</v>
      </c>
      <c r="D45" s="90">
        <f t="shared" si="6"/>
        <v>62</v>
      </c>
      <c r="E45" s="90">
        <f t="shared" si="7"/>
        <v>3</v>
      </c>
      <c r="F45" s="91">
        <f t="shared" si="3"/>
        <v>42</v>
      </c>
      <c r="G45" s="92">
        <f t="shared" si="8"/>
        <v>0.1847141723146272</v>
      </c>
      <c r="H45" s="91" t="s">
        <v>12</v>
      </c>
      <c r="I45" s="92">
        <f t="shared" si="9"/>
        <v>1</v>
      </c>
      <c r="J45" s="93">
        <f t="shared" si="4"/>
        <v>17</v>
      </c>
      <c r="K45" s="94">
        <f t="shared" si="10"/>
        <v>0.96676581151405383</v>
      </c>
      <c r="L45" s="95">
        <f t="shared" si="15"/>
        <v>75.053122658619813</v>
      </c>
      <c r="M45" s="95">
        <f t="shared" si="11"/>
        <v>66.628403365640608</v>
      </c>
      <c r="N45" s="95">
        <f t="shared" si="12"/>
        <v>24.193014032953258</v>
      </c>
      <c r="O45" s="95">
        <f t="shared" si="13"/>
        <v>125.05981996211403</v>
      </c>
      <c r="P45" s="96">
        <f t="shared" si="14"/>
        <v>94.804080169093709</v>
      </c>
      <c r="R45" s="36" t="s">
        <v>89</v>
      </c>
      <c r="S45" s="80">
        <v>55.623042986253957</v>
      </c>
    </row>
    <row r="46" spans="1:19">
      <c r="A46" s="88" t="str">
        <f t="shared" si="1"/>
        <v>Sakhir</v>
      </c>
      <c r="B46" s="89">
        <f t="shared" si="0"/>
        <v>75.053122658619813</v>
      </c>
      <c r="C46" s="90">
        <f t="shared" si="5"/>
        <v>0</v>
      </c>
      <c r="D46" s="90">
        <f t="shared" si="6"/>
        <v>62</v>
      </c>
      <c r="E46" s="90">
        <f t="shared" si="7"/>
        <v>3</v>
      </c>
      <c r="F46" s="91">
        <f t="shared" si="3"/>
        <v>43</v>
      </c>
      <c r="G46" s="92">
        <f t="shared" si="8"/>
        <v>0.1847141723146272</v>
      </c>
      <c r="H46" s="91" t="s">
        <v>12</v>
      </c>
      <c r="I46" s="92">
        <f t="shared" si="9"/>
        <v>1</v>
      </c>
      <c r="J46" s="93">
        <f t="shared" si="4"/>
        <v>17</v>
      </c>
      <c r="K46" s="94">
        <f t="shared" si="10"/>
        <v>0.96676581151405383</v>
      </c>
      <c r="L46" s="95">
        <f t="shared" si="15"/>
        <v>75.053122658619813</v>
      </c>
      <c r="M46" s="95">
        <f t="shared" si="11"/>
        <v>66.628403365640608</v>
      </c>
      <c r="N46" s="95">
        <f t="shared" si="12"/>
        <v>24.377728205267886</v>
      </c>
      <c r="O46" s="95">
        <f t="shared" si="13"/>
        <v>125.05981996211403</v>
      </c>
      <c r="P46" s="96">
        <f t="shared" si="14"/>
        <v>94.573076957752519</v>
      </c>
      <c r="R46" s="36" t="s">
        <v>88</v>
      </c>
      <c r="S46" s="80">
        <v>63.678371902988225</v>
      </c>
    </row>
    <row r="47" spans="1:19">
      <c r="A47" s="88" t="str">
        <f t="shared" si="1"/>
        <v>Sakhir</v>
      </c>
      <c r="B47" s="89">
        <f t="shared" si="0"/>
        <v>75.053122658619813</v>
      </c>
      <c r="C47" s="90">
        <f t="shared" si="5"/>
        <v>0</v>
      </c>
      <c r="D47" s="90">
        <f t="shared" si="6"/>
        <v>62</v>
      </c>
      <c r="E47" s="90">
        <f t="shared" si="7"/>
        <v>3</v>
      </c>
      <c r="F47" s="91">
        <f t="shared" si="3"/>
        <v>44</v>
      </c>
      <c r="G47" s="92">
        <f t="shared" si="8"/>
        <v>0.1847141723146272</v>
      </c>
      <c r="H47" s="91" t="s">
        <v>12</v>
      </c>
      <c r="I47" s="92">
        <f t="shared" si="9"/>
        <v>1</v>
      </c>
      <c r="J47" s="93">
        <f t="shared" si="4"/>
        <v>17</v>
      </c>
      <c r="K47" s="94">
        <f t="shared" si="10"/>
        <v>0.96676581151405383</v>
      </c>
      <c r="L47" s="95">
        <f t="shared" si="15"/>
        <v>75.053122658619813</v>
      </c>
      <c r="M47" s="95">
        <f t="shared" si="11"/>
        <v>66.628403365640608</v>
      </c>
      <c r="N47" s="95">
        <f t="shared" si="12"/>
        <v>24.562442377582514</v>
      </c>
      <c r="O47" s="95">
        <f t="shared" si="13"/>
        <v>125.05981996211403</v>
      </c>
      <c r="P47" s="96">
        <f t="shared" si="14"/>
        <v>94.342073746411344</v>
      </c>
      <c r="R47" s="36" t="s">
        <v>87</v>
      </c>
      <c r="S47" s="80">
        <v>71.193235616375162</v>
      </c>
    </row>
    <row r="48" spans="1:19">
      <c r="A48" s="88" t="str">
        <f t="shared" si="1"/>
        <v>Sakhir</v>
      </c>
      <c r="B48" s="89">
        <f t="shared" si="0"/>
        <v>75.053122658619813</v>
      </c>
      <c r="C48" s="90">
        <f t="shared" si="5"/>
        <v>0</v>
      </c>
      <c r="D48" s="90">
        <f t="shared" si="6"/>
        <v>62</v>
      </c>
      <c r="E48" s="90">
        <f t="shared" si="7"/>
        <v>3</v>
      </c>
      <c r="F48" s="91">
        <f t="shared" si="3"/>
        <v>45</v>
      </c>
      <c r="G48" s="92">
        <f t="shared" si="8"/>
        <v>0.1847141723146272</v>
      </c>
      <c r="H48" s="91" t="s">
        <v>12</v>
      </c>
      <c r="I48" s="92">
        <f t="shared" si="9"/>
        <v>1</v>
      </c>
      <c r="J48" s="93">
        <f t="shared" si="4"/>
        <v>17</v>
      </c>
      <c r="K48" s="94">
        <f t="shared" si="10"/>
        <v>0.96676581151405383</v>
      </c>
      <c r="L48" s="95">
        <f t="shared" si="15"/>
        <v>75.053122658619813</v>
      </c>
      <c r="M48" s="95">
        <f t="shared" si="11"/>
        <v>66.628403365640608</v>
      </c>
      <c r="N48" s="95">
        <f t="shared" si="12"/>
        <v>24.747156549897142</v>
      </c>
      <c r="O48" s="95">
        <f t="shared" si="13"/>
        <v>125.05981996211403</v>
      </c>
      <c r="P48" s="96">
        <f t="shared" si="14"/>
        <v>94.111070535070155</v>
      </c>
      <c r="R48" s="36" t="s">
        <v>86</v>
      </c>
      <c r="S48" s="80">
        <v>63.804718624436802</v>
      </c>
    </row>
    <row r="49" spans="1:19">
      <c r="A49" s="88" t="str">
        <f t="shared" si="1"/>
        <v>Sakhir</v>
      </c>
      <c r="B49" s="89">
        <f t="shared" si="0"/>
        <v>75.053122658619813</v>
      </c>
      <c r="C49" s="90">
        <f t="shared" si="5"/>
        <v>0</v>
      </c>
      <c r="D49" s="90">
        <f t="shared" si="6"/>
        <v>62</v>
      </c>
      <c r="E49" s="90">
        <f t="shared" si="7"/>
        <v>3</v>
      </c>
      <c r="F49" s="91">
        <f t="shared" si="3"/>
        <v>46</v>
      </c>
      <c r="G49" s="92">
        <f t="shared" si="8"/>
        <v>0.1847141723146272</v>
      </c>
      <c r="H49" s="91" t="s">
        <v>12</v>
      </c>
      <c r="I49" s="92">
        <f t="shared" si="9"/>
        <v>1</v>
      </c>
      <c r="J49" s="93">
        <f t="shared" si="4"/>
        <v>17</v>
      </c>
      <c r="K49" s="94">
        <f t="shared" si="10"/>
        <v>0.96676581151405383</v>
      </c>
      <c r="L49" s="95">
        <f t="shared" si="15"/>
        <v>75.053122658619813</v>
      </c>
      <c r="M49" s="95">
        <f t="shared" si="11"/>
        <v>66.628403365640608</v>
      </c>
      <c r="N49" s="95">
        <f t="shared" si="12"/>
        <v>24.931870722211769</v>
      </c>
      <c r="O49" s="95">
        <f t="shared" si="13"/>
        <v>125.05981996211403</v>
      </c>
      <c r="P49" s="96">
        <f t="shared" si="14"/>
        <v>93.88006732372898</v>
      </c>
      <c r="R49" s="36" t="s">
        <v>85</v>
      </c>
      <c r="S49" s="80">
        <v>75.053122658619813</v>
      </c>
    </row>
    <row r="50" spans="1:19">
      <c r="A50" s="88" t="str">
        <f t="shared" si="1"/>
        <v>Sakhir</v>
      </c>
      <c r="B50" s="89">
        <f t="shared" si="0"/>
        <v>75.053122658619813</v>
      </c>
      <c r="C50" s="90">
        <f t="shared" si="5"/>
        <v>0</v>
      </c>
      <c r="D50" s="90">
        <f t="shared" si="6"/>
        <v>62</v>
      </c>
      <c r="E50" s="90">
        <f t="shared" si="7"/>
        <v>3</v>
      </c>
      <c r="F50" s="91">
        <f t="shared" si="3"/>
        <v>47</v>
      </c>
      <c r="G50" s="92">
        <f t="shared" si="8"/>
        <v>0.1847141723146272</v>
      </c>
      <c r="H50" s="91" t="s">
        <v>12</v>
      </c>
      <c r="I50" s="92">
        <f t="shared" si="9"/>
        <v>1</v>
      </c>
      <c r="J50" s="93">
        <f t="shared" si="4"/>
        <v>17</v>
      </c>
      <c r="K50" s="94">
        <f t="shared" si="10"/>
        <v>0.96676581151405383</v>
      </c>
      <c r="L50" s="95">
        <f t="shared" si="15"/>
        <v>75.053122658619813</v>
      </c>
      <c r="M50" s="95">
        <f t="shared" si="11"/>
        <v>66.628403365640608</v>
      </c>
      <c r="N50" s="95">
        <f t="shared" si="12"/>
        <v>25.116584894526394</v>
      </c>
      <c r="O50" s="95">
        <f t="shared" si="13"/>
        <v>125.05981996211403</v>
      </c>
      <c r="P50" s="96">
        <f t="shared" si="14"/>
        <v>93.649064112387791</v>
      </c>
      <c r="R50" s="36" t="s">
        <v>84</v>
      </c>
      <c r="S50" s="80">
        <v>69.573066199997996</v>
      </c>
    </row>
    <row r="51" spans="1:19">
      <c r="A51" s="88" t="str">
        <f t="shared" si="1"/>
        <v>Sakhir</v>
      </c>
      <c r="B51" s="89">
        <f t="shared" si="0"/>
        <v>75.053122658619813</v>
      </c>
      <c r="C51" s="90">
        <f t="shared" si="5"/>
        <v>0</v>
      </c>
      <c r="D51" s="90">
        <f t="shared" si="6"/>
        <v>62</v>
      </c>
      <c r="E51" s="90">
        <f t="shared" si="7"/>
        <v>3</v>
      </c>
      <c r="F51" s="91">
        <f t="shared" si="3"/>
        <v>48</v>
      </c>
      <c r="G51" s="92">
        <f t="shared" si="8"/>
        <v>0.1847141723146272</v>
      </c>
      <c r="H51" s="91" t="s">
        <v>12</v>
      </c>
      <c r="I51" s="92">
        <f t="shared" si="9"/>
        <v>1</v>
      </c>
      <c r="J51" s="93">
        <f t="shared" si="4"/>
        <v>17</v>
      </c>
      <c r="K51" s="94">
        <f t="shared" si="10"/>
        <v>0.96676581151405383</v>
      </c>
      <c r="L51" s="95">
        <f t="shared" si="15"/>
        <v>75.053122658619813</v>
      </c>
      <c r="M51" s="95">
        <f t="shared" si="11"/>
        <v>66.628403365640608</v>
      </c>
      <c r="N51" s="95">
        <f t="shared" si="12"/>
        <v>25.301299066841022</v>
      </c>
      <c r="O51" s="95">
        <f t="shared" si="13"/>
        <v>125.05981996211403</v>
      </c>
      <c r="P51" s="96">
        <f t="shared" si="14"/>
        <v>93.418060901046616</v>
      </c>
      <c r="R51" s="36" t="s">
        <v>83</v>
      </c>
      <c r="S51" s="80">
        <v>62.250032408760696</v>
      </c>
    </row>
    <row r="52" spans="1:19">
      <c r="A52" s="88" t="str">
        <f t="shared" si="1"/>
        <v>Sakhir</v>
      </c>
      <c r="B52" s="89">
        <f t="shared" si="0"/>
        <v>75.053122658619813</v>
      </c>
      <c r="C52" s="90">
        <f t="shared" si="5"/>
        <v>0</v>
      </c>
      <c r="D52" s="90">
        <f t="shared" si="6"/>
        <v>62</v>
      </c>
      <c r="E52" s="90">
        <f t="shared" si="7"/>
        <v>3</v>
      </c>
      <c r="F52" s="91">
        <f t="shared" si="3"/>
        <v>49</v>
      </c>
      <c r="G52" s="92">
        <f t="shared" si="8"/>
        <v>0.1847141723146272</v>
      </c>
      <c r="H52" s="91" t="s">
        <v>12</v>
      </c>
      <c r="I52" s="92">
        <f t="shared" si="9"/>
        <v>1</v>
      </c>
      <c r="J52" s="93">
        <f t="shared" si="4"/>
        <v>17</v>
      </c>
      <c r="K52" s="94">
        <f t="shared" si="10"/>
        <v>0.96676581151405383</v>
      </c>
      <c r="L52" s="95">
        <f t="shared" si="15"/>
        <v>75.053122658619813</v>
      </c>
      <c r="M52" s="95">
        <f t="shared" si="11"/>
        <v>66.628403365640608</v>
      </c>
      <c r="N52" s="95">
        <f t="shared" si="12"/>
        <v>25.486013239155646</v>
      </c>
      <c r="O52" s="95">
        <f t="shared" si="13"/>
        <v>125.05981996211403</v>
      </c>
      <c r="P52" s="96">
        <f t="shared" si="14"/>
        <v>93.187057689705426</v>
      </c>
      <c r="R52" s="36" t="s">
        <v>82</v>
      </c>
      <c r="S52" s="80">
        <v>70.429316208646256</v>
      </c>
    </row>
    <row r="53" spans="1:19">
      <c r="A53" s="88" t="str">
        <f t="shared" si="1"/>
        <v>Sakhir</v>
      </c>
      <c r="B53" s="89">
        <f t="shared" si="0"/>
        <v>75.053122658619813</v>
      </c>
      <c r="C53" s="90">
        <f t="shared" si="5"/>
        <v>0</v>
      </c>
      <c r="D53" s="90">
        <f t="shared" si="6"/>
        <v>62</v>
      </c>
      <c r="E53" s="90">
        <f t="shared" si="7"/>
        <v>3</v>
      </c>
      <c r="F53" s="91">
        <f t="shared" si="3"/>
        <v>50</v>
      </c>
      <c r="G53" s="92">
        <f t="shared" si="8"/>
        <v>0.1847141723146272</v>
      </c>
      <c r="H53" s="91" t="s">
        <v>12</v>
      </c>
      <c r="I53" s="92">
        <f t="shared" si="9"/>
        <v>1</v>
      </c>
      <c r="J53" s="93">
        <f t="shared" si="4"/>
        <v>17</v>
      </c>
      <c r="K53" s="94">
        <f t="shared" si="10"/>
        <v>0.96676581151405383</v>
      </c>
      <c r="L53" s="95">
        <f t="shared" si="15"/>
        <v>75.053122658619813</v>
      </c>
      <c r="M53" s="95">
        <f t="shared" si="11"/>
        <v>66.628403365640608</v>
      </c>
      <c r="N53" s="95">
        <f t="shared" si="12"/>
        <v>25.670727411470274</v>
      </c>
      <c r="O53" s="95">
        <f t="shared" si="13"/>
        <v>125.05981996211403</v>
      </c>
      <c r="P53" s="96">
        <f t="shared" si="14"/>
        <v>92.956054478364251</v>
      </c>
      <c r="R53" s="36" t="s">
        <v>81</v>
      </c>
      <c r="S53" s="80">
        <v>82.749001473815824</v>
      </c>
    </row>
    <row r="54" spans="1:19">
      <c r="A54" s="88" t="str">
        <f t="shared" si="1"/>
        <v>Sakhir</v>
      </c>
      <c r="B54" s="89">
        <f t="shared" si="0"/>
        <v>75.053122658619813</v>
      </c>
      <c r="C54" s="90">
        <f t="shared" si="5"/>
        <v>0</v>
      </c>
      <c r="D54" s="90">
        <f t="shared" si="6"/>
        <v>62</v>
      </c>
      <c r="E54" s="90">
        <f t="shared" si="7"/>
        <v>3</v>
      </c>
      <c r="F54" s="91">
        <f t="shared" si="3"/>
        <v>51</v>
      </c>
      <c r="G54" s="92">
        <f t="shared" si="8"/>
        <v>0.1847141723146272</v>
      </c>
      <c r="H54" s="91" t="s">
        <v>12</v>
      </c>
      <c r="I54" s="92">
        <f t="shared" si="9"/>
        <v>1</v>
      </c>
      <c r="J54" s="93">
        <f t="shared" si="4"/>
        <v>17</v>
      </c>
      <c r="K54" s="94">
        <f t="shared" si="10"/>
        <v>0.96676581151405383</v>
      </c>
      <c r="L54" s="95">
        <f t="shared" si="15"/>
        <v>75.053122658619813</v>
      </c>
      <c r="M54" s="95">
        <f t="shared" si="11"/>
        <v>66.628403365640608</v>
      </c>
      <c r="N54" s="95">
        <f t="shared" si="12"/>
        <v>25.855441583784902</v>
      </c>
      <c r="O54" s="95">
        <f t="shared" si="13"/>
        <v>125.05981996211403</v>
      </c>
      <c r="P54" s="96">
        <f t="shared" si="14"/>
        <v>92.725051267023076</v>
      </c>
      <c r="R54" s="36" t="s">
        <v>80</v>
      </c>
      <c r="S54" s="80">
        <v>64.445676018350497</v>
      </c>
    </row>
    <row r="55" spans="1:19">
      <c r="A55" s="88" t="str">
        <f t="shared" si="1"/>
        <v>Sakhir</v>
      </c>
      <c r="B55" s="89">
        <f t="shared" si="0"/>
        <v>75.053122658619813</v>
      </c>
      <c r="C55" s="90">
        <f t="shared" si="5"/>
        <v>0</v>
      </c>
      <c r="D55" s="90">
        <f t="shared" si="6"/>
        <v>62</v>
      </c>
      <c r="E55" s="90">
        <f t="shared" si="7"/>
        <v>3</v>
      </c>
      <c r="F55" s="91">
        <f t="shared" si="3"/>
        <v>52</v>
      </c>
      <c r="G55" s="92">
        <f t="shared" si="8"/>
        <v>0.1847141723146272</v>
      </c>
      <c r="H55" s="91" t="s">
        <v>12</v>
      </c>
      <c r="I55" s="92">
        <f t="shared" si="9"/>
        <v>1</v>
      </c>
      <c r="J55" s="93">
        <f t="shared" si="4"/>
        <v>17</v>
      </c>
      <c r="K55" s="94">
        <f t="shared" si="10"/>
        <v>0.96676581151405383</v>
      </c>
      <c r="L55" s="95">
        <f t="shared" si="15"/>
        <v>75.053122658619813</v>
      </c>
      <c r="M55" s="95">
        <f t="shared" si="11"/>
        <v>66.628403365640608</v>
      </c>
      <c r="N55" s="95">
        <f t="shared" si="12"/>
        <v>26.04015575609953</v>
      </c>
      <c r="O55" s="95">
        <f t="shared" si="13"/>
        <v>125.05981996211403</v>
      </c>
      <c r="P55" s="96">
        <f t="shared" si="14"/>
        <v>92.494048055681887</v>
      </c>
      <c r="R55" s="36" t="s">
        <v>79</v>
      </c>
      <c r="S55" s="80">
        <v>64.944083510408191</v>
      </c>
    </row>
    <row r="56" spans="1:19">
      <c r="A56" s="88" t="str">
        <f t="shared" si="1"/>
        <v>Sakhir</v>
      </c>
      <c r="B56" s="89">
        <f t="shared" si="0"/>
        <v>75.053122658619813</v>
      </c>
      <c r="C56" s="90">
        <f t="shared" si="5"/>
        <v>0</v>
      </c>
      <c r="D56" s="90">
        <f t="shared" si="6"/>
        <v>62</v>
      </c>
      <c r="E56" s="90">
        <f t="shared" si="7"/>
        <v>3</v>
      </c>
      <c r="F56" s="91">
        <f t="shared" si="3"/>
        <v>53</v>
      </c>
      <c r="G56" s="92">
        <f t="shared" si="8"/>
        <v>0.1847141723146272</v>
      </c>
      <c r="H56" s="91" t="s">
        <v>12</v>
      </c>
      <c r="I56" s="92">
        <f t="shared" si="9"/>
        <v>1</v>
      </c>
      <c r="J56" s="93">
        <f t="shared" si="4"/>
        <v>17</v>
      </c>
      <c r="K56" s="94">
        <f t="shared" si="10"/>
        <v>0.96676581151405383</v>
      </c>
      <c r="L56" s="95">
        <f t="shared" si="15"/>
        <v>75.053122658619813</v>
      </c>
      <c r="M56" s="95">
        <f t="shared" si="11"/>
        <v>66.628403365640608</v>
      </c>
      <c r="N56" s="95">
        <f t="shared" si="12"/>
        <v>26.224869928414158</v>
      </c>
      <c r="O56" s="95">
        <f t="shared" si="13"/>
        <v>125.05981996211403</v>
      </c>
      <c r="P56" s="96">
        <f t="shared" si="14"/>
        <v>92.263044844340698</v>
      </c>
      <c r="R56" s="36" t="s">
        <v>126</v>
      </c>
      <c r="S56" s="80">
        <v>64.661605645532745</v>
      </c>
    </row>
    <row r="57" spans="1:19">
      <c r="A57" s="88" t="str">
        <f t="shared" si="1"/>
        <v>Sakhir</v>
      </c>
      <c r="B57" s="89">
        <f t="shared" si="0"/>
        <v>75.053122658619813</v>
      </c>
      <c r="C57" s="90">
        <f t="shared" si="5"/>
        <v>0</v>
      </c>
      <c r="D57" s="90">
        <f t="shared" si="6"/>
        <v>62</v>
      </c>
      <c r="E57" s="90">
        <f t="shared" si="7"/>
        <v>3</v>
      </c>
      <c r="F57" s="91">
        <f t="shared" si="3"/>
        <v>54</v>
      </c>
      <c r="G57" s="92">
        <f t="shared" si="8"/>
        <v>0.1847141723146272</v>
      </c>
      <c r="H57" s="91" t="s">
        <v>12</v>
      </c>
      <c r="I57" s="92">
        <f t="shared" si="9"/>
        <v>1</v>
      </c>
      <c r="J57" s="93">
        <f t="shared" si="4"/>
        <v>17</v>
      </c>
      <c r="K57" s="94">
        <f t="shared" si="10"/>
        <v>0.96676581151405383</v>
      </c>
      <c r="L57" s="95">
        <f t="shared" si="15"/>
        <v>75.053122658619813</v>
      </c>
      <c r="M57" s="95">
        <f t="shared" si="11"/>
        <v>66.628403365640608</v>
      </c>
      <c r="N57" s="95">
        <f t="shared" si="12"/>
        <v>26.409584100728786</v>
      </c>
      <c r="O57" s="95">
        <f t="shared" si="13"/>
        <v>125.05981996211403</v>
      </c>
      <c r="P57" s="96">
        <f t="shared" si="14"/>
        <v>92.032041632999523</v>
      </c>
      <c r="R57" s="36" t="s">
        <v>78</v>
      </c>
      <c r="S57" s="80">
        <v>71.905650626428283</v>
      </c>
    </row>
    <row r="58" spans="1:19">
      <c r="A58" s="88" t="str">
        <f t="shared" si="1"/>
        <v>Sakhir</v>
      </c>
      <c r="B58" s="89">
        <f t="shared" si="0"/>
        <v>75.053122658619813</v>
      </c>
      <c r="C58" s="90">
        <f t="shared" si="5"/>
        <v>0</v>
      </c>
      <c r="D58" s="90">
        <f t="shared" si="6"/>
        <v>62</v>
      </c>
      <c r="E58" s="90">
        <f t="shared" si="7"/>
        <v>3</v>
      </c>
      <c r="F58" s="91">
        <f t="shared" si="3"/>
        <v>55</v>
      </c>
      <c r="G58" s="92">
        <f t="shared" si="8"/>
        <v>0.1847141723146272</v>
      </c>
      <c r="H58" s="91" t="s">
        <v>12</v>
      </c>
      <c r="I58" s="92">
        <f t="shared" si="9"/>
        <v>1</v>
      </c>
      <c r="J58" s="93">
        <f t="shared" si="4"/>
        <v>17</v>
      </c>
      <c r="K58" s="94">
        <f t="shared" si="10"/>
        <v>0.96676581151405383</v>
      </c>
      <c r="L58" s="95">
        <f t="shared" si="15"/>
        <v>75.053122658619813</v>
      </c>
      <c r="M58" s="95">
        <f t="shared" si="11"/>
        <v>66.628403365640608</v>
      </c>
      <c r="N58" s="95">
        <f t="shared" si="12"/>
        <v>26.594298273043414</v>
      </c>
      <c r="O58" s="95">
        <f t="shared" si="13"/>
        <v>125.05981996211403</v>
      </c>
      <c r="P58" s="96">
        <f t="shared" si="14"/>
        <v>91.801038421658347</v>
      </c>
      <c r="R58" s="36" t="s">
        <v>77</v>
      </c>
      <c r="S58" s="80">
        <v>73.267820978350599</v>
      </c>
    </row>
    <row r="59" spans="1:19">
      <c r="A59" s="88" t="str">
        <f t="shared" si="1"/>
        <v>Sakhir</v>
      </c>
      <c r="B59" s="89">
        <f t="shared" si="0"/>
        <v>75.053122658619813</v>
      </c>
      <c r="C59" s="90">
        <f t="shared" si="5"/>
        <v>0</v>
      </c>
      <c r="D59" s="90">
        <f t="shared" si="6"/>
        <v>62</v>
      </c>
      <c r="E59" s="90">
        <f t="shared" si="7"/>
        <v>3</v>
      </c>
      <c r="F59" s="91">
        <f t="shared" si="3"/>
        <v>56</v>
      </c>
      <c r="G59" s="92">
        <f t="shared" si="8"/>
        <v>0.1847141723146272</v>
      </c>
      <c r="H59" s="91" t="s">
        <v>12</v>
      </c>
      <c r="I59" s="92">
        <f t="shared" si="9"/>
        <v>1</v>
      </c>
      <c r="J59" s="93">
        <f t="shared" si="4"/>
        <v>17</v>
      </c>
      <c r="K59" s="94">
        <f t="shared" si="10"/>
        <v>0.96676581151405383</v>
      </c>
      <c r="L59" s="95">
        <f t="shared" si="15"/>
        <v>75.053122658619813</v>
      </c>
      <c r="M59" s="95">
        <f t="shared" si="11"/>
        <v>66.628403365640608</v>
      </c>
      <c r="N59" s="95">
        <f t="shared" si="12"/>
        <v>26.779012445358038</v>
      </c>
      <c r="O59" s="95">
        <f t="shared" si="13"/>
        <v>125.05981996211403</v>
      </c>
      <c r="P59" s="96">
        <f t="shared" si="14"/>
        <v>91.570035210317158</v>
      </c>
      <c r="R59" s="36" t="s">
        <v>76</v>
      </c>
      <c r="S59" s="80">
        <v>65.42776039044233</v>
      </c>
    </row>
    <row r="60" spans="1:19">
      <c r="A60" s="88" t="str">
        <f t="shared" si="1"/>
        <v>Sakhir</v>
      </c>
      <c r="B60" s="89">
        <f t="shared" si="0"/>
        <v>75.053122658619813</v>
      </c>
      <c r="C60" s="90">
        <f t="shared" si="5"/>
        <v>0</v>
      </c>
      <c r="D60" s="90">
        <f t="shared" si="6"/>
        <v>62</v>
      </c>
      <c r="E60" s="90">
        <f t="shared" si="7"/>
        <v>3</v>
      </c>
      <c r="F60" s="91">
        <f t="shared" si="3"/>
        <v>57</v>
      </c>
      <c r="G60" s="92">
        <f t="shared" si="8"/>
        <v>0.1847141723146272</v>
      </c>
      <c r="H60" s="91" t="s">
        <v>12</v>
      </c>
      <c r="I60" s="92">
        <f t="shared" si="9"/>
        <v>1</v>
      </c>
      <c r="J60" s="93">
        <f t="shared" si="4"/>
        <v>17</v>
      </c>
      <c r="K60" s="94">
        <f t="shared" si="10"/>
        <v>0.96676581151405383</v>
      </c>
      <c r="L60" s="95">
        <f t="shared" si="15"/>
        <v>75.053122658619813</v>
      </c>
      <c r="M60" s="95">
        <f t="shared" si="11"/>
        <v>66.628403365640608</v>
      </c>
      <c r="N60" s="95">
        <f t="shared" si="12"/>
        <v>26.963726617672666</v>
      </c>
      <c r="O60" s="95">
        <f t="shared" si="13"/>
        <v>125.05981996211403</v>
      </c>
      <c r="P60" s="96">
        <f t="shared" si="14"/>
        <v>91.339031998975969</v>
      </c>
      <c r="R60" s="36" t="s">
        <v>75</v>
      </c>
      <c r="S60" s="80">
        <v>67.292337674036204</v>
      </c>
    </row>
    <row r="61" spans="1:19">
      <c r="A61" s="88" t="str">
        <f t="shared" si="1"/>
        <v>Sakhir</v>
      </c>
      <c r="B61" s="89">
        <f t="shared" si="0"/>
        <v>75.053122658619813</v>
      </c>
      <c r="C61" s="90">
        <f t="shared" si="5"/>
        <v>0</v>
      </c>
      <c r="D61" s="90">
        <f t="shared" si="6"/>
        <v>62</v>
      </c>
      <c r="E61" s="90">
        <f t="shared" si="7"/>
        <v>3</v>
      </c>
      <c r="F61" s="91">
        <f t="shared" si="3"/>
        <v>58</v>
      </c>
      <c r="G61" s="92">
        <f t="shared" si="8"/>
        <v>0.1847141723146272</v>
      </c>
      <c r="H61" s="91" t="s">
        <v>12</v>
      </c>
      <c r="I61" s="92">
        <f t="shared" si="9"/>
        <v>1</v>
      </c>
      <c r="J61" s="93">
        <f t="shared" si="4"/>
        <v>17</v>
      </c>
      <c r="K61" s="94">
        <f t="shared" si="10"/>
        <v>0.96676581151405383</v>
      </c>
      <c r="L61" s="95">
        <f t="shared" si="15"/>
        <v>75.053122658619813</v>
      </c>
      <c r="M61" s="95">
        <f t="shared" si="11"/>
        <v>66.628403365640608</v>
      </c>
      <c r="N61" s="95">
        <f t="shared" si="12"/>
        <v>27.148440789987294</v>
      </c>
      <c r="O61" s="95">
        <f t="shared" si="13"/>
        <v>125.05981996211403</v>
      </c>
      <c r="P61" s="96">
        <f t="shared" si="14"/>
        <v>91.108028787634794</v>
      </c>
      <c r="R61" s="36" t="s">
        <v>74</v>
      </c>
      <c r="S61" s="80">
        <v>63.324795262445321</v>
      </c>
    </row>
    <row r="62" spans="1:19">
      <c r="A62" s="88" t="str">
        <f t="shared" si="1"/>
        <v>Sakhir</v>
      </c>
      <c r="B62" s="89">
        <f t="shared" si="0"/>
        <v>75.053122658619813</v>
      </c>
      <c r="C62" s="90">
        <f t="shared" si="5"/>
        <v>0</v>
      </c>
      <c r="D62" s="90">
        <f t="shared" si="6"/>
        <v>62</v>
      </c>
      <c r="E62" s="90">
        <f t="shared" si="7"/>
        <v>3</v>
      </c>
      <c r="F62" s="91">
        <f t="shared" si="3"/>
        <v>59</v>
      </c>
      <c r="G62" s="92">
        <f t="shared" si="8"/>
        <v>0.1847141723146272</v>
      </c>
      <c r="H62" s="91" t="s">
        <v>12</v>
      </c>
      <c r="I62" s="92">
        <f t="shared" si="9"/>
        <v>1</v>
      </c>
      <c r="J62" s="93">
        <f t="shared" si="4"/>
        <v>17</v>
      </c>
      <c r="K62" s="94">
        <f t="shared" si="10"/>
        <v>0.96676581151405383</v>
      </c>
      <c r="L62" s="95">
        <f t="shared" si="15"/>
        <v>75.053122658619813</v>
      </c>
      <c r="M62" s="95">
        <f t="shared" si="11"/>
        <v>66.628403365640608</v>
      </c>
      <c r="N62" s="95">
        <f t="shared" si="12"/>
        <v>27.333154962301919</v>
      </c>
      <c r="O62" s="95">
        <f t="shared" si="13"/>
        <v>125.05981996211403</v>
      </c>
      <c r="P62" s="96">
        <f t="shared" si="14"/>
        <v>90.877025576293619</v>
      </c>
      <c r="R62" s="36" t="s">
        <v>73</v>
      </c>
      <c r="S62" s="80">
        <v>70.052990459141327</v>
      </c>
    </row>
    <row r="63" spans="1:19">
      <c r="A63" s="88" t="str">
        <f t="shared" si="1"/>
        <v>Sakhir</v>
      </c>
      <c r="B63" s="89">
        <f t="shared" si="0"/>
        <v>75.053122658619813</v>
      </c>
      <c r="C63" s="90">
        <f t="shared" si="5"/>
        <v>0</v>
      </c>
      <c r="D63" s="90">
        <f t="shared" si="6"/>
        <v>62</v>
      </c>
      <c r="E63" s="90">
        <f t="shared" si="7"/>
        <v>3</v>
      </c>
      <c r="F63" s="91">
        <f t="shared" si="3"/>
        <v>60</v>
      </c>
      <c r="G63" s="92">
        <f t="shared" si="8"/>
        <v>0.1847141723146272</v>
      </c>
      <c r="H63" s="91" t="s">
        <v>12</v>
      </c>
      <c r="I63" s="92">
        <f t="shared" si="9"/>
        <v>1</v>
      </c>
      <c r="J63" s="93">
        <f t="shared" si="4"/>
        <v>17</v>
      </c>
      <c r="K63" s="94">
        <f t="shared" si="10"/>
        <v>0.96676581151405383</v>
      </c>
      <c r="L63" s="95">
        <f t="shared" si="15"/>
        <v>75.053122658619813</v>
      </c>
      <c r="M63" s="95">
        <f t="shared" si="11"/>
        <v>66.628403365640608</v>
      </c>
      <c r="N63" s="95">
        <f t="shared" si="12"/>
        <v>27.517869134616546</v>
      </c>
      <c r="O63" s="95">
        <f t="shared" si="13"/>
        <v>125.05981996211403</v>
      </c>
      <c r="P63" s="96">
        <f t="shared" si="14"/>
        <v>90.646022364952429</v>
      </c>
      <c r="R63" s="36" t="s">
        <v>72</v>
      </c>
      <c r="S63" s="80">
        <v>64.810773157221831</v>
      </c>
    </row>
    <row r="64" spans="1:19">
      <c r="A64" s="88" t="str">
        <f t="shared" si="1"/>
        <v>Sakhir</v>
      </c>
      <c r="B64" s="89">
        <f t="shared" si="0"/>
        <v>75.053122658619813</v>
      </c>
      <c r="C64" s="90">
        <f t="shared" si="5"/>
        <v>0</v>
      </c>
      <c r="D64" s="90">
        <f t="shared" si="6"/>
        <v>62</v>
      </c>
      <c r="E64" s="90">
        <f t="shared" si="7"/>
        <v>3</v>
      </c>
      <c r="F64" s="91">
        <f t="shared" si="3"/>
        <v>61</v>
      </c>
      <c r="G64" s="92">
        <f t="shared" si="8"/>
        <v>0.1847141723146272</v>
      </c>
      <c r="H64" s="91" t="s">
        <v>12</v>
      </c>
      <c r="I64" s="92">
        <f t="shared" si="9"/>
        <v>1</v>
      </c>
      <c r="J64" s="93">
        <f t="shared" si="4"/>
        <v>17</v>
      </c>
      <c r="K64" s="94">
        <f t="shared" si="10"/>
        <v>0.96676581151405383</v>
      </c>
      <c r="L64" s="95">
        <f t="shared" si="15"/>
        <v>75.053122658619813</v>
      </c>
      <c r="M64" s="95">
        <f t="shared" si="11"/>
        <v>66.628403365640608</v>
      </c>
      <c r="N64" s="95">
        <f t="shared" si="12"/>
        <v>27.702583306931174</v>
      </c>
      <c r="O64" s="95">
        <f t="shared" si="13"/>
        <v>125.05981996211403</v>
      </c>
      <c r="P64" s="96">
        <f t="shared" si="14"/>
        <v>90.415019153611254</v>
      </c>
    </row>
    <row r="65" spans="1:16">
      <c r="A65" s="88" t="str">
        <f t="shared" si="1"/>
        <v>Sakhir</v>
      </c>
      <c r="B65" s="89">
        <f t="shared" si="0"/>
        <v>75.053122658619813</v>
      </c>
      <c r="C65" s="90">
        <f t="shared" si="5"/>
        <v>0</v>
      </c>
      <c r="D65" s="90">
        <f t="shared" si="6"/>
        <v>62</v>
      </c>
      <c r="E65" s="90">
        <f t="shared" si="7"/>
        <v>3</v>
      </c>
      <c r="F65" s="91">
        <f t="shared" si="3"/>
        <v>62</v>
      </c>
      <c r="G65" s="92">
        <f t="shared" si="8"/>
        <v>0.1847141723146272</v>
      </c>
      <c r="H65" s="91" t="s">
        <v>12</v>
      </c>
      <c r="I65" s="92">
        <f t="shared" si="9"/>
        <v>1</v>
      </c>
      <c r="J65" s="93">
        <f t="shared" si="4"/>
        <v>17</v>
      </c>
      <c r="K65" s="94">
        <f t="shared" si="10"/>
        <v>0.96676581151405383</v>
      </c>
      <c r="L65" s="95">
        <f t="shared" si="15"/>
        <v>75.053122658619813</v>
      </c>
      <c r="M65" s="95">
        <f t="shared" si="11"/>
        <v>66.628403365640608</v>
      </c>
      <c r="N65" s="95">
        <f t="shared" si="12"/>
        <v>27.887297479245802</v>
      </c>
      <c r="O65" s="95">
        <f t="shared" si="13"/>
        <v>125.05981996211403</v>
      </c>
      <c r="P65" s="96">
        <f t="shared" si="14"/>
        <v>90.184015942270065</v>
      </c>
    </row>
    <row r="66" spans="1:16">
      <c r="A66" s="88" t="str">
        <f t="shared" si="1"/>
        <v>Sakhir</v>
      </c>
      <c r="B66" s="89">
        <f t="shared" si="0"/>
        <v>75.053122658619813</v>
      </c>
      <c r="C66" s="90">
        <f t="shared" si="5"/>
        <v>0</v>
      </c>
      <c r="D66" s="90">
        <f t="shared" si="6"/>
        <v>62</v>
      </c>
      <c r="E66" s="90">
        <f t="shared" si="7"/>
        <v>3</v>
      </c>
      <c r="F66" s="91">
        <f t="shared" si="3"/>
        <v>63</v>
      </c>
      <c r="G66" s="92">
        <f t="shared" si="8"/>
        <v>0.1847141723146272</v>
      </c>
      <c r="H66" s="91" t="s">
        <v>12</v>
      </c>
      <c r="I66" s="92">
        <f t="shared" si="9"/>
        <v>1</v>
      </c>
      <c r="J66" s="93">
        <f t="shared" si="4"/>
        <v>17</v>
      </c>
      <c r="K66" s="94">
        <f t="shared" si="10"/>
        <v>0.96676581151405383</v>
      </c>
      <c r="L66" s="95">
        <f t="shared" si="15"/>
        <v>75.053122658619813</v>
      </c>
      <c r="M66" s="95">
        <f t="shared" si="11"/>
        <v>66.628403365640608</v>
      </c>
      <c r="N66" s="95">
        <f t="shared" si="12"/>
        <v>28.07201165156043</v>
      </c>
      <c r="O66" s="95">
        <f t="shared" si="13"/>
        <v>125.05981996211403</v>
      </c>
      <c r="P66" s="96">
        <f t="shared" si="14"/>
        <v>89.95301273092889</v>
      </c>
    </row>
    <row r="67" spans="1:16">
      <c r="A67" s="88" t="str">
        <f t="shared" si="1"/>
        <v>Sakhir</v>
      </c>
      <c r="B67" s="89">
        <f t="shared" ref="B67:B130" si="16">VLOOKUP(A67,$R$3:$S$60,2,0)</f>
        <v>75.053122658619813</v>
      </c>
      <c r="C67" s="90">
        <f t="shared" si="5"/>
        <v>0</v>
      </c>
      <c r="D67" s="90">
        <f t="shared" si="6"/>
        <v>62</v>
      </c>
      <c r="E67" s="90">
        <f t="shared" si="7"/>
        <v>3</v>
      </c>
      <c r="F67" s="91">
        <f t="shared" si="3"/>
        <v>64</v>
      </c>
      <c r="G67" s="92">
        <f t="shared" si="8"/>
        <v>0.1847141723146272</v>
      </c>
      <c r="H67" s="91" t="s">
        <v>12</v>
      </c>
      <c r="I67" s="92">
        <f t="shared" si="9"/>
        <v>1</v>
      </c>
      <c r="J67" s="93">
        <f t="shared" si="4"/>
        <v>17</v>
      </c>
      <c r="K67" s="94">
        <f t="shared" si="10"/>
        <v>0.96676581151405383</v>
      </c>
      <c r="L67" s="95">
        <f t="shared" si="15"/>
        <v>75.053122658619813</v>
      </c>
      <c r="M67" s="95">
        <f t="shared" si="11"/>
        <v>66.628403365640608</v>
      </c>
      <c r="N67" s="95">
        <f t="shared" si="12"/>
        <v>28.256725823875058</v>
      </c>
      <c r="O67" s="95">
        <f t="shared" si="13"/>
        <v>125.05981996211403</v>
      </c>
      <c r="P67" s="96">
        <f t="shared" si="14"/>
        <v>89.722009519587715</v>
      </c>
    </row>
    <row r="68" spans="1:16">
      <c r="A68" s="88" t="str">
        <f t="shared" si="1"/>
        <v>Sakhir</v>
      </c>
      <c r="B68" s="89">
        <f t="shared" si="16"/>
        <v>75.053122658619813</v>
      </c>
      <c r="C68" s="90">
        <f t="shared" si="5"/>
        <v>0</v>
      </c>
      <c r="D68" s="90">
        <f t="shared" si="6"/>
        <v>62</v>
      </c>
      <c r="E68" s="90">
        <f t="shared" si="7"/>
        <v>3</v>
      </c>
      <c r="F68" s="91">
        <f t="shared" si="3"/>
        <v>65</v>
      </c>
      <c r="G68" s="92">
        <f t="shared" si="8"/>
        <v>0.1847141723146272</v>
      </c>
      <c r="H68" s="91" t="s">
        <v>12</v>
      </c>
      <c r="I68" s="92">
        <f t="shared" si="9"/>
        <v>1</v>
      </c>
      <c r="J68" s="93">
        <f t="shared" si="4"/>
        <v>17</v>
      </c>
      <c r="K68" s="94">
        <f t="shared" si="10"/>
        <v>0.96676581151405383</v>
      </c>
      <c r="L68" s="95">
        <f t="shared" si="15"/>
        <v>75.053122658619813</v>
      </c>
      <c r="M68" s="95">
        <f t="shared" si="11"/>
        <v>66.628403365640608</v>
      </c>
      <c r="N68" s="95">
        <f t="shared" si="12"/>
        <v>28.441439996189686</v>
      </c>
      <c r="O68" s="95">
        <f t="shared" si="13"/>
        <v>125.05981996211403</v>
      </c>
      <c r="P68" s="96">
        <f t="shared" si="14"/>
        <v>89.491006308246511</v>
      </c>
    </row>
    <row r="69" spans="1:16">
      <c r="A69" s="88" t="str">
        <f t="shared" ref="A69:A132" si="17">A68</f>
        <v>Sakhir</v>
      </c>
      <c r="B69" s="89">
        <f t="shared" si="16"/>
        <v>75.053122658619813</v>
      </c>
      <c r="C69" s="90">
        <f t="shared" si="5"/>
        <v>0</v>
      </c>
      <c r="D69" s="90">
        <f t="shared" si="6"/>
        <v>62</v>
      </c>
      <c r="E69" s="90">
        <f t="shared" si="7"/>
        <v>3</v>
      </c>
      <c r="F69" s="91">
        <f t="shared" ref="F69:F132" si="18">F68+1</f>
        <v>66</v>
      </c>
      <c r="G69" s="92">
        <f t="shared" si="8"/>
        <v>0.1847141723146272</v>
      </c>
      <c r="H69" s="91" t="s">
        <v>12</v>
      </c>
      <c r="I69" s="92">
        <f t="shared" si="9"/>
        <v>1</v>
      </c>
      <c r="J69" s="93">
        <f t="shared" ref="J69:J132" si="19">J68</f>
        <v>17</v>
      </c>
      <c r="K69" s="94">
        <f t="shared" si="10"/>
        <v>0.96676581151405383</v>
      </c>
      <c r="L69" s="95">
        <f t="shared" si="15"/>
        <v>75.053122658619813</v>
      </c>
      <c r="M69" s="95">
        <f t="shared" si="11"/>
        <v>66.628403365640608</v>
      </c>
      <c r="N69" s="95">
        <f t="shared" si="12"/>
        <v>28.626154168504311</v>
      </c>
      <c r="O69" s="95">
        <f t="shared" si="13"/>
        <v>125.05981996211403</v>
      </c>
      <c r="P69" s="96">
        <f t="shared" si="14"/>
        <v>89.260003096905336</v>
      </c>
    </row>
    <row r="70" spans="1:16">
      <c r="A70" s="88" t="str">
        <f t="shared" si="17"/>
        <v>Sakhir</v>
      </c>
      <c r="B70" s="89">
        <f t="shared" si="16"/>
        <v>75.053122658619813</v>
      </c>
      <c r="C70" s="90">
        <f t="shared" si="5"/>
        <v>0</v>
      </c>
      <c r="D70" s="90">
        <f t="shared" si="6"/>
        <v>62</v>
      </c>
      <c r="E70" s="90">
        <f t="shared" si="7"/>
        <v>3</v>
      </c>
      <c r="F70" s="91">
        <f t="shared" si="18"/>
        <v>67</v>
      </c>
      <c r="G70" s="92">
        <f t="shared" si="8"/>
        <v>0.1847141723146272</v>
      </c>
      <c r="H70" s="91" t="s">
        <v>12</v>
      </c>
      <c r="I70" s="92">
        <f t="shared" si="9"/>
        <v>1</v>
      </c>
      <c r="J70" s="93">
        <f t="shared" si="19"/>
        <v>17</v>
      </c>
      <c r="K70" s="94">
        <f t="shared" si="10"/>
        <v>0.96676581151405383</v>
      </c>
      <c r="L70" s="95">
        <f t="shared" si="15"/>
        <v>75.053122658619813</v>
      </c>
      <c r="M70" s="95">
        <f t="shared" si="11"/>
        <v>66.628403365640608</v>
      </c>
      <c r="N70" s="95">
        <f t="shared" si="12"/>
        <v>28.810868340818939</v>
      </c>
      <c r="O70" s="95">
        <f t="shared" si="13"/>
        <v>125.05981996211403</v>
      </c>
      <c r="P70" s="96">
        <f t="shared" si="14"/>
        <v>89.028999885564161</v>
      </c>
    </row>
    <row r="71" spans="1:16">
      <c r="A71" s="88" t="str">
        <f t="shared" si="17"/>
        <v>Sakhir</v>
      </c>
      <c r="B71" s="89">
        <f t="shared" si="16"/>
        <v>75.053122658619813</v>
      </c>
      <c r="C71" s="90">
        <f t="shared" ref="C71:C134" si="20">C70</f>
        <v>0</v>
      </c>
      <c r="D71" s="90">
        <f t="shared" ref="D71:D134" si="21">D70</f>
        <v>62</v>
      </c>
      <c r="E71" s="90">
        <f t="shared" ref="E71:E134" si="22">E70</f>
        <v>3</v>
      </c>
      <c r="F71" s="91">
        <f t="shared" si="18"/>
        <v>68</v>
      </c>
      <c r="G71" s="92">
        <f t="shared" ref="G71:G134" si="23">VLOOKUP(H71,$U$5:$X$8,3,0)</f>
        <v>0.1847141723146272</v>
      </c>
      <c r="H71" s="91" t="s">
        <v>12</v>
      </c>
      <c r="I71" s="92">
        <f t="shared" ref="I71:I134" si="24">VLOOKUP(H71,$U$5:$V$8,2,0)</f>
        <v>1</v>
      </c>
      <c r="J71" s="93">
        <f t="shared" si="19"/>
        <v>17</v>
      </c>
      <c r="K71" s="94">
        <f t="shared" ref="K71:K134" si="25">VLOOKUP(H71,$U$5:$X$8,4,0)</f>
        <v>0.96676581151405383</v>
      </c>
      <c r="L71" s="95">
        <f t="shared" ref="L71:L134" si="26">B71</f>
        <v>75.053122658619813</v>
      </c>
      <c r="M71" s="95">
        <f t="shared" ref="M71:M134" si="27">C71*$V$10+$V$11*D71+E71*$V$12+I71*$V$13</f>
        <v>66.628403365640608</v>
      </c>
      <c r="N71" s="95">
        <f t="shared" ref="N71:N134" si="28">G71*F71+J71*K71</f>
        <v>28.995582513133563</v>
      </c>
      <c r="O71" s="95">
        <f t="shared" ref="O71:O134" si="29">L71+((L71*M71)/100)</f>
        <v>125.05981996211403</v>
      </c>
      <c r="P71" s="96">
        <f t="shared" ref="P71:P134" si="30">O71-((O71*N71)/100)</f>
        <v>88.797996674222986</v>
      </c>
    </row>
    <row r="72" spans="1:16">
      <c r="A72" s="88" t="str">
        <f t="shared" si="17"/>
        <v>Sakhir</v>
      </c>
      <c r="B72" s="89">
        <f t="shared" si="16"/>
        <v>75.053122658619813</v>
      </c>
      <c r="C72" s="90">
        <f t="shared" si="20"/>
        <v>0</v>
      </c>
      <c r="D72" s="90">
        <f t="shared" si="21"/>
        <v>62</v>
      </c>
      <c r="E72" s="90">
        <f t="shared" si="22"/>
        <v>3</v>
      </c>
      <c r="F72" s="91">
        <f t="shared" si="18"/>
        <v>69</v>
      </c>
      <c r="G72" s="92">
        <f t="shared" si="23"/>
        <v>0.1847141723146272</v>
      </c>
      <c r="H72" s="91" t="s">
        <v>12</v>
      </c>
      <c r="I72" s="92">
        <f t="shared" si="24"/>
        <v>1</v>
      </c>
      <c r="J72" s="93">
        <f t="shared" si="19"/>
        <v>17</v>
      </c>
      <c r="K72" s="94">
        <f t="shared" si="25"/>
        <v>0.96676581151405383</v>
      </c>
      <c r="L72" s="95">
        <f t="shared" si="26"/>
        <v>75.053122658619813</v>
      </c>
      <c r="M72" s="95">
        <f t="shared" si="27"/>
        <v>66.628403365640608</v>
      </c>
      <c r="N72" s="95">
        <f t="shared" si="28"/>
        <v>29.180296685448191</v>
      </c>
      <c r="O72" s="95">
        <f t="shared" si="29"/>
        <v>125.05981996211403</v>
      </c>
      <c r="P72" s="96">
        <f t="shared" si="30"/>
        <v>88.566993462881797</v>
      </c>
    </row>
    <row r="73" spans="1:16">
      <c r="A73" s="88" t="str">
        <f t="shared" si="17"/>
        <v>Sakhir</v>
      </c>
      <c r="B73" s="89">
        <f t="shared" si="16"/>
        <v>75.053122658619813</v>
      </c>
      <c r="C73" s="90">
        <f t="shared" si="20"/>
        <v>0</v>
      </c>
      <c r="D73" s="90">
        <f t="shared" si="21"/>
        <v>62</v>
      </c>
      <c r="E73" s="90">
        <f t="shared" si="22"/>
        <v>3</v>
      </c>
      <c r="F73" s="91">
        <f t="shared" si="18"/>
        <v>70</v>
      </c>
      <c r="G73" s="92">
        <f t="shared" si="23"/>
        <v>0.1847141723146272</v>
      </c>
      <c r="H73" s="91" t="s">
        <v>12</v>
      </c>
      <c r="I73" s="92">
        <f t="shared" si="24"/>
        <v>1</v>
      </c>
      <c r="J73" s="93">
        <f t="shared" si="19"/>
        <v>17</v>
      </c>
      <c r="K73" s="94">
        <f t="shared" si="25"/>
        <v>0.96676581151405383</v>
      </c>
      <c r="L73" s="95">
        <f t="shared" si="26"/>
        <v>75.053122658619813</v>
      </c>
      <c r="M73" s="95">
        <f t="shared" si="27"/>
        <v>66.628403365640608</v>
      </c>
      <c r="N73" s="95">
        <f t="shared" si="28"/>
        <v>29.365010857762819</v>
      </c>
      <c r="O73" s="95">
        <f t="shared" si="29"/>
        <v>125.05981996211403</v>
      </c>
      <c r="P73" s="96">
        <f t="shared" si="30"/>
        <v>88.335990251540608</v>
      </c>
    </row>
    <row r="74" spans="1:16">
      <c r="A74" s="88" t="str">
        <f t="shared" si="17"/>
        <v>Sakhir</v>
      </c>
      <c r="B74" s="89">
        <f t="shared" si="16"/>
        <v>75.053122658619813</v>
      </c>
      <c r="C74" s="90">
        <f t="shared" si="20"/>
        <v>0</v>
      </c>
      <c r="D74" s="90">
        <f t="shared" si="21"/>
        <v>62</v>
      </c>
      <c r="E74" s="90">
        <f t="shared" si="22"/>
        <v>3</v>
      </c>
      <c r="F74" s="91">
        <f t="shared" si="18"/>
        <v>71</v>
      </c>
      <c r="G74" s="92">
        <f t="shared" si="23"/>
        <v>0.1847141723146272</v>
      </c>
      <c r="H74" s="91" t="s">
        <v>12</v>
      </c>
      <c r="I74" s="92">
        <f t="shared" si="24"/>
        <v>1</v>
      </c>
      <c r="J74" s="93">
        <f t="shared" si="19"/>
        <v>17</v>
      </c>
      <c r="K74" s="94">
        <f t="shared" si="25"/>
        <v>0.96676581151405383</v>
      </c>
      <c r="L74" s="95">
        <f t="shared" si="26"/>
        <v>75.053122658619813</v>
      </c>
      <c r="M74" s="95">
        <f t="shared" si="27"/>
        <v>66.628403365640608</v>
      </c>
      <c r="N74" s="95">
        <f t="shared" si="28"/>
        <v>29.549725030077447</v>
      </c>
      <c r="O74" s="95">
        <f t="shared" si="29"/>
        <v>125.05981996211403</v>
      </c>
      <c r="P74" s="96">
        <f t="shared" si="30"/>
        <v>88.104987040199433</v>
      </c>
    </row>
    <row r="75" spans="1:16">
      <c r="A75" s="88" t="str">
        <f t="shared" si="17"/>
        <v>Sakhir</v>
      </c>
      <c r="B75" s="89">
        <f t="shared" si="16"/>
        <v>75.053122658619813</v>
      </c>
      <c r="C75" s="90">
        <f t="shared" si="20"/>
        <v>0</v>
      </c>
      <c r="D75" s="90">
        <f t="shared" si="21"/>
        <v>62</v>
      </c>
      <c r="E75" s="90">
        <f t="shared" si="22"/>
        <v>3</v>
      </c>
      <c r="F75" s="91">
        <f t="shared" si="18"/>
        <v>72</v>
      </c>
      <c r="G75" s="92">
        <f t="shared" si="23"/>
        <v>0.1847141723146272</v>
      </c>
      <c r="H75" s="91" t="s">
        <v>12</v>
      </c>
      <c r="I75" s="92">
        <f t="shared" si="24"/>
        <v>1</v>
      </c>
      <c r="J75" s="93">
        <f t="shared" si="19"/>
        <v>17</v>
      </c>
      <c r="K75" s="94">
        <f t="shared" si="25"/>
        <v>0.96676581151405383</v>
      </c>
      <c r="L75" s="95">
        <f t="shared" si="26"/>
        <v>75.053122658619813</v>
      </c>
      <c r="M75" s="95">
        <f t="shared" si="27"/>
        <v>66.628403365640608</v>
      </c>
      <c r="N75" s="95">
        <f t="shared" si="28"/>
        <v>29.734439202392075</v>
      </c>
      <c r="O75" s="95">
        <f t="shared" si="29"/>
        <v>125.05981996211403</v>
      </c>
      <c r="P75" s="96">
        <f t="shared" si="30"/>
        <v>87.873983828858258</v>
      </c>
    </row>
    <row r="76" spans="1:16">
      <c r="A76" s="88" t="str">
        <f t="shared" si="17"/>
        <v>Sakhir</v>
      </c>
      <c r="B76" s="89">
        <f t="shared" si="16"/>
        <v>75.053122658619813</v>
      </c>
      <c r="C76" s="90">
        <f t="shared" si="20"/>
        <v>0</v>
      </c>
      <c r="D76" s="90">
        <f t="shared" si="21"/>
        <v>62</v>
      </c>
      <c r="E76" s="90">
        <f t="shared" si="22"/>
        <v>3</v>
      </c>
      <c r="F76" s="91">
        <f t="shared" si="18"/>
        <v>73</v>
      </c>
      <c r="G76" s="92">
        <f t="shared" si="23"/>
        <v>0.1847141723146272</v>
      </c>
      <c r="H76" s="91" t="s">
        <v>12</v>
      </c>
      <c r="I76" s="92">
        <f t="shared" si="24"/>
        <v>1</v>
      </c>
      <c r="J76" s="93">
        <f t="shared" si="19"/>
        <v>17</v>
      </c>
      <c r="K76" s="94">
        <f t="shared" si="25"/>
        <v>0.96676581151405383</v>
      </c>
      <c r="L76" s="95">
        <f t="shared" si="26"/>
        <v>75.053122658619813</v>
      </c>
      <c r="M76" s="95">
        <f t="shared" si="27"/>
        <v>66.628403365640608</v>
      </c>
      <c r="N76" s="95">
        <f t="shared" si="28"/>
        <v>29.919153374706703</v>
      </c>
      <c r="O76" s="95">
        <f t="shared" si="29"/>
        <v>125.05981996211403</v>
      </c>
      <c r="P76" s="96">
        <f t="shared" si="30"/>
        <v>87.642980617517054</v>
      </c>
    </row>
    <row r="77" spans="1:16">
      <c r="A77" s="88" t="str">
        <f t="shared" si="17"/>
        <v>Sakhir</v>
      </c>
      <c r="B77" s="89">
        <f t="shared" si="16"/>
        <v>75.053122658619813</v>
      </c>
      <c r="C77" s="90">
        <f t="shared" si="20"/>
        <v>0</v>
      </c>
      <c r="D77" s="90">
        <f t="shared" si="21"/>
        <v>62</v>
      </c>
      <c r="E77" s="90">
        <f t="shared" si="22"/>
        <v>3</v>
      </c>
      <c r="F77" s="91">
        <f t="shared" si="18"/>
        <v>74</v>
      </c>
      <c r="G77" s="92">
        <f t="shared" si="23"/>
        <v>0.1847141723146272</v>
      </c>
      <c r="H77" s="91" t="s">
        <v>12</v>
      </c>
      <c r="I77" s="92">
        <f t="shared" si="24"/>
        <v>1</v>
      </c>
      <c r="J77" s="93">
        <f t="shared" si="19"/>
        <v>17</v>
      </c>
      <c r="K77" s="94">
        <f t="shared" si="25"/>
        <v>0.96676581151405383</v>
      </c>
      <c r="L77" s="95">
        <f t="shared" si="26"/>
        <v>75.053122658619813</v>
      </c>
      <c r="M77" s="95">
        <f t="shared" si="27"/>
        <v>66.628403365640608</v>
      </c>
      <c r="N77" s="95">
        <f t="shared" si="28"/>
        <v>30.103867547021331</v>
      </c>
      <c r="O77" s="95">
        <f t="shared" si="29"/>
        <v>125.05981996211403</v>
      </c>
      <c r="P77" s="96">
        <f t="shared" si="30"/>
        <v>87.411977406175879</v>
      </c>
    </row>
    <row r="78" spans="1:16">
      <c r="A78" s="88" t="str">
        <f t="shared" si="17"/>
        <v>Sakhir</v>
      </c>
      <c r="B78" s="89">
        <f t="shared" si="16"/>
        <v>75.053122658619813</v>
      </c>
      <c r="C78" s="90">
        <f t="shared" si="20"/>
        <v>0</v>
      </c>
      <c r="D78" s="90">
        <f t="shared" si="21"/>
        <v>62</v>
      </c>
      <c r="E78" s="90">
        <f t="shared" si="22"/>
        <v>3</v>
      </c>
      <c r="F78" s="91">
        <f t="shared" si="18"/>
        <v>75</v>
      </c>
      <c r="G78" s="92">
        <f t="shared" si="23"/>
        <v>0.1847141723146272</v>
      </c>
      <c r="H78" s="91" t="s">
        <v>12</v>
      </c>
      <c r="I78" s="92">
        <f t="shared" si="24"/>
        <v>1</v>
      </c>
      <c r="J78" s="93">
        <f t="shared" si="19"/>
        <v>17</v>
      </c>
      <c r="K78" s="94">
        <f t="shared" si="25"/>
        <v>0.96676581151405383</v>
      </c>
      <c r="L78" s="95">
        <f t="shared" si="26"/>
        <v>75.053122658619813</v>
      </c>
      <c r="M78" s="95">
        <f t="shared" si="27"/>
        <v>66.628403365640608</v>
      </c>
      <c r="N78" s="95">
        <f t="shared" si="28"/>
        <v>30.288581719335955</v>
      </c>
      <c r="O78" s="95">
        <f t="shared" si="29"/>
        <v>125.05981996211403</v>
      </c>
      <c r="P78" s="96">
        <f t="shared" si="30"/>
        <v>87.180974194834704</v>
      </c>
    </row>
    <row r="79" spans="1:16">
      <c r="A79" s="88" t="str">
        <f t="shared" si="17"/>
        <v>Sakhir</v>
      </c>
      <c r="B79" s="89">
        <f t="shared" si="16"/>
        <v>75.053122658619813</v>
      </c>
      <c r="C79" s="90">
        <f t="shared" si="20"/>
        <v>0</v>
      </c>
      <c r="D79" s="90">
        <f t="shared" si="21"/>
        <v>62</v>
      </c>
      <c r="E79" s="90">
        <f t="shared" si="22"/>
        <v>3</v>
      </c>
      <c r="F79" s="91">
        <f t="shared" si="18"/>
        <v>76</v>
      </c>
      <c r="G79" s="92">
        <f t="shared" si="23"/>
        <v>0.1847141723146272</v>
      </c>
      <c r="H79" s="91" t="s">
        <v>12</v>
      </c>
      <c r="I79" s="92">
        <f t="shared" si="24"/>
        <v>1</v>
      </c>
      <c r="J79" s="93">
        <f t="shared" si="19"/>
        <v>17</v>
      </c>
      <c r="K79" s="94">
        <f t="shared" si="25"/>
        <v>0.96676581151405383</v>
      </c>
      <c r="L79" s="95">
        <f t="shared" si="26"/>
        <v>75.053122658619813</v>
      </c>
      <c r="M79" s="95">
        <f t="shared" si="27"/>
        <v>66.628403365640608</v>
      </c>
      <c r="N79" s="95">
        <f t="shared" si="28"/>
        <v>30.473295891650583</v>
      </c>
      <c r="O79" s="95">
        <f t="shared" si="29"/>
        <v>125.05981996211403</v>
      </c>
      <c r="P79" s="96">
        <f t="shared" si="30"/>
        <v>86.949970983493529</v>
      </c>
    </row>
    <row r="80" spans="1:16">
      <c r="A80" s="88" t="str">
        <f t="shared" si="17"/>
        <v>Sakhir</v>
      </c>
      <c r="B80" s="89">
        <f t="shared" si="16"/>
        <v>75.053122658619813</v>
      </c>
      <c r="C80" s="90">
        <f t="shared" si="20"/>
        <v>0</v>
      </c>
      <c r="D80" s="90">
        <f t="shared" si="21"/>
        <v>62</v>
      </c>
      <c r="E80" s="90">
        <f t="shared" si="22"/>
        <v>3</v>
      </c>
      <c r="F80" s="91">
        <f t="shared" si="18"/>
        <v>77</v>
      </c>
      <c r="G80" s="92">
        <f t="shared" si="23"/>
        <v>0.1847141723146272</v>
      </c>
      <c r="H80" s="91" t="s">
        <v>12</v>
      </c>
      <c r="I80" s="92">
        <f t="shared" si="24"/>
        <v>1</v>
      </c>
      <c r="J80" s="93">
        <f t="shared" si="19"/>
        <v>17</v>
      </c>
      <c r="K80" s="94">
        <f t="shared" si="25"/>
        <v>0.96676581151405383</v>
      </c>
      <c r="L80" s="95">
        <f t="shared" si="26"/>
        <v>75.053122658619813</v>
      </c>
      <c r="M80" s="95">
        <f t="shared" si="27"/>
        <v>66.628403365640608</v>
      </c>
      <c r="N80" s="95">
        <f t="shared" si="28"/>
        <v>30.658010063965211</v>
      </c>
      <c r="O80" s="95">
        <f t="shared" si="29"/>
        <v>125.05981996211403</v>
      </c>
      <c r="P80" s="96">
        <f t="shared" si="30"/>
        <v>86.71896777215234</v>
      </c>
    </row>
    <row r="81" spans="1:16">
      <c r="A81" s="88" t="str">
        <f t="shared" si="17"/>
        <v>Sakhir</v>
      </c>
      <c r="B81" s="89">
        <f t="shared" si="16"/>
        <v>75.053122658619813</v>
      </c>
      <c r="C81" s="90">
        <f t="shared" si="20"/>
        <v>0</v>
      </c>
      <c r="D81" s="90">
        <f t="shared" si="21"/>
        <v>62</v>
      </c>
      <c r="E81" s="90">
        <f t="shared" si="22"/>
        <v>3</v>
      </c>
      <c r="F81" s="91">
        <f t="shared" si="18"/>
        <v>78</v>
      </c>
      <c r="G81" s="92">
        <f t="shared" si="23"/>
        <v>0.1847141723146272</v>
      </c>
      <c r="H81" s="91" t="s">
        <v>12</v>
      </c>
      <c r="I81" s="92">
        <f t="shared" si="24"/>
        <v>1</v>
      </c>
      <c r="J81" s="93">
        <f t="shared" si="19"/>
        <v>17</v>
      </c>
      <c r="K81" s="94">
        <f t="shared" si="25"/>
        <v>0.96676581151405383</v>
      </c>
      <c r="L81" s="95">
        <f t="shared" si="26"/>
        <v>75.053122658619813</v>
      </c>
      <c r="M81" s="95">
        <f t="shared" si="27"/>
        <v>66.628403365640608</v>
      </c>
      <c r="N81" s="95">
        <f t="shared" si="28"/>
        <v>30.842724236279835</v>
      </c>
      <c r="O81" s="95">
        <f t="shared" si="29"/>
        <v>125.05981996211403</v>
      </c>
      <c r="P81" s="96">
        <f t="shared" si="30"/>
        <v>86.48796456081115</v>
      </c>
    </row>
    <row r="82" spans="1:16">
      <c r="A82" s="88" t="str">
        <f t="shared" si="17"/>
        <v>Sakhir</v>
      </c>
      <c r="B82" s="89">
        <f t="shared" si="16"/>
        <v>75.053122658619813</v>
      </c>
      <c r="C82" s="90">
        <f t="shared" si="20"/>
        <v>0</v>
      </c>
      <c r="D82" s="90">
        <f t="shared" si="21"/>
        <v>62</v>
      </c>
      <c r="E82" s="90">
        <f t="shared" si="22"/>
        <v>3</v>
      </c>
      <c r="F82" s="91">
        <f t="shared" si="18"/>
        <v>79</v>
      </c>
      <c r="G82" s="92">
        <f t="shared" si="23"/>
        <v>0.1847141723146272</v>
      </c>
      <c r="H82" s="91" t="s">
        <v>12</v>
      </c>
      <c r="I82" s="92">
        <f t="shared" si="24"/>
        <v>1</v>
      </c>
      <c r="J82" s="93">
        <f t="shared" si="19"/>
        <v>17</v>
      </c>
      <c r="K82" s="94">
        <f t="shared" si="25"/>
        <v>0.96676581151405383</v>
      </c>
      <c r="L82" s="95">
        <f t="shared" si="26"/>
        <v>75.053122658619813</v>
      </c>
      <c r="M82" s="95">
        <f t="shared" si="27"/>
        <v>66.628403365640608</v>
      </c>
      <c r="N82" s="95">
        <f t="shared" si="28"/>
        <v>31.027438408594463</v>
      </c>
      <c r="O82" s="95">
        <f t="shared" si="29"/>
        <v>125.05981996211403</v>
      </c>
      <c r="P82" s="96">
        <f t="shared" si="30"/>
        <v>86.256961349469975</v>
      </c>
    </row>
    <row r="83" spans="1:16">
      <c r="A83" s="88" t="str">
        <f t="shared" si="17"/>
        <v>Sakhir</v>
      </c>
      <c r="B83" s="89">
        <f t="shared" si="16"/>
        <v>75.053122658619813</v>
      </c>
      <c r="C83" s="90">
        <f t="shared" si="20"/>
        <v>0</v>
      </c>
      <c r="D83" s="90">
        <f t="shared" si="21"/>
        <v>62</v>
      </c>
      <c r="E83" s="90">
        <f t="shared" si="22"/>
        <v>3</v>
      </c>
      <c r="F83" s="91">
        <f t="shared" si="18"/>
        <v>80</v>
      </c>
      <c r="G83" s="92">
        <f t="shared" si="23"/>
        <v>0.1847141723146272</v>
      </c>
      <c r="H83" s="91" t="s">
        <v>12</v>
      </c>
      <c r="I83" s="92">
        <f t="shared" si="24"/>
        <v>1</v>
      </c>
      <c r="J83" s="93">
        <f t="shared" si="19"/>
        <v>17</v>
      </c>
      <c r="K83" s="94">
        <f t="shared" si="25"/>
        <v>0.96676581151405383</v>
      </c>
      <c r="L83" s="95">
        <f t="shared" si="26"/>
        <v>75.053122658619813</v>
      </c>
      <c r="M83" s="95">
        <f t="shared" si="27"/>
        <v>66.628403365640608</v>
      </c>
      <c r="N83" s="95">
        <f t="shared" si="28"/>
        <v>31.212152580909091</v>
      </c>
      <c r="O83" s="95">
        <f t="shared" si="29"/>
        <v>125.05981996211403</v>
      </c>
      <c r="P83" s="96">
        <f t="shared" si="30"/>
        <v>86.0259581381288</v>
      </c>
    </row>
    <row r="84" spans="1:16">
      <c r="A84" s="88" t="str">
        <f t="shared" si="17"/>
        <v>Sakhir</v>
      </c>
      <c r="B84" s="89">
        <f t="shared" si="16"/>
        <v>75.053122658619813</v>
      </c>
      <c r="C84" s="90">
        <f t="shared" si="20"/>
        <v>0</v>
      </c>
      <c r="D84" s="90">
        <f t="shared" si="21"/>
        <v>62</v>
      </c>
      <c r="E84" s="90">
        <f t="shared" si="22"/>
        <v>3</v>
      </c>
      <c r="F84" s="91">
        <f t="shared" si="18"/>
        <v>81</v>
      </c>
      <c r="G84" s="92">
        <f t="shared" si="23"/>
        <v>0.1847141723146272</v>
      </c>
      <c r="H84" s="91" t="s">
        <v>12</v>
      </c>
      <c r="I84" s="92">
        <f t="shared" si="24"/>
        <v>1</v>
      </c>
      <c r="J84" s="93">
        <f t="shared" si="19"/>
        <v>17</v>
      </c>
      <c r="K84" s="94">
        <f t="shared" si="25"/>
        <v>0.96676581151405383</v>
      </c>
      <c r="L84" s="95">
        <f t="shared" si="26"/>
        <v>75.053122658619813</v>
      </c>
      <c r="M84" s="95">
        <f t="shared" si="27"/>
        <v>66.628403365640608</v>
      </c>
      <c r="N84" s="95">
        <f t="shared" si="28"/>
        <v>31.396866753223719</v>
      </c>
      <c r="O84" s="95">
        <f t="shared" si="29"/>
        <v>125.05981996211403</v>
      </c>
      <c r="P84" s="96">
        <f t="shared" si="30"/>
        <v>85.794954926787611</v>
      </c>
    </row>
    <row r="85" spans="1:16">
      <c r="A85" s="88" t="str">
        <f t="shared" si="17"/>
        <v>Sakhir</v>
      </c>
      <c r="B85" s="89">
        <f t="shared" si="16"/>
        <v>75.053122658619813</v>
      </c>
      <c r="C85" s="90">
        <f t="shared" si="20"/>
        <v>0</v>
      </c>
      <c r="D85" s="90">
        <f t="shared" si="21"/>
        <v>62</v>
      </c>
      <c r="E85" s="90">
        <f t="shared" si="22"/>
        <v>3</v>
      </c>
      <c r="F85" s="91">
        <f t="shared" si="18"/>
        <v>82</v>
      </c>
      <c r="G85" s="92">
        <f t="shared" si="23"/>
        <v>0.1847141723146272</v>
      </c>
      <c r="H85" s="91" t="s">
        <v>12</v>
      </c>
      <c r="I85" s="92">
        <f t="shared" si="24"/>
        <v>1</v>
      </c>
      <c r="J85" s="93">
        <f t="shared" si="19"/>
        <v>17</v>
      </c>
      <c r="K85" s="94">
        <f t="shared" si="25"/>
        <v>0.96676581151405383</v>
      </c>
      <c r="L85" s="95">
        <f t="shared" si="26"/>
        <v>75.053122658619813</v>
      </c>
      <c r="M85" s="95">
        <f t="shared" si="27"/>
        <v>66.628403365640608</v>
      </c>
      <c r="N85" s="95">
        <f t="shared" si="28"/>
        <v>31.581580925538347</v>
      </c>
      <c r="O85" s="95">
        <f t="shared" si="29"/>
        <v>125.05981996211403</v>
      </c>
      <c r="P85" s="96">
        <f t="shared" si="30"/>
        <v>85.563951715446422</v>
      </c>
    </row>
    <row r="86" spans="1:16">
      <c r="A86" s="88" t="str">
        <f t="shared" si="17"/>
        <v>Sakhir</v>
      </c>
      <c r="B86" s="89">
        <f t="shared" si="16"/>
        <v>75.053122658619813</v>
      </c>
      <c r="C86" s="90">
        <f t="shared" si="20"/>
        <v>0</v>
      </c>
      <c r="D86" s="90">
        <f t="shared" si="21"/>
        <v>62</v>
      </c>
      <c r="E86" s="90">
        <f t="shared" si="22"/>
        <v>3</v>
      </c>
      <c r="F86" s="91">
        <f t="shared" si="18"/>
        <v>83</v>
      </c>
      <c r="G86" s="92">
        <f t="shared" si="23"/>
        <v>0.1847141723146272</v>
      </c>
      <c r="H86" s="91" t="s">
        <v>12</v>
      </c>
      <c r="I86" s="92">
        <f t="shared" si="24"/>
        <v>1</v>
      </c>
      <c r="J86" s="93">
        <f t="shared" si="19"/>
        <v>17</v>
      </c>
      <c r="K86" s="94">
        <f t="shared" si="25"/>
        <v>0.96676581151405383</v>
      </c>
      <c r="L86" s="95">
        <f t="shared" si="26"/>
        <v>75.053122658619813</v>
      </c>
      <c r="M86" s="95">
        <f t="shared" si="27"/>
        <v>66.628403365640608</v>
      </c>
      <c r="N86" s="95">
        <f t="shared" si="28"/>
        <v>31.766295097852975</v>
      </c>
      <c r="O86" s="95">
        <f t="shared" si="29"/>
        <v>125.05981996211403</v>
      </c>
      <c r="P86" s="96">
        <f t="shared" si="30"/>
        <v>85.332948504105246</v>
      </c>
    </row>
    <row r="87" spans="1:16">
      <c r="A87" s="88" t="str">
        <f t="shared" si="17"/>
        <v>Sakhir</v>
      </c>
      <c r="B87" s="89">
        <f t="shared" si="16"/>
        <v>75.053122658619813</v>
      </c>
      <c r="C87" s="90">
        <f t="shared" si="20"/>
        <v>0</v>
      </c>
      <c r="D87" s="90">
        <f t="shared" si="21"/>
        <v>62</v>
      </c>
      <c r="E87" s="90">
        <f t="shared" si="22"/>
        <v>3</v>
      </c>
      <c r="F87" s="91">
        <f t="shared" si="18"/>
        <v>84</v>
      </c>
      <c r="G87" s="92">
        <f t="shared" si="23"/>
        <v>0.1847141723146272</v>
      </c>
      <c r="H87" s="91" t="s">
        <v>12</v>
      </c>
      <c r="I87" s="92">
        <f t="shared" si="24"/>
        <v>1</v>
      </c>
      <c r="J87" s="93">
        <f t="shared" si="19"/>
        <v>17</v>
      </c>
      <c r="K87" s="94">
        <f t="shared" si="25"/>
        <v>0.96676581151405383</v>
      </c>
      <c r="L87" s="95">
        <f t="shared" si="26"/>
        <v>75.053122658619813</v>
      </c>
      <c r="M87" s="95">
        <f t="shared" si="27"/>
        <v>66.628403365640608</v>
      </c>
      <c r="N87" s="95">
        <f t="shared" si="28"/>
        <v>31.951009270167603</v>
      </c>
      <c r="O87" s="95">
        <f t="shared" si="29"/>
        <v>125.05981996211403</v>
      </c>
      <c r="P87" s="96">
        <f t="shared" si="30"/>
        <v>85.101945292764071</v>
      </c>
    </row>
    <row r="88" spans="1:16">
      <c r="A88" s="88" t="str">
        <f t="shared" si="17"/>
        <v>Sakhir</v>
      </c>
      <c r="B88" s="89">
        <f t="shared" si="16"/>
        <v>75.053122658619813</v>
      </c>
      <c r="C88" s="90">
        <f t="shared" si="20"/>
        <v>0</v>
      </c>
      <c r="D88" s="90">
        <f t="shared" si="21"/>
        <v>62</v>
      </c>
      <c r="E88" s="90">
        <f t="shared" si="22"/>
        <v>3</v>
      </c>
      <c r="F88" s="91">
        <f t="shared" si="18"/>
        <v>85</v>
      </c>
      <c r="G88" s="92">
        <f t="shared" si="23"/>
        <v>0.1847141723146272</v>
      </c>
      <c r="H88" s="91" t="s">
        <v>12</v>
      </c>
      <c r="I88" s="92">
        <f t="shared" si="24"/>
        <v>1</v>
      </c>
      <c r="J88" s="93">
        <f t="shared" si="19"/>
        <v>17</v>
      </c>
      <c r="K88" s="94">
        <f t="shared" si="25"/>
        <v>0.96676581151405383</v>
      </c>
      <c r="L88" s="95">
        <f t="shared" si="26"/>
        <v>75.053122658619813</v>
      </c>
      <c r="M88" s="95">
        <f t="shared" si="27"/>
        <v>66.628403365640608</v>
      </c>
      <c r="N88" s="95">
        <f t="shared" si="28"/>
        <v>32.135723442482231</v>
      </c>
      <c r="O88" s="95">
        <f t="shared" si="29"/>
        <v>125.05981996211403</v>
      </c>
      <c r="P88" s="96">
        <f t="shared" si="30"/>
        <v>84.870942081422882</v>
      </c>
    </row>
    <row r="89" spans="1:16">
      <c r="A89" s="88" t="str">
        <f t="shared" si="17"/>
        <v>Sakhir</v>
      </c>
      <c r="B89" s="89">
        <f t="shared" si="16"/>
        <v>75.053122658619813</v>
      </c>
      <c r="C89" s="90">
        <f t="shared" si="20"/>
        <v>0</v>
      </c>
      <c r="D89" s="90">
        <f t="shared" si="21"/>
        <v>62</v>
      </c>
      <c r="E89" s="90">
        <f t="shared" si="22"/>
        <v>3</v>
      </c>
      <c r="F89" s="91">
        <f t="shared" si="18"/>
        <v>86</v>
      </c>
      <c r="G89" s="92">
        <f t="shared" si="23"/>
        <v>0.1847141723146272</v>
      </c>
      <c r="H89" s="91" t="s">
        <v>12</v>
      </c>
      <c r="I89" s="92">
        <f t="shared" si="24"/>
        <v>1</v>
      </c>
      <c r="J89" s="93">
        <f t="shared" si="19"/>
        <v>17</v>
      </c>
      <c r="K89" s="94">
        <f t="shared" si="25"/>
        <v>0.96676581151405383</v>
      </c>
      <c r="L89" s="95">
        <f t="shared" si="26"/>
        <v>75.053122658619813</v>
      </c>
      <c r="M89" s="95">
        <f t="shared" si="27"/>
        <v>66.628403365640608</v>
      </c>
      <c r="N89" s="95">
        <f t="shared" si="28"/>
        <v>32.320437614796859</v>
      </c>
      <c r="O89" s="95">
        <f t="shared" si="29"/>
        <v>125.05981996211403</v>
      </c>
      <c r="P89" s="96">
        <f t="shared" si="30"/>
        <v>84.639938870081693</v>
      </c>
    </row>
    <row r="90" spans="1:16">
      <c r="A90" s="88" t="str">
        <f t="shared" si="17"/>
        <v>Sakhir</v>
      </c>
      <c r="B90" s="89">
        <f t="shared" si="16"/>
        <v>75.053122658619813</v>
      </c>
      <c r="C90" s="90">
        <f t="shared" si="20"/>
        <v>0</v>
      </c>
      <c r="D90" s="90">
        <f t="shared" si="21"/>
        <v>62</v>
      </c>
      <c r="E90" s="90">
        <f t="shared" si="22"/>
        <v>3</v>
      </c>
      <c r="F90" s="91">
        <f t="shared" si="18"/>
        <v>87</v>
      </c>
      <c r="G90" s="92">
        <f t="shared" si="23"/>
        <v>0.1847141723146272</v>
      </c>
      <c r="H90" s="91" t="s">
        <v>12</v>
      </c>
      <c r="I90" s="92">
        <f t="shared" si="24"/>
        <v>1</v>
      </c>
      <c r="J90" s="93">
        <f t="shared" si="19"/>
        <v>17</v>
      </c>
      <c r="K90" s="94">
        <f t="shared" si="25"/>
        <v>0.96676581151405383</v>
      </c>
      <c r="L90" s="95">
        <f t="shared" si="26"/>
        <v>75.053122658619813</v>
      </c>
      <c r="M90" s="95">
        <f t="shared" si="27"/>
        <v>66.628403365640608</v>
      </c>
      <c r="N90" s="95">
        <f t="shared" si="28"/>
        <v>32.505151787111487</v>
      </c>
      <c r="O90" s="95">
        <f t="shared" si="29"/>
        <v>125.05981996211403</v>
      </c>
      <c r="P90" s="96">
        <f t="shared" si="30"/>
        <v>84.408935658740518</v>
      </c>
    </row>
    <row r="91" spans="1:16">
      <c r="A91" s="88" t="str">
        <f t="shared" si="17"/>
        <v>Sakhir</v>
      </c>
      <c r="B91" s="89">
        <f t="shared" si="16"/>
        <v>75.053122658619813</v>
      </c>
      <c r="C91" s="90">
        <f t="shared" si="20"/>
        <v>0</v>
      </c>
      <c r="D91" s="90">
        <f t="shared" si="21"/>
        <v>62</v>
      </c>
      <c r="E91" s="90">
        <f t="shared" si="22"/>
        <v>3</v>
      </c>
      <c r="F91" s="91">
        <f t="shared" si="18"/>
        <v>88</v>
      </c>
      <c r="G91" s="92">
        <f t="shared" si="23"/>
        <v>0.1847141723146272</v>
      </c>
      <c r="H91" s="91" t="s">
        <v>12</v>
      </c>
      <c r="I91" s="92">
        <f t="shared" si="24"/>
        <v>1</v>
      </c>
      <c r="J91" s="93">
        <f t="shared" si="19"/>
        <v>17</v>
      </c>
      <c r="K91" s="94">
        <f t="shared" si="25"/>
        <v>0.96676581151405383</v>
      </c>
      <c r="L91" s="95">
        <f t="shared" si="26"/>
        <v>75.053122658619813</v>
      </c>
      <c r="M91" s="95">
        <f t="shared" si="27"/>
        <v>66.628403365640608</v>
      </c>
      <c r="N91" s="95">
        <f t="shared" si="28"/>
        <v>32.689865959426108</v>
      </c>
      <c r="O91" s="95">
        <f t="shared" si="29"/>
        <v>125.05981996211403</v>
      </c>
      <c r="P91" s="96">
        <f t="shared" si="30"/>
        <v>84.177932447399343</v>
      </c>
    </row>
    <row r="92" spans="1:16">
      <c r="A92" s="88" t="str">
        <f t="shared" si="17"/>
        <v>Sakhir</v>
      </c>
      <c r="B92" s="89">
        <f t="shared" si="16"/>
        <v>75.053122658619813</v>
      </c>
      <c r="C92" s="90">
        <f t="shared" si="20"/>
        <v>0</v>
      </c>
      <c r="D92" s="90">
        <f t="shared" si="21"/>
        <v>62</v>
      </c>
      <c r="E92" s="90">
        <f t="shared" si="22"/>
        <v>3</v>
      </c>
      <c r="F92" s="91">
        <f t="shared" si="18"/>
        <v>89</v>
      </c>
      <c r="G92" s="92">
        <f t="shared" si="23"/>
        <v>0.1847141723146272</v>
      </c>
      <c r="H92" s="91" t="s">
        <v>12</v>
      </c>
      <c r="I92" s="92">
        <f t="shared" si="24"/>
        <v>1</v>
      </c>
      <c r="J92" s="93">
        <f t="shared" si="19"/>
        <v>17</v>
      </c>
      <c r="K92" s="94">
        <f t="shared" si="25"/>
        <v>0.96676581151405383</v>
      </c>
      <c r="L92" s="95">
        <f t="shared" si="26"/>
        <v>75.053122658619813</v>
      </c>
      <c r="M92" s="95">
        <f t="shared" si="27"/>
        <v>66.628403365640608</v>
      </c>
      <c r="N92" s="95">
        <f t="shared" si="28"/>
        <v>32.874580131740736</v>
      </c>
      <c r="O92" s="95">
        <f t="shared" si="29"/>
        <v>125.05981996211403</v>
      </c>
      <c r="P92" s="96">
        <f t="shared" si="30"/>
        <v>83.946929236058168</v>
      </c>
    </row>
    <row r="93" spans="1:16">
      <c r="A93" s="88" t="str">
        <f t="shared" si="17"/>
        <v>Sakhir</v>
      </c>
      <c r="B93" s="89">
        <f t="shared" si="16"/>
        <v>75.053122658619813</v>
      </c>
      <c r="C93" s="90">
        <f t="shared" si="20"/>
        <v>0</v>
      </c>
      <c r="D93" s="90">
        <f t="shared" si="21"/>
        <v>62</v>
      </c>
      <c r="E93" s="90">
        <f t="shared" si="22"/>
        <v>3</v>
      </c>
      <c r="F93" s="91">
        <f t="shared" si="18"/>
        <v>90</v>
      </c>
      <c r="G93" s="92">
        <f t="shared" si="23"/>
        <v>0.1847141723146272</v>
      </c>
      <c r="H93" s="91" t="s">
        <v>12</v>
      </c>
      <c r="I93" s="92">
        <f t="shared" si="24"/>
        <v>1</v>
      </c>
      <c r="J93" s="93">
        <f t="shared" si="19"/>
        <v>17</v>
      </c>
      <c r="K93" s="94">
        <f t="shared" si="25"/>
        <v>0.96676581151405383</v>
      </c>
      <c r="L93" s="95">
        <f t="shared" si="26"/>
        <v>75.053122658619813</v>
      </c>
      <c r="M93" s="95">
        <f t="shared" si="27"/>
        <v>66.628403365640608</v>
      </c>
      <c r="N93" s="95">
        <f t="shared" si="28"/>
        <v>33.059294304055364</v>
      </c>
      <c r="O93" s="95">
        <f t="shared" si="29"/>
        <v>125.05981996211403</v>
      </c>
      <c r="P93" s="96">
        <f t="shared" si="30"/>
        <v>83.715926024716964</v>
      </c>
    </row>
    <row r="94" spans="1:16">
      <c r="A94" s="88" t="str">
        <f t="shared" si="17"/>
        <v>Sakhir</v>
      </c>
      <c r="B94" s="89">
        <f t="shared" si="16"/>
        <v>75.053122658619813</v>
      </c>
      <c r="C94" s="90">
        <f t="shared" si="20"/>
        <v>0</v>
      </c>
      <c r="D94" s="90">
        <f t="shared" si="21"/>
        <v>62</v>
      </c>
      <c r="E94" s="90">
        <f t="shared" si="22"/>
        <v>3</v>
      </c>
      <c r="F94" s="91">
        <f t="shared" si="18"/>
        <v>91</v>
      </c>
      <c r="G94" s="92">
        <f t="shared" si="23"/>
        <v>0.1847141723146272</v>
      </c>
      <c r="H94" s="91" t="s">
        <v>12</v>
      </c>
      <c r="I94" s="92">
        <f t="shared" si="24"/>
        <v>1</v>
      </c>
      <c r="J94" s="93">
        <f t="shared" si="19"/>
        <v>17</v>
      </c>
      <c r="K94" s="94">
        <f t="shared" si="25"/>
        <v>0.96676581151405383</v>
      </c>
      <c r="L94" s="95">
        <f t="shared" si="26"/>
        <v>75.053122658619813</v>
      </c>
      <c r="M94" s="95">
        <f t="shared" si="27"/>
        <v>66.628403365640608</v>
      </c>
      <c r="N94" s="95">
        <f t="shared" si="28"/>
        <v>33.244008476369991</v>
      </c>
      <c r="O94" s="95">
        <f t="shared" si="29"/>
        <v>125.05981996211403</v>
      </c>
      <c r="P94" s="96">
        <f t="shared" si="30"/>
        <v>83.484922813375789</v>
      </c>
    </row>
    <row r="95" spans="1:16">
      <c r="A95" s="88" t="str">
        <f t="shared" si="17"/>
        <v>Sakhir</v>
      </c>
      <c r="B95" s="89">
        <f t="shared" si="16"/>
        <v>75.053122658619813</v>
      </c>
      <c r="C95" s="90">
        <f t="shared" si="20"/>
        <v>0</v>
      </c>
      <c r="D95" s="90">
        <f t="shared" si="21"/>
        <v>62</v>
      </c>
      <c r="E95" s="90">
        <f t="shared" si="22"/>
        <v>3</v>
      </c>
      <c r="F95" s="91">
        <f t="shared" si="18"/>
        <v>92</v>
      </c>
      <c r="G95" s="92">
        <f t="shared" si="23"/>
        <v>0.1847141723146272</v>
      </c>
      <c r="H95" s="91" t="s">
        <v>12</v>
      </c>
      <c r="I95" s="92">
        <f t="shared" si="24"/>
        <v>1</v>
      </c>
      <c r="J95" s="93">
        <f t="shared" si="19"/>
        <v>17</v>
      </c>
      <c r="K95" s="94">
        <f t="shared" si="25"/>
        <v>0.96676581151405383</v>
      </c>
      <c r="L95" s="95">
        <f t="shared" si="26"/>
        <v>75.053122658619813</v>
      </c>
      <c r="M95" s="95">
        <f t="shared" si="27"/>
        <v>66.628403365640608</v>
      </c>
      <c r="N95" s="95">
        <f t="shared" si="28"/>
        <v>33.428722648684619</v>
      </c>
      <c r="O95" s="95">
        <f t="shared" si="29"/>
        <v>125.05981996211403</v>
      </c>
      <c r="P95" s="96">
        <f t="shared" si="30"/>
        <v>83.253919602034614</v>
      </c>
    </row>
    <row r="96" spans="1:16">
      <c r="A96" s="88" t="str">
        <f t="shared" si="17"/>
        <v>Sakhir</v>
      </c>
      <c r="B96" s="89">
        <f t="shared" si="16"/>
        <v>75.053122658619813</v>
      </c>
      <c r="C96" s="90">
        <f t="shared" si="20"/>
        <v>0</v>
      </c>
      <c r="D96" s="90">
        <f t="shared" si="21"/>
        <v>62</v>
      </c>
      <c r="E96" s="90">
        <f t="shared" si="22"/>
        <v>3</v>
      </c>
      <c r="F96" s="91">
        <f t="shared" si="18"/>
        <v>93</v>
      </c>
      <c r="G96" s="92">
        <f t="shared" si="23"/>
        <v>0.1847141723146272</v>
      </c>
      <c r="H96" s="91" t="s">
        <v>12</v>
      </c>
      <c r="I96" s="92">
        <f t="shared" si="24"/>
        <v>1</v>
      </c>
      <c r="J96" s="93">
        <f t="shared" si="19"/>
        <v>17</v>
      </c>
      <c r="K96" s="94">
        <f t="shared" si="25"/>
        <v>0.96676581151405383</v>
      </c>
      <c r="L96" s="95">
        <f t="shared" si="26"/>
        <v>75.053122658619813</v>
      </c>
      <c r="M96" s="95">
        <f t="shared" si="27"/>
        <v>66.628403365640608</v>
      </c>
      <c r="N96" s="95">
        <f t="shared" si="28"/>
        <v>33.61343682099924</v>
      </c>
      <c r="O96" s="95">
        <f t="shared" si="29"/>
        <v>125.05981996211403</v>
      </c>
      <c r="P96" s="96">
        <f t="shared" si="30"/>
        <v>83.022916390693439</v>
      </c>
    </row>
    <row r="97" spans="1:16">
      <c r="A97" s="88" t="str">
        <f t="shared" si="17"/>
        <v>Sakhir</v>
      </c>
      <c r="B97" s="89">
        <f t="shared" si="16"/>
        <v>75.053122658619813</v>
      </c>
      <c r="C97" s="90">
        <f t="shared" si="20"/>
        <v>0</v>
      </c>
      <c r="D97" s="90">
        <f t="shared" si="21"/>
        <v>62</v>
      </c>
      <c r="E97" s="90">
        <f t="shared" si="22"/>
        <v>3</v>
      </c>
      <c r="F97" s="91">
        <f t="shared" si="18"/>
        <v>94</v>
      </c>
      <c r="G97" s="92">
        <f t="shared" si="23"/>
        <v>0.1847141723146272</v>
      </c>
      <c r="H97" s="91" t="s">
        <v>12</v>
      </c>
      <c r="I97" s="92">
        <f t="shared" si="24"/>
        <v>1</v>
      </c>
      <c r="J97" s="93">
        <f t="shared" si="19"/>
        <v>17</v>
      </c>
      <c r="K97" s="94">
        <f t="shared" si="25"/>
        <v>0.96676581151405383</v>
      </c>
      <c r="L97" s="95">
        <f t="shared" si="26"/>
        <v>75.053122658619813</v>
      </c>
      <c r="M97" s="95">
        <f t="shared" si="27"/>
        <v>66.628403365640608</v>
      </c>
      <c r="N97" s="95">
        <f t="shared" si="28"/>
        <v>33.798150993313868</v>
      </c>
      <c r="O97" s="95">
        <f t="shared" si="29"/>
        <v>125.05981996211403</v>
      </c>
      <c r="P97" s="96">
        <f t="shared" si="30"/>
        <v>82.79191317935225</v>
      </c>
    </row>
    <row r="98" spans="1:16">
      <c r="A98" s="88" t="str">
        <f t="shared" si="17"/>
        <v>Sakhir</v>
      </c>
      <c r="B98" s="89">
        <f t="shared" si="16"/>
        <v>75.053122658619813</v>
      </c>
      <c r="C98" s="90">
        <f t="shared" si="20"/>
        <v>0</v>
      </c>
      <c r="D98" s="90">
        <f t="shared" si="21"/>
        <v>62</v>
      </c>
      <c r="E98" s="90">
        <f t="shared" si="22"/>
        <v>3</v>
      </c>
      <c r="F98" s="91">
        <f t="shared" si="18"/>
        <v>95</v>
      </c>
      <c r="G98" s="92">
        <f t="shared" si="23"/>
        <v>0.1847141723146272</v>
      </c>
      <c r="H98" s="91" t="s">
        <v>12</v>
      </c>
      <c r="I98" s="92">
        <f t="shared" si="24"/>
        <v>1</v>
      </c>
      <c r="J98" s="93">
        <f t="shared" si="19"/>
        <v>17</v>
      </c>
      <c r="K98" s="94">
        <f t="shared" si="25"/>
        <v>0.96676581151405383</v>
      </c>
      <c r="L98" s="95">
        <f t="shared" si="26"/>
        <v>75.053122658619813</v>
      </c>
      <c r="M98" s="95">
        <f t="shared" si="27"/>
        <v>66.628403365640608</v>
      </c>
      <c r="N98" s="95">
        <f t="shared" si="28"/>
        <v>33.982865165628496</v>
      </c>
      <c r="O98" s="95">
        <f t="shared" si="29"/>
        <v>125.05981996211403</v>
      </c>
      <c r="P98" s="96">
        <f t="shared" si="30"/>
        <v>82.560909968011075</v>
      </c>
    </row>
    <row r="99" spans="1:16">
      <c r="A99" s="88" t="str">
        <f t="shared" si="17"/>
        <v>Sakhir</v>
      </c>
      <c r="B99" s="89">
        <f t="shared" si="16"/>
        <v>75.053122658619813</v>
      </c>
      <c r="C99" s="90">
        <f t="shared" si="20"/>
        <v>0</v>
      </c>
      <c r="D99" s="90">
        <f t="shared" si="21"/>
        <v>62</v>
      </c>
      <c r="E99" s="90">
        <f t="shared" si="22"/>
        <v>3</v>
      </c>
      <c r="F99" s="91">
        <f t="shared" si="18"/>
        <v>96</v>
      </c>
      <c r="G99" s="92">
        <f t="shared" si="23"/>
        <v>0.1847141723146272</v>
      </c>
      <c r="H99" s="91" t="s">
        <v>12</v>
      </c>
      <c r="I99" s="92">
        <f t="shared" si="24"/>
        <v>1</v>
      </c>
      <c r="J99" s="93">
        <f t="shared" si="19"/>
        <v>17</v>
      </c>
      <c r="K99" s="94">
        <f t="shared" si="25"/>
        <v>0.96676581151405383</v>
      </c>
      <c r="L99" s="95">
        <f t="shared" si="26"/>
        <v>75.053122658619813</v>
      </c>
      <c r="M99" s="95">
        <f t="shared" si="27"/>
        <v>66.628403365640608</v>
      </c>
      <c r="N99" s="95">
        <f t="shared" si="28"/>
        <v>34.167579337943124</v>
      </c>
      <c r="O99" s="95">
        <f t="shared" si="29"/>
        <v>125.05981996211403</v>
      </c>
      <c r="P99" s="96">
        <f t="shared" si="30"/>
        <v>82.329906756669885</v>
      </c>
    </row>
    <row r="100" spans="1:16">
      <c r="A100" s="88" t="str">
        <f t="shared" si="17"/>
        <v>Sakhir</v>
      </c>
      <c r="B100" s="89">
        <f t="shared" si="16"/>
        <v>75.053122658619813</v>
      </c>
      <c r="C100" s="90">
        <f t="shared" si="20"/>
        <v>0</v>
      </c>
      <c r="D100" s="90">
        <f t="shared" si="21"/>
        <v>62</v>
      </c>
      <c r="E100" s="90">
        <f t="shared" si="22"/>
        <v>3</v>
      </c>
      <c r="F100" s="91">
        <f t="shared" si="18"/>
        <v>97</v>
      </c>
      <c r="G100" s="92">
        <f t="shared" si="23"/>
        <v>0.1847141723146272</v>
      </c>
      <c r="H100" s="91" t="s">
        <v>12</v>
      </c>
      <c r="I100" s="92">
        <f t="shared" si="24"/>
        <v>1</v>
      </c>
      <c r="J100" s="93">
        <f t="shared" si="19"/>
        <v>17</v>
      </c>
      <c r="K100" s="94">
        <f t="shared" si="25"/>
        <v>0.96676581151405383</v>
      </c>
      <c r="L100" s="95">
        <f t="shared" si="26"/>
        <v>75.053122658619813</v>
      </c>
      <c r="M100" s="95">
        <f t="shared" si="27"/>
        <v>66.628403365640608</v>
      </c>
      <c r="N100" s="95">
        <f t="shared" si="28"/>
        <v>34.352293510257752</v>
      </c>
      <c r="O100" s="95">
        <f t="shared" si="29"/>
        <v>125.05981996211403</v>
      </c>
      <c r="P100" s="96">
        <f t="shared" si="30"/>
        <v>82.09890354532871</v>
      </c>
    </row>
    <row r="101" spans="1:16">
      <c r="A101" s="88" t="str">
        <f t="shared" si="17"/>
        <v>Sakhir</v>
      </c>
      <c r="B101" s="89">
        <f t="shared" si="16"/>
        <v>75.053122658619813</v>
      </c>
      <c r="C101" s="90">
        <f t="shared" si="20"/>
        <v>0</v>
      </c>
      <c r="D101" s="90">
        <f t="shared" si="21"/>
        <v>62</v>
      </c>
      <c r="E101" s="90">
        <f t="shared" si="22"/>
        <v>3</v>
      </c>
      <c r="F101" s="91">
        <f t="shared" si="18"/>
        <v>98</v>
      </c>
      <c r="G101" s="92">
        <f t="shared" si="23"/>
        <v>0.1847141723146272</v>
      </c>
      <c r="H101" s="91" t="s">
        <v>12</v>
      </c>
      <c r="I101" s="92">
        <f t="shared" si="24"/>
        <v>1</v>
      </c>
      <c r="J101" s="93">
        <f t="shared" si="19"/>
        <v>17</v>
      </c>
      <c r="K101" s="94">
        <f t="shared" si="25"/>
        <v>0.96676581151405383</v>
      </c>
      <c r="L101" s="95">
        <f t="shared" si="26"/>
        <v>75.053122658619813</v>
      </c>
      <c r="M101" s="95">
        <f t="shared" si="27"/>
        <v>66.628403365640608</v>
      </c>
      <c r="N101" s="95">
        <f t="shared" si="28"/>
        <v>34.53700768257238</v>
      </c>
      <c r="O101" s="95">
        <f t="shared" si="29"/>
        <v>125.05981996211403</v>
      </c>
      <c r="P101" s="96">
        <f t="shared" si="30"/>
        <v>81.867900333987535</v>
      </c>
    </row>
    <row r="102" spans="1:16">
      <c r="A102" s="88" t="str">
        <f t="shared" si="17"/>
        <v>Sakhir</v>
      </c>
      <c r="B102" s="89">
        <f t="shared" si="16"/>
        <v>75.053122658619813</v>
      </c>
      <c r="C102" s="90">
        <f t="shared" si="20"/>
        <v>0</v>
      </c>
      <c r="D102" s="90">
        <f t="shared" si="21"/>
        <v>62</v>
      </c>
      <c r="E102" s="90">
        <f t="shared" si="22"/>
        <v>3</v>
      </c>
      <c r="F102" s="91">
        <f t="shared" si="18"/>
        <v>99</v>
      </c>
      <c r="G102" s="92">
        <f t="shared" si="23"/>
        <v>0.1847141723146272</v>
      </c>
      <c r="H102" s="91" t="s">
        <v>12</v>
      </c>
      <c r="I102" s="92">
        <f t="shared" si="24"/>
        <v>1</v>
      </c>
      <c r="J102" s="93">
        <f t="shared" si="19"/>
        <v>17</v>
      </c>
      <c r="K102" s="94">
        <f t="shared" si="25"/>
        <v>0.96676581151405383</v>
      </c>
      <c r="L102" s="95">
        <f t="shared" si="26"/>
        <v>75.053122658619813</v>
      </c>
      <c r="M102" s="95">
        <f t="shared" si="27"/>
        <v>66.628403365640608</v>
      </c>
      <c r="N102" s="95">
        <f t="shared" si="28"/>
        <v>34.721721854887008</v>
      </c>
      <c r="O102" s="95">
        <f t="shared" si="29"/>
        <v>125.05981996211403</v>
      </c>
      <c r="P102" s="96">
        <f t="shared" si="30"/>
        <v>81.636897122646332</v>
      </c>
    </row>
    <row r="103" spans="1:16">
      <c r="A103" s="88" t="str">
        <f t="shared" si="17"/>
        <v>Sakhir</v>
      </c>
      <c r="B103" s="89">
        <f t="shared" si="16"/>
        <v>75.053122658619813</v>
      </c>
      <c r="C103" s="90">
        <f t="shared" si="20"/>
        <v>0</v>
      </c>
      <c r="D103" s="90">
        <f t="shared" si="21"/>
        <v>62</v>
      </c>
      <c r="E103" s="90">
        <f t="shared" si="22"/>
        <v>3</v>
      </c>
      <c r="F103" s="91">
        <f t="shared" si="18"/>
        <v>100</v>
      </c>
      <c r="G103" s="92">
        <f t="shared" si="23"/>
        <v>0.1847141723146272</v>
      </c>
      <c r="H103" s="91" t="s">
        <v>12</v>
      </c>
      <c r="I103" s="92">
        <f t="shared" si="24"/>
        <v>1</v>
      </c>
      <c r="J103" s="93">
        <f t="shared" si="19"/>
        <v>17</v>
      </c>
      <c r="K103" s="94">
        <f t="shared" si="25"/>
        <v>0.96676581151405383</v>
      </c>
      <c r="L103" s="95">
        <f t="shared" si="26"/>
        <v>75.053122658619813</v>
      </c>
      <c r="M103" s="95">
        <f t="shared" si="27"/>
        <v>66.628403365640608</v>
      </c>
      <c r="N103" s="95">
        <f t="shared" si="28"/>
        <v>34.906436027201636</v>
      </c>
      <c r="O103" s="95">
        <f t="shared" si="29"/>
        <v>125.05981996211403</v>
      </c>
      <c r="P103" s="96">
        <f t="shared" si="30"/>
        <v>81.405893911305157</v>
      </c>
    </row>
    <row r="104" spans="1:16">
      <c r="A104" s="88" t="str">
        <f t="shared" si="17"/>
        <v>Sakhir</v>
      </c>
      <c r="B104" s="89">
        <f t="shared" si="16"/>
        <v>75.053122658619813</v>
      </c>
      <c r="C104" s="90">
        <f t="shared" si="20"/>
        <v>0</v>
      </c>
      <c r="D104" s="90">
        <f t="shared" si="21"/>
        <v>62</v>
      </c>
      <c r="E104" s="90">
        <f t="shared" si="22"/>
        <v>3</v>
      </c>
      <c r="F104" s="91">
        <v>0</v>
      </c>
      <c r="G104" s="92">
        <f t="shared" si="23"/>
        <v>0.21057465437781986</v>
      </c>
      <c r="H104" s="91" t="s">
        <v>186</v>
      </c>
      <c r="I104" s="92">
        <f t="shared" si="24"/>
        <v>2</v>
      </c>
      <c r="J104" s="93">
        <f t="shared" si="19"/>
        <v>17</v>
      </c>
      <c r="K104" s="94">
        <f t="shared" si="25"/>
        <v>0.97685616744811155</v>
      </c>
      <c r="L104" s="95">
        <f t="shared" si="26"/>
        <v>75.053122658619813</v>
      </c>
      <c r="M104" s="95">
        <f t="shared" si="27"/>
        <v>123.60650600454584</v>
      </c>
      <c r="N104" s="95">
        <f t="shared" si="28"/>
        <v>16.606554846617897</v>
      </c>
      <c r="O104" s="95">
        <f t="shared" si="29"/>
        <v>167.82366522424587</v>
      </c>
      <c r="P104" s="96">
        <f t="shared" si="30"/>
        <v>139.95393621317709</v>
      </c>
    </row>
    <row r="105" spans="1:16">
      <c r="A105" s="88" t="str">
        <f t="shared" si="17"/>
        <v>Sakhir</v>
      </c>
      <c r="B105" s="89">
        <f t="shared" si="16"/>
        <v>75.053122658619813</v>
      </c>
      <c r="C105" s="90">
        <f t="shared" si="20"/>
        <v>0</v>
      </c>
      <c r="D105" s="90">
        <f t="shared" si="21"/>
        <v>62</v>
      </c>
      <c r="E105" s="90">
        <f t="shared" si="22"/>
        <v>3</v>
      </c>
      <c r="F105" s="91">
        <f t="shared" si="18"/>
        <v>1</v>
      </c>
      <c r="G105" s="92">
        <f t="shared" si="23"/>
        <v>0.21057465437781986</v>
      </c>
      <c r="H105" s="91" t="s">
        <v>186</v>
      </c>
      <c r="I105" s="92">
        <f t="shared" si="24"/>
        <v>2</v>
      </c>
      <c r="J105" s="93">
        <f t="shared" si="19"/>
        <v>17</v>
      </c>
      <c r="K105" s="94">
        <f t="shared" si="25"/>
        <v>0.97685616744811155</v>
      </c>
      <c r="L105" s="95">
        <f t="shared" si="26"/>
        <v>75.053122658619813</v>
      </c>
      <c r="M105" s="95">
        <f t="shared" si="27"/>
        <v>123.60650600454584</v>
      </c>
      <c r="N105" s="95">
        <f t="shared" si="28"/>
        <v>16.817129500995716</v>
      </c>
      <c r="O105" s="95">
        <f t="shared" si="29"/>
        <v>167.82366522424587</v>
      </c>
      <c r="P105" s="96">
        <f t="shared" si="30"/>
        <v>139.60054211016694</v>
      </c>
    </row>
    <row r="106" spans="1:16">
      <c r="A106" s="88" t="str">
        <f t="shared" si="17"/>
        <v>Sakhir</v>
      </c>
      <c r="B106" s="89">
        <f t="shared" si="16"/>
        <v>75.053122658619813</v>
      </c>
      <c r="C106" s="90">
        <f t="shared" si="20"/>
        <v>0</v>
      </c>
      <c r="D106" s="90">
        <f t="shared" si="21"/>
        <v>62</v>
      </c>
      <c r="E106" s="90">
        <f t="shared" si="22"/>
        <v>3</v>
      </c>
      <c r="F106" s="91">
        <f t="shared" si="18"/>
        <v>2</v>
      </c>
      <c r="G106" s="92">
        <f t="shared" si="23"/>
        <v>0.21057465437781986</v>
      </c>
      <c r="H106" s="91" t="s">
        <v>186</v>
      </c>
      <c r="I106" s="92">
        <f t="shared" si="24"/>
        <v>2</v>
      </c>
      <c r="J106" s="93">
        <f t="shared" si="19"/>
        <v>17</v>
      </c>
      <c r="K106" s="94">
        <f t="shared" si="25"/>
        <v>0.97685616744811155</v>
      </c>
      <c r="L106" s="95">
        <f t="shared" si="26"/>
        <v>75.053122658619813</v>
      </c>
      <c r="M106" s="95">
        <f t="shared" si="27"/>
        <v>123.60650600454584</v>
      </c>
      <c r="N106" s="95">
        <f t="shared" si="28"/>
        <v>17.027704155373538</v>
      </c>
      <c r="O106" s="95">
        <f t="shared" si="29"/>
        <v>167.82366522424587</v>
      </c>
      <c r="P106" s="96">
        <f t="shared" si="30"/>
        <v>139.2471480071568</v>
      </c>
    </row>
    <row r="107" spans="1:16">
      <c r="A107" s="88" t="str">
        <f t="shared" si="17"/>
        <v>Sakhir</v>
      </c>
      <c r="B107" s="89">
        <f t="shared" si="16"/>
        <v>75.053122658619813</v>
      </c>
      <c r="C107" s="90">
        <f t="shared" si="20"/>
        <v>0</v>
      </c>
      <c r="D107" s="90">
        <f t="shared" si="21"/>
        <v>62</v>
      </c>
      <c r="E107" s="90">
        <f t="shared" si="22"/>
        <v>3</v>
      </c>
      <c r="F107" s="91">
        <f t="shared" si="18"/>
        <v>3</v>
      </c>
      <c r="G107" s="92">
        <f t="shared" si="23"/>
        <v>0.21057465437781986</v>
      </c>
      <c r="H107" s="91" t="s">
        <v>186</v>
      </c>
      <c r="I107" s="92">
        <f t="shared" si="24"/>
        <v>2</v>
      </c>
      <c r="J107" s="93">
        <f t="shared" si="19"/>
        <v>17</v>
      </c>
      <c r="K107" s="94">
        <f t="shared" si="25"/>
        <v>0.97685616744811155</v>
      </c>
      <c r="L107" s="95">
        <f t="shared" si="26"/>
        <v>75.053122658619813</v>
      </c>
      <c r="M107" s="95">
        <f t="shared" si="27"/>
        <v>123.60650600454584</v>
      </c>
      <c r="N107" s="95">
        <f t="shared" si="28"/>
        <v>17.238278809751357</v>
      </c>
      <c r="O107" s="95">
        <f t="shared" si="29"/>
        <v>167.82366522424587</v>
      </c>
      <c r="P107" s="96">
        <f t="shared" si="30"/>
        <v>138.89375390414665</v>
      </c>
    </row>
    <row r="108" spans="1:16">
      <c r="A108" s="88" t="str">
        <f t="shared" si="17"/>
        <v>Sakhir</v>
      </c>
      <c r="B108" s="89">
        <f t="shared" si="16"/>
        <v>75.053122658619813</v>
      </c>
      <c r="C108" s="90">
        <f t="shared" si="20"/>
        <v>0</v>
      </c>
      <c r="D108" s="90">
        <f t="shared" si="21"/>
        <v>62</v>
      </c>
      <c r="E108" s="90">
        <f t="shared" si="22"/>
        <v>3</v>
      </c>
      <c r="F108" s="91">
        <f t="shared" si="18"/>
        <v>4</v>
      </c>
      <c r="G108" s="92">
        <f t="shared" si="23"/>
        <v>0.21057465437781986</v>
      </c>
      <c r="H108" s="91" t="s">
        <v>186</v>
      </c>
      <c r="I108" s="92">
        <f t="shared" si="24"/>
        <v>2</v>
      </c>
      <c r="J108" s="93">
        <f t="shared" si="19"/>
        <v>17</v>
      </c>
      <c r="K108" s="94">
        <f t="shared" si="25"/>
        <v>0.97685616744811155</v>
      </c>
      <c r="L108" s="95">
        <f t="shared" si="26"/>
        <v>75.053122658619813</v>
      </c>
      <c r="M108" s="95">
        <f t="shared" si="27"/>
        <v>123.60650600454584</v>
      </c>
      <c r="N108" s="95">
        <f t="shared" si="28"/>
        <v>17.448853464129176</v>
      </c>
      <c r="O108" s="95">
        <f t="shared" si="29"/>
        <v>167.82366522424587</v>
      </c>
      <c r="P108" s="96">
        <f t="shared" si="30"/>
        <v>138.5403598011365</v>
      </c>
    </row>
    <row r="109" spans="1:16">
      <c r="A109" s="88" t="str">
        <f t="shared" si="17"/>
        <v>Sakhir</v>
      </c>
      <c r="B109" s="89">
        <f t="shared" si="16"/>
        <v>75.053122658619813</v>
      </c>
      <c r="C109" s="90">
        <f t="shared" si="20"/>
        <v>0</v>
      </c>
      <c r="D109" s="90">
        <f t="shared" si="21"/>
        <v>62</v>
      </c>
      <c r="E109" s="90">
        <f t="shared" si="22"/>
        <v>3</v>
      </c>
      <c r="F109" s="91">
        <f t="shared" si="18"/>
        <v>5</v>
      </c>
      <c r="G109" s="92">
        <f t="shared" si="23"/>
        <v>0.21057465437781986</v>
      </c>
      <c r="H109" s="91" t="s">
        <v>186</v>
      </c>
      <c r="I109" s="92">
        <f t="shared" si="24"/>
        <v>2</v>
      </c>
      <c r="J109" s="93">
        <f t="shared" si="19"/>
        <v>17</v>
      </c>
      <c r="K109" s="94">
        <f t="shared" si="25"/>
        <v>0.97685616744811155</v>
      </c>
      <c r="L109" s="95">
        <f t="shared" si="26"/>
        <v>75.053122658619813</v>
      </c>
      <c r="M109" s="95">
        <f t="shared" si="27"/>
        <v>123.60650600454584</v>
      </c>
      <c r="N109" s="95">
        <f t="shared" si="28"/>
        <v>17.659428118506995</v>
      </c>
      <c r="O109" s="95">
        <f t="shared" si="29"/>
        <v>167.82366522424587</v>
      </c>
      <c r="P109" s="96">
        <f t="shared" si="30"/>
        <v>138.18696569812636</v>
      </c>
    </row>
    <row r="110" spans="1:16">
      <c r="A110" s="88" t="str">
        <f t="shared" si="17"/>
        <v>Sakhir</v>
      </c>
      <c r="B110" s="89">
        <f t="shared" si="16"/>
        <v>75.053122658619813</v>
      </c>
      <c r="C110" s="90">
        <f t="shared" si="20"/>
        <v>0</v>
      </c>
      <c r="D110" s="90">
        <f t="shared" si="21"/>
        <v>62</v>
      </c>
      <c r="E110" s="90">
        <f t="shared" si="22"/>
        <v>3</v>
      </c>
      <c r="F110" s="91">
        <f t="shared" si="18"/>
        <v>6</v>
      </c>
      <c r="G110" s="92">
        <f t="shared" si="23"/>
        <v>0.21057465437781986</v>
      </c>
      <c r="H110" s="91" t="s">
        <v>186</v>
      </c>
      <c r="I110" s="92">
        <f t="shared" si="24"/>
        <v>2</v>
      </c>
      <c r="J110" s="93">
        <f t="shared" si="19"/>
        <v>17</v>
      </c>
      <c r="K110" s="94">
        <f t="shared" si="25"/>
        <v>0.97685616744811155</v>
      </c>
      <c r="L110" s="95">
        <f t="shared" si="26"/>
        <v>75.053122658619813</v>
      </c>
      <c r="M110" s="95">
        <f t="shared" si="27"/>
        <v>123.60650600454584</v>
      </c>
      <c r="N110" s="95">
        <f t="shared" si="28"/>
        <v>17.870002772884817</v>
      </c>
      <c r="O110" s="95">
        <f t="shared" si="29"/>
        <v>167.82366522424587</v>
      </c>
      <c r="P110" s="96">
        <f t="shared" si="30"/>
        <v>137.83357159511621</v>
      </c>
    </row>
    <row r="111" spans="1:16">
      <c r="A111" s="88" t="str">
        <f t="shared" si="17"/>
        <v>Sakhir</v>
      </c>
      <c r="B111" s="89">
        <f t="shared" si="16"/>
        <v>75.053122658619813</v>
      </c>
      <c r="C111" s="90">
        <f t="shared" si="20"/>
        <v>0</v>
      </c>
      <c r="D111" s="90">
        <f t="shared" si="21"/>
        <v>62</v>
      </c>
      <c r="E111" s="90">
        <f t="shared" si="22"/>
        <v>3</v>
      </c>
      <c r="F111" s="91">
        <f t="shared" si="18"/>
        <v>7</v>
      </c>
      <c r="G111" s="92">
        <f t="shared" si="23"/>
        <v>0.21057465437781986</v>
      </c>
      <c r="H111" s="91" t="s">
        <v>186</v>
      </c>
      <c r="I111" s="92">
        <f t="shared" si="24"/>
        <v>2</v>
      </c>
      <c r="J111" s="93">
        <f t="shared" si="19"/>
        <v>17</v>
      </c>
      <c r="K111" s="94">
        <f t="shared" si="25"/>
        <v>0.97685616744811155</v>
      </c>
      <c r="L111" s="95">
        <f t="shared" si="26"/>
        <v>75.053122658619813</v>
      </c>
      <c r="M111" s="95">
        <f t="shared" si="27"/>
        <v>123.60650600454584</v>
      </c>
      <c r="N111" s="95">
        <f t="shared" si="28"/>
        <v>18.080577427262636</v>
      </c>
      <c r="O111" s="95">
        <f t="shared" si="29"/>
        <v>167.82366522424587</v>
      </c>
      <c r="P111" s="96">
        <f t="shared" si="30"/>
        <v>137.48017749210607</v>
      </c>
    </row>
    <row r="112" spans="1:16">
      <c r="A112" s="88" t="str">
        <f t="shared" si="17"/>
        <v>Sakhir</v>
      </c>
      <c r="B112" s="89">
        <f t="shared" si="16"/>
        <v>75.053122658619813</v>
      </c>
      <c r="C112" s="90">
        <f t="shared" si="20"/>
        <v>0</v>
      </c>
      <c r="D112" s="90">
        <f t="shared" si="21"/>
        <v>62</v>
      </c>
      <c r="E112" s="90">
        <f t="shared" si="22"/>
        <v>3</v>
      </c>
      <c r="F112" s="91">
        <f t="shared" si="18"/>
        <v>8</v>
      </c>
      <c r="G112" s="92">
        <f t="shared" si="23"/>
        <v>0.21057465437781986</v>
      </c>
      <c r="H112" s="91" t="s">
        <v>186</v>
      </c>
      <c r="I112" s="92">
        <f t="shared" si="24"/>
        <v>2</v>
      </c>
      <c r="J112" s="93">
        <f t="shared" si="19"/>
        <v>17</v>
      </c>
      <c r="K112" s="94">
        <f t="shared" si="25"/>
        <v>0.97685616744811155</v>
      </c>
      <c r="L112" s="95">
        <f t="shared" si="26"/>
        <v>75.053122658619813</v>
      </c>
      <c r="M112" s="95">
        <f t="shared" si="27"/>
        <v>123.60650600454584</v>
      </c>
      <c r="N112" s="95">
        <f t="shared" si="28"/>
        <v>18.291152081640455</v>
      </c>
      <c r="O112" s="95">
        <f t="shared" si="29"/>
        <v>167.82366522424587</v>
      </c>
      <c r="P112" s="96">
        <f t="shared" si="30"/>
        <v>137.12678338909592</v>
      </c>
    </row>
    <row r="113" spans="1:16">
      <c r="A113" s="88" t="str">
        <f t="shared" si="17"/>
        <v>Sakhir</v>
      </c>
      <c r="B113" s="89">
        <f t="shared" si="16"/>
        <v>75.053122658619813</v>
      </c>
      <c r="C113" s="90">
        <f t="shared" si="20"/>
        <v>0</v>
      </c>
      <c r="D113" s="90">
        <f t="shared" si="21"/>
        <v>62</v>
      </c>
      <c r="E113" s="90">
        <f t="shared" si="22"/>
        <v>3</v>
      </c>
      <c r="F113" s="91">
        <f t="shared" si="18"/>
        <v>9</v>
      </c>
      <c r="G113" s="92">
        <f t="shared" si="23"/>
        <v>0.21057465437781986</v>
      </c>
      <c r="H113" s="91" t="s">
        <v>186</v>
      </c>
      <c r="I113" s="92">
        <f t="shared" si="24"/>
        <v>2</v>
      </c>
      <c r="J113" s="93">
        <f t="shared" si="19"/>
        <v>17</v>
      </c>
      <c r="K113" s="94">
        <f t="shared" si="25"/>
        <v>0.97685616744811155</v>
      </c>
      <c r="L113" s="95">
        <f t="shared" si="26"/>
        <v>75.053122658619813</v>
      </c>
      <c r="M113" s="95">
        <f t="shared" si="27"/>
        <v>123.60650600454584</v>
      </c>
      <c r="N113" s="95">
        <f t="shared" si="28"/>
        <v>18.501726736018277</v>
      </c>
      <c r="O113" s="95">
        <f t="shared" si="29"/>
        <v>167.82366522424587</v>
      </c>
      <c r="P113" s="96">
        <f t="shared" si="30"/>
        <v>136.77338928608577</v>
      </c>
    </row>
    <row r="114" spans="1:16">
      <c r="A114" s="88" t="str">
        <f t="shared" si="17"/>
        <v>Sakhir</v>
      </c>
      <c r="B114" s="89">
        <f t="shared" si="16"/>
        <v>75.053122658619813</v>
      </c>
      <c r="C114" s="90">
        <f t="shared" si="20"/>
        <v>0</v>
      </c>
      <c r="D114" s="90">
        <f t="shared" si="21"/>
        <v>62</v>
      </c>
      <c r="E114" s="90">
        <f t="shared" si="22"/>
        <v>3</v>
      </c>
      <c r="F114" s="91">
        <f t="shared" si="18"/>
        <v>10</v>
      </c>
      <c r="G114" s="92">
        <f t="shared" si="23"/>
        <v>0.21057465437781986</v>
      </c>
      <c r="H114" s="91" t="s">
        <v>186</v>
      </c>
      <c r="I114" s="92">
        <f t="shared" si="24"/>
        <v>2</v>
      </c>
      <c r="J114" s="93">
        <f t="shared" si="19"/>
        <v>17</v>
      </c>
      <c r="K114" s="94">
        <f t="shared" si="25"/>
        <v>0.97685616744811155</v>
      </c>
      <c r="L114" s="95">
        <f t="shared" si="26"/>
        <v>75.053122658619813</v>
      </c>
      <c r="M114" s="95">
        <f t="shared" si="27"/>
        <v>123.60650600454584</v>
      </c>
      <c r="N114" s="95">
        <f t="shared" si="28"/>
        <v>18.712301390396096</v>
      </c>
      <c r="O114" s="95">
        <f t="shared" si="29"/>
        <v>167.82366522424587</v>
      </c>
      <c r="P114" s="96">
        <f t="shared" si="30"/>
        <v>136.41999518307563</v>
      </c>
    </row>
    <row r="115" spans="1:16">
      <c r="A115" s="88" t="str">
        <f t="shared" si="17"/>
        <v>Sakhir</v>
      </c>
      <c r="B115" s="89">
        <f t="shared" si="16"/>
        <v>75.053122658619813</v>
      </c>
      <c r="C115" s="90">
        <f t="shared" si="20"/>
        <v>0</v>
      </c>
      <c r="D115" s="90">
        <f t="shared" si="21"/>
        <v>62</v>
      </c>
      <c r="E115" s="90">
        <f t="shared" si="22"/>
        <v>3</v>
      </c>
      <c r="F115" s="91">
        <f t="shared" si="18"/>
        <v>11</v>
      </c>
      <c r="G115" s="92">
        <f t="shared" si="23"/>
        <v>0.21057465437781986</v>
      </c>
      <c r="H115" s="91" t="s">
        <v>186</v>
      </c>
      <c r="I115" s="92">
        <f t="shared" si="24"/>
        <v>2</v>
      </c>
      <c r="J115" s="93">
        <f t="shared" si="19"/>
        <v>17</v>
      </c>
      <c r="K115" s="94">
        <f t="shared" si="25"/>
        <v>0.97685616744811155</v>
      </c>
      <c r="L115" s="95">
        <f t="shared" si="26"/>
        <v>75.053122658619813</v>
      </c>
      <c r="M115" s="95">
        <f t="shared" si="27"/>
        <v>123.60650600454584</v>
      </c>
      <c r="N115" s="95">
        <f t="shared" si="28"/>
        <v>18.922876044773915</v>
      </c>
      <c r="O115" s="95">
        <f t="shared" si="29"/>
        <v>167.82366522424587</v>
      </c>
      <c r="P115" s="96">
        <f t="shared" si="30"/>
        <v>136.06660108006548</v>
      </c>
    </row>
    <row r="116" spans="1:16">
      <c r="A116" s="88" t="str">
        <f t="shared" si="17"/>
        <v>Sakhir</v>
      </c>
      <c r="B116" s="89">
        <f t="shared" si="16"/>
        <v>75.053122658619813</v>
      </c>
      <c r="C116" s="90">
        <f t="shared" si="20"/>
        <v>0</v>
      </c>
      <c r="D116" s="90">
        <f t="shared" si="21"/>
        <v>62</v>
      </c>
      <c r="E116" s="90">
        <f t="shared" si="22"/>
        <v>3</v>
      </c>
      <c r="F116" s="91">
        <f t="shared" si="18"/>
        <v>12</v>
      </c>
      <c r="G116" s="92">
        <f t="shared" si="23"/>
        <v>0.21057465437781986</v>
      </c>
      <c r="H116" s="91" t="s">
        <v>186</v>
      </c>
      <c r="I116" s="92">
        <f t="shared" si="24"/>
        <v>2</v>
      </c>
      <c r="J116" s="93">
        <f t="shared" si="19"/>
        <v>17</v>
      </c>
      <c r="K116" s="94">
        <f t="shared" si="25"/>
        <v>0.97685616744811155</v>
      </c>
      <c r="L116" s="95">
        <f t="shared" si="26"/>
        <v>75.053122658619813</v>
      </c>
      <c r="M116" s="95">
        <f t="shared" si="27"/>
        <v>123.60650600454584</v>
      </c>
      <c r="N116" s="95">
        <f t="shared" si="28"/>
        <v>19.133450699151734</v>
      </c>
      <c r="O116" s="95">
        <f t="shared" si="29"/>
        <v>167.82366522424587</v>
      </c>
      <c r="P116" s="96">
        <f t="shared" si="30"/>
        <v>135.71320697705534</v>
      </c>
    </row>
    <row r="117" spans="1:16">
      <c r="A117" s="88" t="str">
        <f t="shared" si="17"/>
        <v>Sakhir</v>
      </c>
      <c r="B117" s="89">
        <f t="shared" si="16"/>
        <v>75.053122658619813</v>
      </c>
      <c r="C117" s="90">
        <f t="shared" si="20"/>
        <v>0</v>
      </c>
      <c r="D117" s="90">
        <f t="shared" si="21"/>
        <v>62</v>
      </c>
      <c r="E117" s="90">
        <f t="shared" si="22"/>
        <v>3</v>
      </c>
      <c r="F117" s="91">
        <f t="shared" si="18"/>
        <v>13</v>
      </c>
      <c r="G117" s="92">
        <f t="shared" si="23"/>
        <v>0.21057465437781986</v>
      </c>
      <c r="H117" s="91" t="s">
        <v>186</v>
      </c>
      <c r="I117" s="92">
        <f t="shared" si="24"/>
        <v>2</v>
      </c>
      <c r="J117" s="93">
        <f t="shared" si="19"/>
        <v>17</v>
      </c>
      <c r="K117" s="94">
        <f t="shared" si="25"/>
        <v>0.97685616744811155</v>
      </c>
      <c r="L117" s="95">
        <f t="shared" si="26"/>
        <v>75.053122658619813</v>
      </c>
      <c r="M117" s="95">
        <f t="shared" si="27"/>
        <v>123.60650600454584</v>
      </c>
      <c r="N117" s="95">
        <f t="shared" si="28"/>
        <v>19.344025353529556</v>
      </c>
      <c r="O117" s="95">
        <f t="shared" si="29"/>
        <v>167.82366522424587</v>
      </c>
      <c r="P117" s="96">
        <f t="shared" si="30"/>
        <v>135.35981287404519</v>
      </c>
    </row>
    <row r="118" spans="1:16">
      <c r="A118" s="88" t="str">
        <f t="shared" si="17"/>
        <v>Sakhir</v>
      </c>
      <c r="B118" s="89">
        <f t="shared" si="16"/>
        <v>75.053122658619813</v>
      </c>
      <c r="C118" s="90">
        <f t="shared" si="20"/>
        <v>0</v>
      </c>
      <c r="D118" s="90">
        <f t="shared" si="21"/>
        <v>62</v>
      </c>
      <c r="E118" s="90">
        <f t="shared" si="22"/>
        <v>3</v>
      </c>
      <c r="F118" s="91">
        <f t="shared" si="18"/>
        <v>14</v>
      </c>
      <c r="G118" s="92">
        <f t="shared" si="23"/>
        <v>0.21057465437781986</v>
      </c>
      <c r="H118" s="91" t="s">
        <v>186</v>
      </c>
      <c r="I118" s="92">
        <f t="shared" si="24"/>
        <v>2</v>
      </c>
      <c r="J118" s="93">
        <f t="shared" si="19"/>
        <v>17</v>
      </c>
      <c r="K118" s="94">
        <f t="shared" si="25"/>
        <v>0.97685616744811155</v>
      </c>
      <c r="L118" s="95">
        <f t="shared" si="26"/>
        <v>75.053122658619813</v>
      </c>
      <c r="M118" s="95">
        <f t="shared" si="27"/>
        <v>123.60650600454584</v>
      </c>
      <c r="N118" s="95">
        <f t="shared" si="28"/>
        <v>19.554600007907375</v>
      </c>
      <c r="O118" s="95">
        <f t="shared" si="29"/>
        <v>167.82366522424587</v>
      </c>
      <c r="P118" s="96">
        <f t="shared" si="30"/>
        <v>135.00641877103504</v>
      </c>
    </row>
    <row r="119" spans="1:16">
      <c r="A119" s="88" t="str">
        <f t="shared" si="17"/>
        <v>Sakhir</v>
      </c>
      <c r="B119" s="89">
        <f t="shared" si="16"/>
        <v>75.053122658619813</v>
      </c>
      <c r="C119" s="90">
        <f t="shared" si="20"/>
        <v>0</v>
      </c>
      <c r="D119" s="90">
        <f t="shared" si="21"/>
        <v>62</v>
      </c>
      <c r="E119" s="90">
        <f t="shared" si="22"/>
        <v>3</v>
      </c>
      <c r="F119" s="91">
        <f t="shared" si="18"/>
        <v>15</v>
      </c>
      <c r="G119" s="92">
        <f t="shared" si="23"/>
        <v>0.21057465437781986</v>
      </c>
      <c r="H119" s="91" t="s">
        <v>186</v>
      </c>
      <c r="I119" s="92">
        <f t="shared" si="24"/>
        <v>2</v>
      </c>
      <c r="J119" s="93">
        <f t="shared" si="19"/>
        <v>17</v>
      </c>
      <c r="K119" s="94">
        <f t="shared" si="25"/>
        <v>0.97685616744811155</v>
      </c>
      <c r="L119" s="95">
        <f t="shared" si="26"/>
        <v>75.053122658619813</v>
      </c>
      <c r="M119" s="95">
        <f t="shared" si="27"/>
        <v>123.60650600454584</v>
      </c>
      <c r="N119" s="95">
        <f t="shared" si="28"/>
        <v>19.765174662285194</v>
      </c>
      <c r="O119" s="95">
        <f t="shared" si="29"/>
        <v>167.82366522424587</v>
      </c>
      <c r="P119" s="96">
        <f t="shared" si="30"/>
        <v>134.6530246680249</v>
      </c>
    </row>
    <row r="120" spans="1:16">
      <c r="A120" s="88" t="str">
        <f t="shared" si="17"/>
        <v>Sakhir</v>
      </c>
      <c r="B120" s="89">
        <f t="shared" si="16"/>
        <v>75.053122658619813</v>
      </c>
      <c r="C120" s="90">
        <f t="shared" si="20"/>
        <v>0</v>
      </c>
      <c r="D120" s="90">
        <f t="shared" si="21"/>
        <v>62</v>
      </c>
      <c r="E120" s="90">
        <f t="shared" si="22"/>
        <v>3</v>
      </c>
      <c r="F120" s="91">
        <f t="shared" si="18"/>
        <v>16</v>
      </c>
      <c r="G120" s="92">
        <f t="shared" si="23"/>
        <v>0.21057465437781986</v>
      </c>
      <c r="H120" s="91" t="s">
        <v>186</v>
      </c>
      <c r="I120" s="92">
        <f t="shared" si="24"/>
        <v>2</v>
      </c>
      <c r="J120" s="93">
        <f t="shared" si="19"/>
        <v>17</v>
      </c>
      <c r="K120" s="94">
        <f t="shared" si="25"/>
        <v>0.97685616744811155</v>
      </c>
      <c r="L120" s="95">
        <f t="shared" si="26"/>
        <v>75.053122658619813</v>
      </c>
      <c r="M120" s="95">
        <f t="shared" si="27"/>
        <v>123.60650600454584</v>
      </c>
      <c r="N120" s="95">
        <f t="shared" si="28"/>
        <v>19.975749316663013</v>
      </c>
      <c r="O120" s="95">
        <f t="shared" si="29"/>
        <v>167.82366522424587</v>
      </c>
      <c r="P120" s="96">
        <f t="shared" si="30"/>
        <v>134.29963056501475</v>
      </c>
    </row>
    <row r="121" spans="1:16">
      <c r="A121" s="88" t="str">
        <f t="shared" si="17"/>
        <v>Sakhir</v>
      </c>
      <c r="B121" s="89">
        <f t="shared" si="16"/>
        <v>75.053122658619813</v>
      </c>
      <c r="C121" s="90">
        <f t="shared" si="20"/>
        <v>0</v>
      </c>
      <c r="D121" s="90">
        <f t="shared" si="21"/>
        <v>62</v>
      </c>
      <c r="E121" s="90">
        <f t="shared" si="22"/>
        <v>3</v>
      </c>
      <c r="F121" s="91">
        <f t="shared" si="18"/>
        <v>17</v>
      </c>
      <c r="G121" s="92">
        <f t="shared" si="23"/>
        <v>0.21057465437781986</v>
      </c>
      <c r="H121" s="91" t="s">
        <v>186</v>
      </c>
      <c r="I121" s="92">
        <f t="shared" si="24"/>
        <v>2</v>
      </c>
      <c r="J121" s="93">
        <f t="shared" si="19"/>
        <v>17</v>
      </c>
      <c r="K121" s="94">
        <f t="shared" si="25"/>
        <v>0.97685616744811155</v>
      </c>
      <c r="L121" s="95">
        <f t="shared" si="26"/>
        <v>75.053122658619813</v>
      </c>
      <c r="M121" s="95">
        <f t="shared" si="27"/>
        <v>123.60650600454584</v>
      </c>
      <c r="N121" s="95">
        <f t="shared" si="28"/>
        <v>20.186323971040835</v>
      </c>
      <c r="O121" s="95">
        <f t="shared" si="29"/>
        <v>167.82366522424587</v>
      </c>
      <c r="P121" s="96">
        <f t="shared" si="30"/>
        <v>133.94623646200461</v>
      </c>
    </row>
    <row r="122" spans="1:16">
      <c r="A122" s="88" t="str">
        <f t="shared" si="17"/>
        <v>Sakhir</v>
      </c>
      <c r="B122" s="89">
        <f t="shared" si="16"/>
        <v>75.053122658619813</v>
      </c>
      <c r="C122" s="90">
        <f t="shared" si="20"/>
        <v>0</v>
      </c>
      <c r="D122" s="90">
        <f t="shared" si="21"/>
        <v>62</v>
      </c>
      <c r="E122" s="90">
        <f t="shared" si="22"/>
        <v>3</v>
      </c>
      <c r="F122" s="91">
        <f t="shared" si="18"/>
        <v>18</v>
      </c>
      <c r="G122" s="92">
        <f t="shared" si="23"/>
        <v>0.21057465437781986</v>
      </c>
      <c r="H122" s="91" t="s">
        <v>186</v>
      </c>
      <c r="I122" s="92">
        <f t="shared" si="24"/>
        <v>2</v>
      </c>
      <c r="J122" s="93">
        <f t="shared" si="19"/>
        <v>17</v>
      </c>
      <c r="K122" s="94">
        <f t="shared" si="25"/>
        <v>0.97685616744811155</v>
      </c>
      <c r="L122" s="95">
        <f t="shared" si="26"/>
        <v>75.053122658619813</v>
      </c>
      <c r="M122" s="95">
        <f t="shared" si="27"/>
        <v>123.60650600454584</v>
      </c>
      <c r="N122" s="95">
        <f t="shared" si="28"/>
        <v>20.396898625418654</v>
      </c>
      <c r="O122" s="95">
        <f t="shared" si="29"/>
        <v>167.82366522424587</v>
      </c>
      <c r="P122" s="96">
        <f t="shared" si="30"/>
        <v>133.59284235899446</v>
      </c>
    </row>
    <row r="123" spans="1:16">
      <c r="A123" s="88" t="str">
        <f t="shared" si="17"/>
        <v>Sakhir</v>
      </c>
      <c r="B123" s="89">
        <f t="shared" si="16"/>
        <v>75.053122658619813</v>
      </c>
      <c r="C123" s="90">
        <f t="shared" si="20"/>
        <v>0</v>
      </c>
      <c r="D123" s="90">
        <f t="shared" si="21"/>
        <v>62</v>
      </c>
      <c r="E123" s="90">
        <f t="shared" si="22"/>
        <v>3</v>
      </c>
      <c r="F123" s="91">
        <f t="shared" si="18"/>
        <v>19</v>
      </c>
      <c r="G123" s="92">
        <f t="shared" si="23"/>
        <v>0.21057465437781986</v>
      </c>
      <c r="H123" s="91" t="s">
        <v>186</v>
      </c>
      <c r="I123" s="92">
        <f t="shared" si="24"/>
        <v>2</v>
      </c>
      <c r="J123" s="93">
        <f t="shared" si="19"/>
        <v>17</v>
      </c>
      <c r="K123" s="94">
        <f t="shared" si="25"/>
        <v>0.97685616744811155</v>
      </c>
      <c r="L123" s="95">
        <f t="shared" si="26"/>
        <v>75.053122658619813</v>
      </c>
      <c r="M123" s="95">
        <f t="shared" si="27"/>
        <v>123.60650600454584</v>
      </c>
      <c r="N123" s="95">
        <f t="shared" si="28"/>
        <v>20.607473279796473</v>
      </c>
      <c r="O123" s="95">
        <f t="shared" si="29"/>
        <v>167.82366522424587</v>
      </c>
      <c r="P123" s="96">
        <f t="shared" si="30"/>
        <v>133.23944825598431</v>
      </c>
    </row>
    <row r="124" spans="1:16">
      <c r="A124" s="88" t="str">
        <f t="shared" si="17"/>
        <v>Sakhir</v>
      </c>
      <c r="B124" s="89">
        <f t="shared" si="16"/>
        <v>75.053122658619813</v>
      </c>
      <c r="C124" s="90">
        <f t="shared" si="20"/>
        <v>0</v>
      </c>
      <c r="D124" s="90">
        <f t="shared" si="21"/>
        <v>62</v>
      </c>
      <c r="E124" s="90">
        <f t="shared" si="22"/>
        <v>3</v>
      </c>
      <c r="F124" s="91">
        <f t="shared" si="18"/>
        <v>20</v>
      </c>
      <c r="G124" s="92">
        <f t="shared" si="23"/>
        <v>0.21057465437781986</v>
      </c>
      <c r="H124" s="91" t="s">
        <v>186</v>
      </c>
      <c r="I124" s="92">
        <f t="shared" si="24"/>
        <v>2</v>
      </c>
      <c r="J124" s="93">
        <f t="shared" si="19"/>
        <v>17</v>
      </c>
      <c r="K124" s="94">
        <f t="shared" si="25"/>
        <v>0.97685616744811155</v>
      </c>
      <c r="L124" s="95">
        <f t="shared" si="26"/>
        <v>75.053122658619813</v>
      </c>
      <c r="M124" s="95">
        <f t="shared" si="27"/>
        <v>123.60650600454584</v>
      </c>
      <c r="N124" s="95">
        <f t="shared" si="28"/>
        <v>20.818047934174295</v>
      </c>
      <c r="O124" s="95">
        <f t="shared" si="29"/>
        <v>167.82366522424587</v>
      </c>
      <c r="P124" s="96">
        <f t="shared" si="30"/>
        <v>132.88605415297417</v>
      </c>
    </row>
    <row r="125" spans="1:16">
      <c r="A125" s="88" t="str">
        <f t="shared" si="17"/>
        <v>Sakhir</v>
      </c>
      <c r="B125" s="89">
        <f t="shared" si="16"/>
        <v>75.053122658619813</v>
      </c>
      <c r="C125" s="90">
        <f t="shared" si="20"/>
        <v>0</v>
      </c>
      <c r="D125" s="90">
        <f t="shared" si="21"/>
        <v>62</v>
      </c>
      <c r="E125" s="90">
        <f t="shared" si="22"/>
        <v>3</v>
      </c>
      <c r="F125" s="91">
        <f t="shared" si="18"/>
        <v>21</v>
      </c>
      <c r="G125" s="92">
        <f t="shared" si="23"/>
        <v>0.21057465437781986</v>
      </c>
      <c r="H125" s="91" t="s">
        <v>186</v>
      </c>
      <c r="I125" s="92">
        <f t="shared" si="24"/>
        <v>2</v>
      </c>
      <c r="J125" s="93">
        <f t="shared" si="19"/>
        <v>17</v>
      </c>
      <c r="K125" s="94">
        <f t="shared" si="25"/>
        <v>0.97685616744811155</v>
      </c>
      <c r="L125" s="95">
        <f t="shared" si="26"/>
        <v>75.053122658619813</v>
      </c>
      <c r="M125" s="95">
        <f t="shared" si="27"/>
        <v>123.60650600454584</v>
      </c>
      <c r="N125" s="95">
        <f t="shared" si="28"/>
        <v>21.028622588552114</v>
      </c>
      <c r="O125" s="95">
        <f t="shared" si="29"/>
        <v>167.82366522424587</v>
      </c>
      <c r="P125" s="96">
        <f t="shared" si="30"/>
        <v>132.53266004996402</v>
      </c>
    </row>
    <row r="126" spans="1:16">
      <c r="A126" s="88" t="str">
        <f t="shared" si="17"/>
        <v>Sakhir</v>
      </c>
      <c r="B126" s="89">
        <f t="shared" si="16"/>
        <v>75.053122658619813</v>
      </c>
      <c r="C126" s="90">
        <f t="shared" si="20"/>
        <v>0</v>
      </c>
      <c r="D126" s="90">
        <f t="shared" si="21"/>
        <v>62</v>
      </c>
      <c r="E126" s="90">
        <f t="shared" si="22"/>
        <v>3</v>
      </c>
      <c r="F126" s="91">
        <f t="shared" si="18"/>
        <v>22</v>
      </c>
      <c r="G126" s="92">
        <f t="shared" si="23"/>
        <v>0.21057465437781986</v>
      </c>
      <c r="H126" s="91" t="s">
        <v>186</v>
      </c>
      <c r="I126" s="92">
        <f t="shared" si="24"/>
        <v>2</v>
      </c>
      <c r="J126" s="93">
        <f t="shared" si="19"/>
        <v>17</v>
      </c>
      <c r="K126" s="94">
        <f t="shared" si="25"/>
        <v>0.97685616744811155</v>
      </c>
      <c r="L126" s="95">
        <f t="shared" si="26"/>
        <v>75.053122658619813</v>
      </c>
      <c r="M126" s="95">
        <f t="shared" si="27"/>
        <v>123.60650600454584</v>
      </c>
      <c r="N126" s="95">
        <f t="shared" si="28"/>
        <v>21.239197242929933</v>
      </c>
      <c r="O126" s="95">
        <f t="shared" si="29"/>
        <v>167.82366522424587</v>
      </c>
      <c r="P126" s="96">
        <f t="shared" si="30"/>
        <v>132.17926594695388</v>
      </c>
    </row>
    <row r="127" spans="1:16">
      <c r="A127" s="88" t="str">
        <f t="shared" si="17"/>
        <v>Sakhir</v>
      </c>
      <c r="B127" s="89">
        <f t="shared" si="16"/>
        <v>75.053122658619813</v>
      </c>
      <c r="C127" s="90">
        <f t="shared" si="20"/>
        <v>0</v>
      </c>
      <c r="D127" s="90">
        <f t="shared" si="21"/>
        <v>62</v>
      </c>
      <c r="E127" s="90">
        <f t="shared" si="22"/>
        <v>3</v>
      </c>
      <c r="F127" s="91">
        <f t="shared" si="18"/>
        <v>23</v>
      </c>
      <c r="G127" s="92">
        <f t="shared" si="23"/>
        <v>0.21057465437781986</v>
      </c>
      <c r="H127" s="91" t="s">
        <v>186</v>
      </c>
      <c r="I127" s="92">
        <f t="shared" si="24"/>
        <v>2</v>
      </c>
      <c r="J127" s="93">
        <f t="shared" si="19"/>
        <v>17</v>
      </c>
      <c r="K127" s="94">
        <f t="shared" si="25"/>
        <v>0.97685616744811155</v>
      </c>
      <c r="L127" s="95">
        <f t="shared" si="26"/>
        <v>75.053122658619813</v>
      </c>
      <c r="M127" s="95">
        <f t="shared" si="27"/>
        <v>123.60650600454584</v>
      </c>
      <c r="N127" s="95">
        <f t="shared" si="28"/>
        <v>21.449771897307755</v>
      </c>
      <c r="O127" s="95">
        <f t="shared" si="29"/>
        <v>167.82366522424587</v>
      </c>
      <c r="P127" s="96">
        <f t="shared" si="30"/>
        <v>131.82587184394373</v>
      </c>
    </row>
    <row r="128" spans="1:16">
      <c r="A128" s="88" t="str">
        <f t="shared" si="17"/>
        <v>Sakhir</v>
      </c>
      <c r="B128" s="89">
        <f t="shared" si="16"/>
        <v>75.053122658619813</v>
      </c>
      <c r="C128" s="90">
        <f t="shared" si="20"/>
        <v>0</v>
      </c>
      <c r="D128" s="90">
        <f t="shared" si="21"/>
        <v>62</v>
      </c>
      <c r="E128" s="90">
        <f t="shared" si="22"/>
        <v>3</v>
      </c>
      <c r="F128" s="91">
        <f t="shared" si="18"/>
        <v>24</v>
      </c>
      <c r="G128" s="92">
        <f t="shared" si="23"/>
        <v>0.21057465437781986</v>
      </c>
      <c r="H128" s="91" t="s">
        <v>186</v>
      </c>
      <c r="I128" s="92">
        <f t="shared" si="24"/>
        <v>2</v>
      </c>
      <c r="J128" s="93">
        <f t="shared" si="19"/>
        <v>17</v>
      </c>
      <c r="K128" s="94">
        <f t="shared" si="25"/>
        <v>0.97685616744811155</v>
      </c>
      <c r="L128" s="95">
        <f t="shared" si="26"/>
        <v>75.053122658619813</v>
      </c>
      <c r="M128" s="95">
        <f t="shared" si="27"/>
        <v>123.60650600454584</v>
      </c>
      <c r="N128" s="95">
        <f t="shared" si="28"/>
        <v>21.660346551685574</v>
      </c>
      <c r="O128" s="95">
        <f t="shared" si="29"/>
        <v>167.82366522424587</v>
      </c>
      <c r="P128" s="96">
        <f t="shared" si="30"/>
        <v>131.47247774093358</v>
      </c>
    </row>
    <row r="129" spans="1:16">
      <c r="A129" s="88" t="str">
        <f t="shared" si="17"/>
        <v>Sakhir</v>
      </c>
      <c r="B129" s="89">
        <f t="shared" si="16"/>
        <v>75.053122658619813</v>
      </c>
      <c r="C129" s="90">
        <f t="shared" si="20"/>
        <v>0</v>
      </c>
      <c r="D129" s="90">
        <f t="shared" si="21"/>
        <v>62</v>
      </c>
      <c r="E129" s="90">
        <f t="shared" si="22"/>
        <v>3</v>
      </c>
      <c r="F129" s="91">
        <f t="shared" si="18"/>
        <v>25</v>
      </c>
      <c r="G129" s="92">
        <f t="shared" si="23"/>
        <v>0.21057465437781986</v>
      </c>
      <c r="H129" s="91" t="s">
        <v>186</v>
      </c>
      <c r="I129" s="92">
        <f t="shared" si="24"/>
        <v>2</v>
      </c>
      <c r="J129" s="93">
        <f t="shared" si="19"/>
        <v>17</v>
      </c>
      <c r="K129" s="94">
        <f t="shared" si="25"/>
        <v>0.97685616744811155</v>
      </c>
      <c r="L129" s="95">
        <f t="shared" si="26"/>
        <v>75.053122658619813</v>
      </c>
      <c r="M129" s="95">
        <f t="shared" si="27"/>
        <v>123.60650600454584</v>
      </c>
      <c r="N129" s="95">
        <f t="shared" si="28"/>
        <v>21.870921206063393</v>
      </c>
      <c r="O129" s="95">
        <f t="shared" si="29"/>
        <v>167.82366522424587</v>
      </c>
      <c r="P129" s="96">
        <f t="shared" si="30"/>
        <v>131.11908363792344</v>
      </c>
    </row>
    <row r="130" spans="1:16">
      <c r="A130" s="88" t="str">
        <f t="shared" si="17"/>
        <v>Sakhir</v>
      </c>
      <c r="B130" s="89">
        <f t="shared" si="16"/>
        <v>75.053122658619813</v>
      </c>
      <c r="C130" s="90">
        <f t="shared" si="20"/>
        <v>0</v>
      </c>
      <c r="D130" s="90">
        <f t="shared" si="21"/>
        <v>62</v>
      </c>
      <c r="E130" s="90">
        <f t="shared" si="22"/>
        <v>3</v>
      </c>
      <c r="F130" s="91">
        <f t="shared" si="18"/>
        <v>26</v>
      </c>
      <c r="G130" s="92">
        <f t="shared" si="23"/>
        <v>0.21057465437781986</v>
      </c>
      <c r="H130" s="91" t="s">
        <v>186</v>
      </c>
      <c r="I130" s="92">
        <f t="shared" si="24"/>
        <v>2</v>
      </c>
      <c r="J130" s="93">
        <f t="shared" si="19"/>
        <v>17</v>
      </c>
      <c r="K130" s="94">
        <f t="shared" si="25"/>
        <v>0.97685616744811155</v>
      </c>
      <c r="L130" s="95">
        <f t="shared" si="26"/>
        <v>75.053122658619813</v>
      </c>
      <c r="M130" s="95">
        <f t="shared" si="27"/>
        <v>123.60650600454584</v>
      </c>
      <c r="N130" s="95">
        <f t="shared" si="28"/>
        <v>22.081495860441212</v>
      </c>
      <c r="O130" s="95">
        <f t="shared" si="29"/>
        <v>167.82366522424587</v>
      </c>
      <c r="P130" s="96">
        <f t="shared" si="30"/>
        <v>130.76568953491329</v>
      </c>
    </row>
    <row r="131" spans="1:16">
      <c r="A131" s="88" t="str">
        <f t="shared" si="17"/>
        <v>Sakhir</v>
      </c>
      <c r="B131" s="89">
        <f t="shared" ref="B131:B194" si="31">VLOOKUP(A131,$R$3:$S$60,2,0)</f>
        <v>75.053122658619813</v>
      </c>
      <c r="C131" s="90">
        <f t="shared" si="20"/>
        <v>0</v>
      </c>
      <c r="D131" s="90">
        <f t="shared" si="21"/>
        <v>62</v>
      </c>
      <c r="E131" s="90">
        <f t="shared" si="22"/>
        <v>3</v>
      </c>
      <c r="F131" s="91">
        <f t="shared" si="18"/>
        <v>27</v>
      </c>
      <c r="G131" s="92">
        <f t="shared" si="23"/>
        <v>0.21057465437781986</v>
      </c>
      <c r="H131" s="91" t="s">
        <v>186</v>
      </c>
      <c r="I131" s="92">
        <f t="shared" si="24"/>
        <v>2</v>
      </c>
      <c r="J131" s="93">
        <f t="shared" si="19"/>
        <v>17</v>
      </c>
      <c r="K131" s="94">
        <f t="shared" si="25"/>
        <v>0.97685616744811155</v>
      </c>
      <c r="L131" s="95">
        <f t="shared" si="26"/>
        <v>75.053122658619813</v>
      </c>
      <c r="M131" s="95">
        <f t="shared" si="27"/>
        <v>123.60650600454584</v>
      </c>
      <c r="N131" s="95">
        <f t="shared" si="28"/>
        <v>22.292070514819031</v>
      </c>
      <c r="O131" s="95">
        <f t="shared" si="29"/>
        <v>167.82366522424587</v>
      </c>
      <c r="P131" s="96">
        <f t="shared" si="30"/>
        <v>130.41229543190315</v>
      </c>
    </row>
    <row r="132" spans="1:16">
      <c r="A132" s="88" t="str">
        <f t="shared" si="17"/>
        <v>Sakhir</v>
      </c>
      <c r="B132" s="89">
        <f t="shared" si="31"/>
        <v>75.053122658619813</v>
      </c>
      <c r="C132" s="90">
        <f t="shared" si="20"/>
        <v>0</v>
      </c>
      <c r="D132" s="90">
        <f t="shared" si="21"/>
        <v>62</v>
      </c>
      <c r="E132" s="90">
        <f t="shared" si="22"/>
        <v>3</v>
      </c>
      <c r="F132" s="91">
        <f t="shared" si="18"/>
        <v>28</v>
      </c>
      <c r="G132" s="92">
        <f t="shared" si="23"/>
        <v>0.21057465437781986</v>
      </c>
      <c r="H132" s="91" t="s">
        <v>186</v>
      </c>
      <c r="I132" s="92">
        <f t="shared" si="24"/>
        <v>2</v>
      </c>
      <c r="J132" s="93">
        <f t="shared" si="19"/>
        <v>17</v>
      </c>
      <c r="K132" s="94">
        <f t="shared" si="25"/>
        <v>0.97685616744811155</v>
      </c>
      <c r="L132" s="95">
        <f t="shared" si="26"/>
        <v>75.053122658619813</v>
      </c>
      <c r="M132" s="95">
        <f t="shared" si="27"/>
        <v>123.60650600454584</v>
      </c>
      <c r="N132" s="95">
        <f t="shared" si="28"/>
        <v>22.502645169196853</v>
      </c>
      <c r="O132" s="95">
        <f t="shared" si="29"/>
        <v>167.82366522424587</v>
      </c>
      <c r="P132" s="96">
        <f t="shared" si="30"/>
        <v>130.058901328893</v>
      </c>
    </row>
    <row r="133" spans="1:16">
      <c r="A133" s="88" t="str">
        <f t="shared" ref="A133:A196" si="32">A132</f>
        <v>Sakhir</v>
      </c>
      <c r="B133" s="89">
        <f t="shared" si="31"/>
        <v>75.053122658619813</v>
      </c>
      <c r="C133" s="90">
        <f t="shared" si="20"/>
        <v>0</v>
      </c>
      <c r="D133" s="90">
        <f t="shared" si="21"/>
        <v>62</v>
      </c>
      <c r="E133" s="90">
        <f t="shared" si="22"/>
        <v>3</v>
      </c>
      <c r="F133" s="91">
        <f t="shared" ref="F133:F196" si="33">F132+1</f>
        <v>29</v>
      </c>
      <c r="G133" s="92">
        <f t="shared" si="23"/>
        <v>0.21057465437781986</v>
      </c>
      <c r="H133" s="91" t="s">
        <v>186</v>
      </c>
      <c r="I133" s="92">
        <f t="shared" si="24"/>
        <v>2</v>
      </c>
      <c r="J133" s="93">
        <f t="shared" ref="J133:J196" si="34">J132</f>
        <v>17</v>
      </c>
      <c r="K133" s="94">
        <f t="shared" si="25"/>
        <v>0.97685616744811155</v>
      </c>
      <c r="L133" s="95">
        <f t="shared" si="26"/>
        <v>75.053122658619813</v>
      </c>
      <c r="M133" s="95">
        <f t="shared" si="27"/>
        <v>123.60650600454584</v>
      </c>
      <c r="N133" s="95">
        <f t="shared" si="28"/>
        <v>22.713219823574672</v>
      </c>
      <c r="O133" s="95">
        <f t="shared" si="29"/>
        <v>167.82366522424587</v>
      </c>
      <c r="P133" s="96">
        <f t="shared" si="30"/>
        <v>129.70550722588285</v>
      </c>
    </row>
    <row r="134" spans="1:16">
      <c r="A134" s="88" t="str">
        <f t="shared" si="32"/>
        <v>Sakhir</v>
      </c>
      <c r="B134" s="89">
        <f t="shared" si="31"/>
        <v>75.053122658619813</v>
      </c>
      <c r="C134" s="90">
        <f t="shared" si="20"/>
        <v>0</v>
      </c>
      <c r="D134" s="90">
        <f t="shared" si="21"/>
        <v>62</v>
      </c>
      <c r="E134" s="90">
        <f t="shared" si="22"/>
        <v>3</v>
      </c>
      <c r="F134" s="91">
        <f t="shared" si="33"/>
        <v>30</v>
      </c>
      <c r="G134" s="92">
        <f t="shared" si="23"/>
        <v>0.21057465437781986</v>
      </c>
      <c r="H134" s="91" t="s">
        <v>186</v>
      </c>
      <c r="I134" s="92">
        <f t="shared" si="24"/>
        <v>2</v>
      </c>
      <c r="J134" s="93">
        <f t="shared" si="34"/>
        <v>17</v>
      </c>
      <c r="K134" s="94">
        <f t="shared" si="25"/>
        <v>0.97685616744811155</v>
      </c>
      <c r="L134" s="95">
        <f t="shared" si="26"/>
        <v>75.053122658619813</v>
      </c>
      <c r="M134" s="95">
        <f t="shared" si="27"/>
        <v>123.60650600454584</v>
      </c>
      <c r="N134" s="95">
        <f t="shared" si="28"/>
        <v>22.923794477952491</v>
      </c>
      <c r="O134" s="95">
        <f t="shared" si="29"/>
        <v>167.82366522424587</v>
      </c>
      <c r="P134" s="96">
        <f t="shared" si="30"/>
        <v>129.35211312287271</v>
      </c>
    </row>
    <row r="135" spans="1:16">
      <c r="A135" s="88" t="str">
        <f t="shared" si="32"/>
        <v>Sakhir</v>
      </c>
      <c r="B135" s="89">
        <f t="shared" si="31"/>
        <v>75.053122658619813</v>
      </c>
      <c r="C135" s="90">
        <f t="shared" ref="C135:C198" si="35">C134</f>
        <v>0</v>
      </c>
      <c r="D135" s="90">
        <f t="shared" ref="D135:D198" si="36">D134</f>
        <v>62</v>
      </c>
      <c r="E135" s="90">
        <f t="shared" ref="E135:E198" si="37">E134</f>
        <v>3</v>
      </c>
      <c r="F135" s="91">
        <f t="shared" si="33"/>
        <v>31</v>
      </c>
      <c r="G135" s="92">
        <f t="shared" ref="G135:G198" si="38">VLOOKUP(H135,$U$5:$X$8,3,0)</f>
        <v>0.21057465437781986</v>
      </c>
      <c r="H135" s="91" t="s">
        <v>186</v>
      </c>
      <c r="I135" s="92">
        <f t="shared" ref="I135:I198" si="39">VLOOKUP(H135,$U$5:$V$8,2,0)</f>
        <v>2</v>
      </c>
      <c r="J135" s="93">
        <f t="shared" si="34"/>
        <v>17</v>
      </c>
      <c r="K135" s="94">
        <f t="shared" ref="K135:K198" si="40">VLOOKUP(H135,$U$5:$X$8,4,0)</f>
        <v>0.97685616744811155</v>
      </c>
      <c r="L135" s="95">
        <f t="shared" ref="L135:L198" si="41">B135</f>
        <v>75.053122658619813</v>
      </c>
      <c r="M135" s="95">
        <f t="shared" ref="M135:M198" si="42">C135*$V$10+$V$11*D135+E135*$V$12+I135*$V$13</f>
        <v>123.60650600454584</v>
      </c>
      <c r="N135" s="95">
        <f t="shared" ref="N135:N198" si="43">G135*F135+J135*K135</f>
        <v>23.134369132330313</v>
      </c>
      <c r="O135" s="95">
        <f t="shared" ref="O135:O198" si="44">L135+((L135*M135)/100)</f>
        <v>167.82366522424587</v>
      </c>
      <c r="P135" s="96">
        <f t="shared" ref="P135:P198" si="45">O135-((O135*N135)/100)</f>
        <v>128.99871901986256</v>
      </c>
    </row>
    <row r="136" spans="1:16">
      <c r="A136" s="88" t="str">
        <f t="shared" si="32"/>
        <v>Sakhir</v>
      </c>
      <c r="B136" s="89">
        <f t="shared" si="31"/>
        <v>75.053122658619813</v>
      </c>
      <c r="C136" s="90">
        <f t="shared" si="35"/>
        <v>0</v>
      </c>
      <c r="D136" s="90">
        <f t="shared" si="36"/>
        <v>62</v>
      </c>
      <c r="E136" s="90">
        <f t="shared" si="37"/>
        <v>3</v>
      </c>
      <c r="F136" s="91">
        <f t="shared" si="33"/>
        <v>32</v>
      </c>
      <c r="G136" s="92">
        <f t="shared" si="38"/>
        <v>0.21057465437781986</v>
      </c>
      <c r="H136" s="91" t="s">
        <v>186</v>
      </c>
      <c r="I136" s="92">
        <f t="shared" si="39"/>
        <v>2</v>
      </c>
      <c r="J136" s="93">
        <f t="shared" si="34"/>
        <v>17</v>
      </c>
      <c r="K136" s="94">
        <f t="shared" si="40"/>
        <v>0.97685616744811155</v>
      </c>
      <c r="L136" s="95">
        <f t="shared" si="41"/>
        <v>75.053122658619813</v>
      </c>
      <c r="M136" s="95">
        <f t="shared" si="42"/>
        <v>123.60650600454584</v>
      </c>
      <c r="N136" s="95">
        <f t="shared" si="43"/>
        <v>23.344943786708132</v>
      </c>
      <c r="O136" s="95">
        <f t="shared" si="44"/>
        <v>167.82366522424587</v>
      </c>
      <c r="P136" s="96">
        <f t="shared" si="45"/>
        <v>128.64532491685242</v>
      </c>
    </row>
    <row r="137" spans="1:16">
      <c r="A137" s="88" t="str">
        <f t="shared" si="32"/>
        <v>Sakhir</v>
      </c>
      <c r="B137" s="89">
        <f t="shared" si="31"/>
        <v>75.053122658619813</v>
      </c>
      <c r="C137" s="90">
        <f t="shared" si="35"/>
        <v>0</v>
      </c>
      <c r="D137" s="90">
        <f t="shared" si="36"/>
        <v>62</v>
      </c>
      <c r="E137" s="90">
        <f t="shared" si="37"/>
        <v>3</v>
      </c>
      <c r="F137" s="91">
        <f t="shared" si="33"/>
        <v>33</v>
      </c>
      <c r="G137" s="92">
        <f t="shared" si="38"/>
        <v>0.21057465437781986</v>
      </c>
      <c r="H137" s="91" t="s">
        <v>186</v>
      </c>
      <c r="I137" s="92">
        <f t="shared" si="39"/>
        <v>2</v>
      </c>
      <c r="J137" s="93">
        <f t="shared" si="34"/>
        <v>17</v>
      </c>
      <c r="K137" s="94">
        <f t="shared" si="40"/>
        <v>0.97685616744811155</v>
      </c>
      <c r="L137" s="95">
        <f t="shared" si="41"/>
        <v>75.053122658619813</v>
      </c>
      <c r="M137" s="95">
        <f t="shared" si="42"/>
        <v>123.60650600454584</v>
      </c>
      <c r="N137" s="95">
        <f t="shared" si="43"/>
        <v>23.555518441085951</v>
      </c>
      <c r="O137" s="95">
        <f t="shared" si="44"/>
        <v>167.82366522424587</v>
      </c>
      <c r="P137" s="96">
        <f t="shared" si="45"/>
        <v>128.29193081384227</v>
      </c>
    </row>
    <row r="138" spans="1:16">
      <c r="A138" s="88" t="str">
        <f t="shared" si="32"/>
        <v>Sakhir</v>
      </c>
      <c r="B138" s="89">
        <f t="shared" si="31"/>
        <v>75.053122658619813</v>
      </c>
      <c r="C138" s="90">
        <f t="shared" si="35"/>
        <v>0</v>
      </c>
      <c r="D138" s="90">
        <f t="shared" si="36"/>
        <v>62</v>
      </c>
      <c r="E138" s="90">
        <f t="shared" si="37"/>
        <v>3</v>
      </c>
      <c r="F138" s="91">
        <f t="shared" si="33"/>
        <v>34</v>
      </c>
      <c r="G138" s="92">
        <f t="shared" si="38"/>
        <v>0.21057465437781986</v>
      </c>
      <c r="H138" s="91" t="s">
        <v>186</v>
      </c>
      <c r="I138" s="92">
        <f t="shared" si="39"/>
        <v>2</v>
      </c>
      <c r="J138" s="93">
        <f t="shared" si="34"/>
        <v>17</v>
      </c>
      <c r="K138" s="94">
        <f t="shared" si="40"/>
        <v>0.97685616744811155</v>
      </c>
      <c r="L138" s="95">
        <f t="shared" si="41"/>
        <v>75.053122658619813</v>
      </c>
      <c r="M138" s="95">
        <f t="shared" si="42"/>
        <v>123.60650600454584</v>
      </c>
      <c r="N138" s="95">
        <f t="shared" si="43"/>
        <v>23.766093095463773</v>
      </c>
      <c r="O138" s="95">
        <f t="shared" si="44"/>
        <v>167.82366522424587</v>
      </c>
      <c r="P138" s="96">
        <f t="shared" si="45"/>
        <v>127.93853671083212</v>
      </c>
    </row>
    <row r="139" spans="1:16">
      <c r="A139" s="88" t="str">
        <f t="shared" si="32"/>
        <v>Sakhir</v>
      </c>
      <c r="B139" s="89">
        <f t="shared" si="31"/>
        <v>75.053122658619813</v>
      </c>
      <c r="C139" s="90">
        <f t="shared" si="35"/>
        <v>0</v>
      </c>
      <c r="D139" s="90">
        <f t="shared" si="36"/>
        <v>62</v>
      </c>
      <c r="E139" s="90">
        <f t="shared" si="37"/>
        <v>3</v>
      </c>
      <c r="F139" s="91">
        <f t="shared" si="33"/>
        <v>35</v>
      </c>
      <c r="G139" s="92">
        <f t="shared" si="38"/>
        <v>0.21057465437781986</v>
      </c>
      <c r="H139" s="91" t="s">
        <v>186</v>
      </c>
      <c r="I139" s="92">
        <f t="shared" si="39"/>
        <v>2</v>
      </c>
      <c r="J139" s="93">
        <f t="shared" si="34"/>
        <v>17</v>
      </c>
      <c r="K139" s="94">
        <f t="shared" si="40"/>
        <v>0.97685616744811155</v>
      </c>
      <c r="L139" s="95">
        <f t="shared" si="41"/>
        <v>75.053122658619813</v>
      </c>
      <c r="M139" s="95">
        <f t="shared" si="42"/>
        <v>123.60650600454584</v>
      </c>
      <c r="N139" s="95">
        <f t="shared" si="43"/>
        <v>23.976667749841592</v>
      </c>
      <c r="O139" s="95">
        <f t="shared" si="44"/>
        <v>167.82366522424587</v>
      </c>
      <c r="P139" s="96">
        <f t="shared" si="45"/>
        <v>127.58514260782199</v>
      </c>
    </row>
    <row r="140" spans="1:16">
      <c r="A140" s="88" t="str">
        <f t="shared" si="32"/>
        <v>Sakhir</v>
      </c>
      <c r="B140" s="89">
        <f t="shared" si="31"/>
        <v>75.053122658619813</v>
      </c>
      <c r="C140" s="90">
        <f t="shared" si="35"/>
        <v>0</v>
      </c>
      <c r="D140" s="90">
        <f t="shared" si="36"/>
        <v>62</v>
      </c>
      <c r="E140" s="90">
        <f t="shared" si="37"/>
        <v>3</v>
      </c>
      <c r="F140" s="91">
        <f t="shared" si="33"/>
        <v>36</v>
      </c>
      <c r="G140" s="92">
        <f t="shared" si="38"/>
        <v>0.21057465437781986</v>
      </c>
      <c r="H140" s="91" t="s">
        <v>186</v>
      </c>
      <c r="I140" s="92">
        <f t="shared" si="39"/>
        <v>2</v>
      </c>
      <c r="J140" s="93">
        <f t="shared" si="34"/>
        <v>17</v>
      </c>
      <c r="K140" s="94">
        <f t="shared" si="40"/>
        <v>0.97685616744811155</v>
      </c>
      <c r="L140" s="95">
        <f t="shared" si="41"/>
        <v>75.053122658619813</v>
      </c>
      <c r="M140" s="95">
        <f t="shared" si="42"/>
        <v>123.60650600454584</v>
      </c>
      <c r="N140" s="95">
        <f t="shared" si="43"/>
        <v>24.187242404219411</v>
      </c>
      <c r="O140" s="95">
        <f t="shared" si="44"/>
        <v>167.82366522424587</v>
      </c>
      <c r="P140" s="96">
        <f t="shared" si="45"/>
        <v>127.23174850481185</v>
      </c>
    </row>
    <row r="141" spans="1:16">
      <c r="A141" s="88" t="str">
        <f t="shared" si="32"/>
        <v>Sakhir</v>
      </c>
      <c r="B141" s="89">
        <f t="shared" si="31"/>
        <v>75.053122658619813</v>
      </c>
      <c r="C141" s="90">
        <f t="shared" si="35"/>
        <v>0</v>
      </c>
      <c r="D141" s="90">
        <f t="shared" si="36"/>
        <v>62</v>
      </c>
      <c r="E141" s="90">
        <f t="shared" si="37"/>
        <v>3</v>
      </c>
      <c r="F141" s="91">
        <f t="shared" si="33"/>
        <v>37</v>
      </c>
      <c r="G141" s="92">
        <f t="shared" si="38"/>
        <v>0.21057465437781986</v>
      </c>
      <c r="H141" s="91" t="s">
        <v>186</v>
      </c>
      <c r="I141" s="92">
        <f t="shared" si="39"/>
        <v>2</v>
      </c>
      <c r="J141" s="93">
        <f t="shared" si="34"/>
        <v>17</v>
      </c>
      <c r="K141" s="94">
        <f t="shared" si="40"/>
        <v>0.97685616744811155</v>
      </c>
      <c r="L141" s="95">
        <f t="shared" si="41"/>
        <v>75.053122658619813</v>
      </c>
      <c r="M141" s="95">
        <f t="shared" si="42"/>
        <v>123.60650600454584</v>
      </c>
      <c r="N141" s="95">
        <f t="shared" si="43"/>
        <v>24.397817058597234</v>
      </c>
      <c r="O141" s="95">
        <f t="shared" si="44"/>
        <v>167.82366522424587</v>
      </c>
      <c r="P141" s="96">
        <f t="shared" si="45"/>
        <v>126.8783544018017</v>
      </c>
    </row>
    <row r="142" spans="1:16">
      <c r="A142" s="88" t="str">
        <f t="shared" si="32"/>
        <v>Sakhir</v>
      </c>
      <c r="B142" s="89">
        <f t="shared" si="31"/>
        <v>75.053122658619813</v>
      </c>
      <c r="C142" s="90">
        <f t="shared" si="35"/>
        <v>0</v>
      </c>
      <c r="D142" s="90">
        <f t="shared" si="36"/>
        <v>62</v>
      </c>
      <c r="E142" s="90">
        <f t="shared" si="37"/>
        <v>3</v>
      </c>
      <c r="F142" s="91">
        <f t="shared" si="33"/>
        <v>38</v>
      </c>
      <c r="G142" s="92">
        <f t="shared" si="38"/>
        <v>0.21057465437781986</v>
      </c>
      <c r="H142" s="91" t="s">
        <v>186</v>
      </c>
      <c r="I142" s="92">
        <f t="shared" si="39"/>
        <v>2</v>
      </c>
      <c r="J142" s="93">
        <f t="shared" si="34"/>
        <v>17</v>
      </c>
      <c r="K142" s="94">
        <f t="shared" si="40"/>
        <v>0.97685616744811155</v>
      </c>
      <c r="L142" s="95">
        <f t="shared" si="41"/>
        <v>75.053122658619813</v>
      </c>
      <c r="M142" s="95">
        <f t="shared" si="42"/>
        <v>123.60650600454584</v>
      </c>
      <c r="N142" s="95">
        <f t="shared" si="43"/>
        <v>24.608391712975049</v>
      </c>
      <c r="O142" s="95">
        <f t="shared" si="44"/>
        <v>167.82366522424587</v>
      </c>
      <c r="P142" s="96">
        <f t="shared" si="45"/>
        <v>126.52496029879157</v>
      </c>
    </row>
    <row r="143" spans="1:16">
      <c r="A143" s="88" t="str">
        <f t="shared" si="32"/>
        <v>Sakhir</v>
      </c>
      <c r="B143" s="89">
        <f t="shared" si="31"/>
        <v>75.053122658619813</v>
      </c>
      <c r="C143" s="90">
        <f t="shared" si="35"/>
        <v>0</v>
      </c>
      <c r="D143" s="90">
        <f t="shared" si="36"/>
        <v>62</v>
      </c>
      <c r="E143" s="90">
        <f t="shared" si="37"/>
        <v>3</v>
      </c>
      <c r="F143" s="91">
        <f t="shared" si="33"/>
        <v>39</v>
      </c>
      <c r="G143" s="92">
        <f t="shared" si="38"/>
        <v>0.21057465437781986</v>
      </c>
      <c r="H143" s="91" t="s">
        <v>186</v>
      </c>
      <c r="I143" s="92">
        <f t="shared" si="39"/>
        <v>2</v>
      </c>
      <c r="J143" s="93">
        <f t="shared" si="34"/>
        <v>17</v>
      </c>
      <c r="K143" s="94">
        <f t="shared" si="40"/>
        <v>0.97685616744811155</v>
      </c>
      <c r="L143" s="95">
        <f t="shared" si="41"/>
        <v>75.053122658619813</v>
      </c>
      <c r="M143" s="95">
        <f t="shared" si="42"/>
        <v>123.60650600454584</v>
      </c>
      <c r="N143" s="95">
        <f t="shared" si="43"/>
        <v>24.818966367352871</v>
      </c>
      <c r="O143" s="95">
        <f t="shared" si="44"/>
        <v>167.82366522424587</v>
      </c>
      <c r="P143" s="96">
        <f t="shared" si="45"/>
        <v>126.17156619578141</v>
      </c>
    </row>
    <row r="144" spans="1:16">
      <c r="A144" s="88" t="str">
        <f t="shared" si="32"/>
        <v>Sakhir</v>
      </c>
      <c r="B144" s="89">
        <f t="shared" si="31"/>
        <v>75.053122658619813</v>
      </c>
      <c r="C144" s="90">
        <f t="shared" si="35"/>
        <v>0</v>
      </c>
      <c r="D144" s="90">
        <f t="shared" si="36"/>
        <v>62</v>
      </c>
      <c r="E144" s="90">
        <f t="shared" si="37"/>
        <v>3</v>
      </c>
      <c r="F144" s="91">
        <f t="shared" si="33"/>
        <v>40</v>
      </c>
      <c r="G144" s="92">
        <f t="shared" si="38"/>
        <v>0.21057465437781986</v>
      </c>
      <c r="H144" s="91" t="s">
        <v>186</v>
      </c>
      <c r="I144" s="92">
        <f t="shared" si="39"/>
        <v>2</v>
      </c>
      <c r="J144" s="93">
        <f t="shared" si="34"/>
        <v>17</v>
      </c>
      <c r="K144" s="94">
        <f t="shared" si="40"/>
        <v>0.97685616744811155</v>
      </c>
      <c r="L144" s="95">
        <f t="shared" si="41"/>
        <v>75.053122658619813</v>
      </c>
      <c r="M144" s="95">
        <f t="shared" si="42"/>
        <v>123.60650600454584</v>
      </c>
      <c r="N144" s="95">
        <f t="shared" si="43"/>
        <v>25.02954102173069</v>
      </c>
      <c r="O144" s="95">
        <f t="shared" si="44"/>
        <v>167.82366522424587</v>
      </c>
      <c r="P144" s="96">
        <f t="shared" si="45"/>
        <v>125.81817209277128</v>
      </c>
    </row>
    <row r="145" spans="1:16">
      <c r="A145" s="88" t="str">
        <f t="shared" si="32"/>
        <v>Sakhir</v>
      </c>
      <c r="B145" s="89">
        <f t="shared" si="31"/>
        <v>75.053122658619813</v>
      </c>
      <c r="C145" s="90">
        <f t="shared" si="35"/>
        <v>0</v>
      </c>
      <c r="D145" s="90">
        <f t="shared" si="36"/>
        <v>62</v>
      </c>
      <c r="E145" s="90">
        <f t="shared" si="37"/>
        <v>3</v>
      </c>
      <c r="F145" s="91">
        <f t="shared" si="33"/>
        <v>41</v>
      </c>
      <c r="G145" s="92">
        <f t="shared" si="38"/>
        <v>0.21057465437781986</v>
      </c>
      <c r="H145" s="91" t="s">
        <v>186</v>
      </c>
      <c r="I145" s="92">
        <f t="shared" si="39"/>
        <v>2</v>
      </c>
      <c r="J145" s="93">
        <f t="shared" si="34"/>
        <v>17</v>
      </c>
      <c r="K145" s="94">
        <f t="shared" si="40"/>
        <v>0.97685616744811155</v>
      </c>
      <c r="L145" s="95">
        <f t="shared" si="41"/>
        <v>75.053122658619813</v>
      </c>
      <c r="M145" s="95">
        <f t="shared" si="42"/>
        <v>123.60650600454584</v>
      </c>
      <c r="N145" s="95">
        <f t="shared" si="43"/>
        <v>25.240115676108509</v>
      </c>
      <c r="O145" s="95">
        <f t="shared" si="44"/>
        <v>167.82366522424587</v>
      </c>
      <c r="P145" s="96">
        <f t="shared" si="45"/>
        <v>125.46477798976113</v>
      </c>
    </row>
    <row r="146" spans="1:16">
      <c r="A146" s="88" t="str">
        <f t="shared" si="32"/>
        <v>Sakhir</v>
      </c>
      <c r="B146" s="89">
        <f t="shared" si="31"/>
        <v>75.053122658619813</v>
      </c>
      <c r="C146" s="90">
        <f t="shared" si="35"/>
        <v>0</v>
      </c>
      <c r="D146" s="90">
        <f t="shared" si="36"/>
        <v>62</v>
      </c>
      <c r="E146" s="90">
        <f t="shared" si="37"/>
        <v>3</v>
      </c>
      <c r="F146" s="91">
        <f t="shared" si="33"/>
        <v>42</v>
      </c>
      <c r="G146" s="92">
        <f t="shared" si="38"/>
        <v>0.21057465437781986</v>
      </c>
      <c r="H146" s="91" t="s">
        <v>186</v>
      </c>
      <c r="I146" s="92">
        <f t="shared" si="39"/>
        <v>2</v>
      </c>
      <c r="J146" s="93">
        <f t="shared" si="34"/>
        <v>17</v>
      </c>
      <c r="K146" s="94">
        <f t="shared" si="40"/>
        <v>0.97685616744811155</v>
      </c>
      <c r="L146" s="95">
        <f t="shared" si="41"/>
        <v>75.053122658619813</v>
      </c>
      <c r="M146" s="95">
        <f t="shared" si="42"/>
        <v>123.60650600454584</v>
      </c>
      <c r="N146" s="95">
        <f t="shared" si="43"/>
        <v>25.450690330486331</v>
      </c>
      <c r="O146" s="95">
        <f t="shared" si="44"/>
        <v>167.82366522424587</v>
      </c>
      <c r="P146" s="96">
        <f t="shared" si="45"/>
        <v>125.11138388675099</v>
      </c>
    </row>
    <row r="147" spans="1:16">
      <c r="A147" s="88" t="str">
        <f t="shared" si="32"/>
        <v>Sakhir</v>
      </c>
      <c r="B147" s="89">
        <f t="shared" si="31"/>
        <v>75.053122658619813</v>
      </c>
      <c r="C147" s="90">
        <f t="shared" si="35"/>
        <v>0</v>
      </c>
      <c r="D147" s="90">
        <f t="shared" si="36"/>
        <v>62</v>
      </c>
      <c r="E147" s="90">
        <f t="shared" si="37"/>
        <v>3</v>
      </c>
      <c r="F147" s="91">
        <f t="shared" si="33"/>
        <v>43</v>
      </c>
      <c r="G147" s="92">
        <f t="shared" si="38"/>
        <v>0.21057465437781986</v>
      </c>
      <c r="H147" s="91" t="s">
        <v>186</v>
      </c>
      <c r="I147" s="92">
        <f t="shared" si="39"/>
        <v>2</v>
      </c>
      <c r="J147" s="93">
        <f t="shared" si="34"/>
        <v>17</v>
      </c>
      <c r="K147" s="94">
        <f t="shared" si="40"/>
        <v>0.97685616744811155</v>
      </c>
      <c r="L147" s="95">
        <f t="shared" si="41"/>
        <v>75.053122658619813</v>
      </c>
      <c r="M147" s="95">
        <f t="shared" si="42"/>
        <v>123.60650600454584</v>
      </c>
      <c r="N147" s="95">
        <f t="shared" si="43"/>
        <v>25.66126498486415</v>
      </c>
      <c r="O147" s="95">
        <f t="shared" si="44"/>
        <v>167.82366522424587</v>
      </c>
      <c r="P147" s="96">
        <f t="shared" si="45"/>
        <v>124.75798978374084</v>
      </c>
    </row>
    <row r="148" spans="1:16">
      <c r="A148" s="88" t="str">
        <f t="shared" si="32"/>
        <v>Sakhir</v>
      </c>
      <c r="B148" s="89">
        <f t="shared" si="31"/>
        <v>75.053122658619813</v>
      </c>
      <c r="C148" s="90">
        <f t="shared" si="35"/>
        <v>0</v>
      </c>
      <c r="D148" s="90">
        <f t="shared" si="36"/>
        <v>62</v>
      </c>
      <c r="E148" s="90">
        <f t="shared" si="37"/>
        <v>3</v>
      </c>
      <c r="F148" s="91">
        <f t="shared" si="33"/>
        <v>44</v>
      </c>
      <c r="G148" s="92">
        <f t="shared" si="38"/>
        <v>0.21057465437781986</v>
      </c>
      <c r="H148" s="91" t="s">
        <v>186</v>
      </c>
      <c r="I148" s="92">
        <f t="shared" si="39"/>
        <v>2</v>
      </c>
      <c r="J148" s="93">
        <f t="shared" si="34"/>
        <v>17</v>
      </c>
      <c r="K148" s="94">
        <f t="shared" si="40"/>
        <v>0.97685616744811155</v>
      </c>
      <c r="L148" s="95">
        <f t="shared" si="41"/>
        <v>75.053122658619813</v>
      </c>
      <c r="M148" s="95">
        <f t="shared" si="42"/>
        <v>123.60650600454584</v>
      </c>
      <c r="N148" s="95">
        <f t="shared" si="43"/>
        <v>25.871839639241969</v>
      </c>
      <c r="O148" s="95">
        <f t="shared" si="44"/>
        <v>167.82366522424587</v>
      </c>
      <c r="P148" s="96">
        <f t="shared" si="45"/>
        <v>124.40459568073069</v>
      </c>
    </row>
    <row r="149" spans="1:16">
      <c r="A149" s="88" t="str">
        <f t="shared" si="32"/>
        <v>Sakhir</v>
      </c>
      <c r="B149" s="89">
        <f t="shared" si="31"/>
        <v>75.053122658619813</v>
      </c>
      <c r="C149" s="90">
        <f t="shared" si="35"/>
        <v>0</v>
      </c>
      <c r="D149" s="90">
        <f t="shared" si="36"/>
        <v>62</v>
      </c>
      <c r="E149" s="90">
        <f t="shared" si="37"/>
        <v>3</v>
      </c>
      <c r="F149" s="91">
        <f t="shared" si="33"/>
        <v>45</v>
      </c>
      <c r="G149" s="92">
        <f t="shared" si="38"/>
        <v>0.21057465437781986</v>
      </c>
      <c r="H149" s="91" t="s">
        <v>186</v>
      </c>
      <c r="I149" s="92">
        <f t="shared" si="39"/>
        <v>2</v>
      </c>
      <c r="J149" s="93">
        <f t="shared" si="34"/>
        <v>17</v>
      </c>
      <c r="K149" s="94">
        <f t="shared" si="40"/>
        <v>0.97685616744811155</v>
      </c>
      <c r="L149" s="95">
        <f t="shared" si="41"/>
        <v>75.053122658619813</v>
      </c>
      <c r="M149" s="95">
        <f t="shared" si="42"/>
        <v>123.60650600454584</v>
      </c>
      <c r="N149" s="95">
        <f t="shared" si="43"/>
        <v>26.082414293619792</v>
      </c>
      <c r="O149" s="95">
        <f t="shared" si="44"/>
        <v>167.82366522424587</v>
      </c>
      <c r="P149" s="96">
        <f t="shared" si="45"/>
        <v>124.05120157772055</v>
      </c>
    </row>
    <row r="150" spans="1:16">
      <c r="A150" s="88" t="str">
        <f t="shared" si="32"/>
        <v>Sakhir</v>
      </c>
      <c r="B150" s="89">
        <f t="shared" si="31"/>
        <v>75.053122658619813</v>
      </c>
      <c r="C150" s="90">
        <f t="shared" si="35"/>
        <v>0</v>
      </c>
      <c r="D150" s="90">
        <f t="shared" si="36"/>
        <v>62</v>
      </c>
      <c r="E150" s="90">
        <f t="shared" si="37"/>
        <v>3</v>
      </c>
      <c r="F150" s="91">
        <f t="shared" si="33"/>
        <v>46</v>
      </c>
      <c r="G150" s="92">
        <f t="shared" si="38"/>
        <v>0.21057465437781986</v>
      </c>
      <c r="H150" s="91" t="s">
        <v>186</v>
      </c>
      <c r="I150" s="92">
        <f t="shared" si="39"/>
        <v>2</v>
      </c>
      <c r="J150" s="93">
        <f t="shared" si="34"/>
        <v>17</v>
      </c>
      <c r="K150" s="94">
        <f t="shared" si="40"/>
        <v>0.97685616744811155</v>
      </c>
      <c r="L150" s="95">
        <f t="shared" si="41"/>
        <v>75.053122658619813</v>
      </c>
      <c r="M150" s="95">
        <f t="shared" si="42"/>
        <v>123.60650600454584</v>
      </c>
      <c r="N150" s="95">
        <f t="shared" si="43"/>
        <v>26.29298894799761</v>
      </c>
      <c r="O150" s="95">
        <f t="shared" si="44"/>
        <v>167.82366522424587</v>
      </c>
      <c r="P150" s="96">
        <f t="shared" si="45"/>
        <v>123.6978074747104</v>
      </c>
    </row>
    <row r="151" spans="1:16">
      <c r="A151" s="88" t="str">
        <f t="shared" si="32"/>
        <v>Sakhir</v>
      </c>
      <c r="B151" s="89">
        <f t="shared" si="31"/>
        <v>75.053122658619813</v>
      </c>
      <c r="C151" s="90">
        <f t="shared" si="35"/>
        <v>0</v>
      </c>
      <c r="D151" s="90">
        <f t="shared" si="36"/>
        <v>62</v>
      </c>
      <c r="E151" s="90">
        <f t="shared" si="37"/>
        <v>3</v>
      </c>
      <c r="F151" s="91">
        <f t="shared" si="33"/>
        <v>47</v>
      </c>
      <c r="G151" s="92">
        <f t="shared" si="38"/>
        <v>0.21057465437781986</v>
      </c>
      <c r="H151" s="91" t="s">
        <v>186</v>
      </c>
      <c r="I151" s="92">
        <f t="shared" si="39"/>
        <v>2</v>
      </c>
      <c r="J151" s="93">
        <f t="shared" si="34"/>
        <v>17</v>
      </c>
      <c r="K151" s="94">
        <f t="shared" si="40"/>
        <v>0.97685616744811155</v>
      </c>
      <c r="L151" s="95">
        <f t="shared" si="41"/>
        <v>75.053122658619813</v>
      </c>
      <c r="M151" s="95">
        <f t="shared" si="42"/>
        <v>123.60650600454584</v>
      </c>
      <c r="N151" s="95">
        <f t="shared" si="43"/>
        <v>26.503563602375429</v>
      </c>
      <c r="O151" s="95">
        <f t="shared" si="44"/>
        <v>167.82366522424587</v>
      </c>
      <c r="P151" s="96">
        <f t="shared" si="45"/>
        <v>123.34441337170026</v>
      </c>
    </row>
    <row r="152" spans="1:16">
      <c r="A152" s="88" t="str">
        <f t="shared" si="32"/>
        <v>Sakhir</v>
      </c>
      <c r="B152" s="89">
        <f t="shared" si="31"/>
        <v>75.053122658619813</v>
      </c>
      <c r="C152" s="90">
        <f t="shared" si="35"/>
        <v>0</v>
      </c>
      <c r="D152" s="90">
        <f t="shared" si="36"/>
        <v>62</v>
      </c>
      <c r="E152" s="90">
        <f t="shared" si="37"/>
        <v>3</v>
      </c>
      <c r="F152" s="91">
        <f t="shared" si="33"/>
        <v>48</v>
      </c>
      <c r="G152" s="92">
        <f t="shared" si="38"/>
        <v>0.21057465437781986</v>
      </c>
      <c r="H152" s="91" t="s">
        <v>186</v>
      </c>
      <c r="I152" s="92">
        <f t="shared" si="39"/>
        <v>2</v>
      </c>
      <c r="J152" s="93">
        <f t="shared" si="34"/>
        <v>17</v>
      </c>
      <c r="K152" s="94">
        <f t="shared" si="40"/>
        <v>0.97685616744811155</v>
      </c>
      <c r="L152" s="95">
        <f t="shared" si="41"/>
        <v>75.053122658619813</v>
      </c>
      <c r="M152" s="95">
        <f t="shared" si="42"/>
        <v>123.60650600454584</v>
      </c>
      <c r="N152" s="95">
        <f t="shared" si="43"/>
        <v>26.714138256753252</v>
      </c>
      <c r="O152" s="95">
        <f t="shared" si="44"/>
        <v>167.82366522424587</v>
      </c>
      <c r="P152" s="96">
        <f t="shared" si="45"/>
        <v>122.99101926869011</v>
      </c>
    </row>
    <row r="153" spans="1:16">
      <c r="A153" s="88" t="str">
        <f t="shared" si="32"/>
        <v>Sakhir</v>
      </c>
      <c r="B153" s="89">
        <f t="shared" si="31"/>
        <v>75.053122658619813</v>
      </c>
      <c r="C153" s="90">
        <f t="shared" si="35"/>
        <v>0</v>
      </c>
      <c r="D153" s="90">
        <f t="shared" si="36"/>
        <v>62</v>
      </c>
      <c r="E153" s="90">
        <f t="shared" si="37"/>
        <v>3</v>
      </c>
      <c r="F153" s="91">
        <f t="shared" si="33"/>
        <v>49</v>
      </c>
      <c r="G153" s="92">
        <f t="shared" si="38"/>
        <v>0.21057465437781986</v>
      </c>
      <c r="H153" s="91" t="s">
        <v>186</v>
      </c>
      <c r="I153" s="92">
        <f t="shared" si="39"/>
        <v>2</v>
      </c>
      <c r="J153" s="93">
        <f t="shared" si="34"/>
        <v>17</v>
      </c>
      <c r="K153" s="94">
        <f t="shared" si="40"/>
        <v>0.97685616744811155</v>
      </c>
      <c r="L153" s="95">
        <f t="shared" si="41"/>
        <v>75.053122658619813</v>
      </c>
      <c r="M153" s="95">
        <f t="shared" si="42"/>
        <v>123.60650600454584</v>
      </c>
      <c r="N153" s="95">
        <f t="shared" si="43"/>
        <v>26.924712911131071</v>
      </c>
      <c r="O153" s="95">
        <f t="shared" si="44"/>
        <v>167.82366522424587</v>
      </c>
      <c r="P153" s="96">
        <f t="shared" si="45"/>
        <v>122.63762516567996</v>
      </c>
    </row>
    <row r="154" spans="1:16">
      <c r="A154" s="88" t="str">
        <f t="shared" si="32"/>
        <v>Sakhir</v>
      </c>
      <c r="B154" s="89">
        <f t="shared" si="31"/>
        <v>75.053122658619813</v>
      </c>
      <c r="C154" s="90">
        <f t="shared" si="35"/>
        <v>0</v>
      </c>
      <c r="D154" s="90">
        <f t="shared" si="36"/>
        <v>62</v>
      </c>
      <c r="E154" s="90">
        <f t="shared" si="37"/>
        <v>3</v>
      </c>
      <c r="F154" s="91">
        <f t="shared" si="33"/>
        <v>50</v>
      </c>
      <c r="G154" s="92">
        <f t="shared" si="38"/>
        <v>0.21057465437781986</v>
      </c>
      <c r="H154" s="91" t="s">
        <v>186</v>
      </c>
      <c r="I154" s="92">
        <f t="shared" si="39"/>
        <v>2</v>
      </c>
      <c r="J154" s="93">
        <f t="shared" si="34"/>
        <v>17</v>
      </c>
      <c r="K154" s="94">
        <f t="shared" si="40"/>
        <v>0.97685616744811155</v>
      </c>
      <c r="L154" s="95">
        <f t="shared" si="41"/>
        <v>75.053122658619813</v>
      </c>
      <c r="M154" s="95">
        <f t="shared" si="42"/>
        <v>123.60650600454584</v>
      </c>
      <c r="N154" s="95">
        <f t="shared" si="43"/>
        <v>27.135287565508889</v>
      </c>
      <c r="O154" s="95">
        <f t="shared" si="44"/>
        <v>167.82366522424587</v>
      </c>
      <c r="P154" s="96">
        <f t="shared" si="45"/>
        <v>122.28423106266982</v>
      </c>
    </row>
    <row r="155" spans="1:16">
      <c r="A155" s="88" t="str">
        <f t="shared" si="32"/>
        <v>Sakhir</v>
      </c>
      <c r="B155" s="89">
        <f t="shared" si="31"/>
        <v>75.053122658619813</v>
      </c>
      <c r="C155" s="90">
        <f t="shared" si="35"/>
        <v>0</v>
      </c>
      <c r="D155" s="90">
        <f t="shared" si="36"/>
        <v>62</v>
      </c>
      <c r="E155" s="90">
        <f t="shared" si="37"/>
        <v>3</v>
      </c>
      <c r="F155" s="91">
        <f t="shared" si="33"/>
        <v>51</v>
      </c>
      <c r="G155" s="92">
        <f t="shared" si="38"/>
        <v>0.21057465437781986</v>
      </c>
      <c r="H155" s="91" t="s">
        <v>186</v>
      </c>
      <c r="I155" s="92">
        <f t="shared" si="39"/>
        <v>2</v>
      </c>
      <c r="J155" s="93">
        <f t="shared" si="34"/>
        <v>17</v>
      </c>
      <c r="K155" s="94">
        <f t="shared" si="40"/>
        <v>0.97685616744811155</v>
      </c>
      <c r="L155" s="95">
        <f t="shared" si="41"/>
        <v>75.053122658619813</v>
      </c>
      <c r="M155" s="95">
        <f t="shared" si="42"/>
        <v>123.60650600454584</v>
      </c>
      <c r="N155" s="95">
        <f t="shared" si="43"/>
        <v>27.345862219886712</v>
      </c>
      <c r="O155" s="95">
        <f t="shared" si="44"/>
        <v>167.82366522424587</v>
      </c>
      <c r="P155" s="96">
        <f t="shared" si="45"/>
        <v>121.93083695965967</v>
      </c>
    </row>
    <row r="156" spans="1:16">
      <c r="A156" s="88" t="str">
        <f t="shared" si="32"/>
        <v>Sakhir</v>
      </c>
      <c r="B156" s="89">
        <f t="shared" si="31"/>
        <v>75.053122658619813</v>
      </c>
      <c r="C156" s="90">
        <f t="shared" si="35"/>
        <v>0</v>
      </c>
      <c r="D156" s="90">
        <f t="shared" si="36"/>
        <v>62</v>
      </c>
      <c r="E156" s="90">
        <f t="shared" si="37"/>
        <v>3</v>
      </c>
      <c r="F156" s="91">
        <f t="shared" si="33"/>
        <v>52</v>
      </c>
      <c r="G156" s="92">
        <f t="shared" si="38"/>
        <v>0.21057465437781986</v>
      </c>
      <c r="H156" s="91" t="s">
        <v>186</v>
      </c>
      <c r="I156" s="92">
        <f t="shared" si="39"/>
        <v>2</v>
      </c>
      <c r="J156" s="93">
        <f t="shared" si="34"/>
        <v>17</v>
      </c>
      <c r="K156" s="94">
        <f t="shared" si="40"/>
        <v>0.97685616744811155</v>
      </c>
      <c r="L156" s="95">
        <f t="shared" si="41"/>
        <v>75.053122658619813</v>
      </c>
      <c r="M156" s="95">
        <f t="shared" si="42"/>
        <v>123.60650600454584</v>
      </c>
      <c r="N156" s="95">
        <f t="shared" si="43"/>
        <v>27.556436874264527</v>
      </c>
      <c r="O156" s="95">
        <f t="shared" si="44"/>
        <v>167.82366522424587</v>
      </c>
      <c r="P156" s="96">
        <f t="shared" si="45"/>
        <v>121.57744285664953</v>
      </c>
    </row>
    <row r="157" spans="1:16">
      <c r="A157" s="88" t="str">
        <f t="shared" si="32"/>
        <v>Sakhir</v>
      </c>
      <c r="B157" s="89">
        <f t="shared" si="31"/>
        <v>75.053122658619813</v>
      </c>
      <c r="C157" s="90">
        <f t="shared" si="35"/>
        <v>0</v>
      </c>
      <c r="D157" s="90">
        <f t="shared" si="36"/>
        <v>62</v>
      </c>
      <c r="E157" s="90">
        <f t="shared" si="37"/>
        <v>3</v>
      </c>
      <c r="F157" s="91">
        <f t="shared" si="33"/>
        <v>53</v>
      </c>
      <c r="G157" s="92">
        <f t="shared" si="38"/>
        <v>0.21057465437781986</v>
      </c>
      <c r="H157" s="91" t="s">
        <v>186</v>
      </c>
      <c r="I157" s="92">
        <f t="shared" si="39"/>
        <v>2</v>
      </c>
      <c r="J157" s="93">
        <f t="shared" si="34"/>
        <v>17</v>
      </c>
      <c r="K157" s="94">
        <f t="shared" si="40"/>
        <v>0.97685616744811155</v>
      </c>
      <c r="L157" s="95">
        <f t="shared" si="41"/>
        <v>75.053122658619813</v>
      </c>
      <c r="M157" s="95">
        <f t="shared" si="42"/>
        <v>123.60650600454584</v>
      </c>
      <c r="N157" s="95">
        <f t="shared" si="43"/>
        <v>27.76701152864235</v>
      </c>
      <c r="O157" s="95">
        <f t="shared" si="44"/>
        <v>167.82366522424587</v>
      </c>
      <c r="P157" s="96">
        <f t="shared" si="45"/>
        <v>121.22404875363938</v>
      </c>
    </row>
    <row r="158" spans="1:16">
      <c r="A158" s="88" t="str">
        <f t="shared" si="32"/>
        <v>Sakhir</v>
      </c>
      <c r="B158" s="89">
        <f t="shared" si="31"/>
        <v>75.053122658619813</v>
      </c>
      <c r="C158" s="90">
        <f t="shared" si="35"/>
        <v>0</v>
      </c>
      <c r="D158" s="90">
        <f t="shared" si="36"/>
        <v>62</v>
      </c>
      <c r="E158" s="90">
        <f t="shared" si="37"/>
        <v>3</v>
      </c>
      <c r="F158" s="91">
        <f t="shared" si="33"/>
        <v>54</v>
      </c>
      <c r="G158" s="92">
        <f t="shared" si="38"/>
        <v>0.21057465437781986</v>
      </c>
      <c r="H158" s="91" t="s">
        <v>186</v>
      </c>
      <c r="I158" s="92">
        <f t="shared" si="39"/>
        <v>2</v>
      </c>
      <c r="J158" s="93">
        <f t="shared" si="34"/>
        <v>17</v>
      </c>
      <c r="K158" s="94">
        <f t="shared" si="40"/>
        <v>0.97685616744811155</v>
      </c>
      <c r="L158" s="95">
        <f t="shared" si="41"/>
        <v>75.053122658619813</v>
      </c>
      <c r="M158" s="95">
        <f t="shared" si="42"/>
        <v>123.60650600454584</v>
      </c>
      <c r="N158" s="95">
        <f t="shared" si="43"/>
        <v>27.977586183020168</v>
      </c>
      <c r="O158" s="95">
        <f t="shared" si="44"/>
        <v>167.82366522424587</v>
      </c>
      <c r="P158" s="96">
        <f t="shared" si="45"/>
        <v>120.87065465062923</v>
      </c>
    </row>
    <row r="159" spans="1:16">
      <c r="A159" s="88" t="str">
        <f t="shared" si="32"/>
        <v>Sakhir</v>
      </c>
      <c r="B159" s="89">
        <f t="shared" si="31"/>
        <v>75.053122658619813</v>
      </c>
      <c r="C159" s="90">
        <f t="shared" si="35"/>
        <v>0</v>
      </c>
      <c r="D159" s="90">
        <f t="shared" si="36"/>
        <v>62</v>
      </c>
      <c r="E159" s="90">
        <f t="shared" si="37"/>
        <v>3</v>
      </c>
      <c r="F159" s="91">
        <f t="shared" si="33"/>
        <v>55</v>
      </c>
      <c r="G159" s="92">
        <f t="shared" si="38"/>
        <v>0.21057465437781986</v>
      </c>
      <c r="H159" s="91" t="s">
        <v>186</v>
      </c>
      <c r="I159" s="92">
        <f t="shared" si="39"/>
        <v>2</v>
      </c>
      <c r="J159" s="93">
        <f t="shared" si="34"/>
        <v>17</v>
      </c>
      <c r="K159" s="94">
        <f t="shared" si="40"/>
        <v>0.97685616744811155</v>
      </c>
      <c r="L159" s="95">
        <f t="shared" si="41"/>
        <v>75.053122658619813</v>
      </c>
      <c r="M159" s="95">
        <f t="shared" si="42"/>
        <v>123.60650600454584</v>
      </c>
      <c r="N159" s="95">
        <f t="shared" si="43"/>
        <v>28.188160837397987</v>
      </c>
      <c r="O159" s="95">
        <f t="shared" si="44"/>
        <v>167.82366522424587</v>
      </c>
      <c r="P159" s="96">
        <f t="shared" si="45"/>
        <v>120.51726054761909</v>
      </c>
    </row>
    <row r="160" spans="1:16">
      <c r="A160" s="88" t="str">
        <f t="shared" si="32"/>
        <v>Sakhir</v>
      </c>
      <c r="B160" s="89">
        <f t="shared" si="31"/>
        <v>75.053122658619813</v>
      </c>
      <c r="C160" s="90">
        <f t="shared" si="35"/>
        <v>0</v>
      </c>
      <c r="D160" s="90">
        <f t="shared" si="36"/>
        <v>62</v>
      </c>
      <c r="E160" s="90">
        <f t="shared" si="37"/>
        <v>3</v>
      </c>
      <c r="F160" s="91">
        <f t="shared" si="33"/>
        <v>56</v>
      </c>
      <c r="G160" s="92">
        <f t="shared" si="38"/>
        <v>0.21057465437781986</v>
      </c>
      <c r="H160" s="91" t="s">
        <v>186</v>
      </c>
      <c r="I160" s="92">
        <f t="shared" si="39"/>
        <v>2</v>
      </c>
      <c r="J160" s="93">
        <f t="shared" si="34"/>
        <v>17</v>
      </c>
      <c r="K160" s="94">
        <f t="shared" si="40"/>
        <v>0.97685616744811155</v>
      </c>
      <c r="L160" s="95">
        <f t="shared" si="41"/>
        <v>75.053122658619813</v>
      </c>
      <c r="M160" s="95">
        <f t="shared" si="42"/>
        <v>123.60650600454584</v>
      </c>
      <c r="N160" s="95">
        <f t="shared" si="43"/>
        <v>28.39873549177581</v>
      </c>
      <c r="O160" s="95">
        <f t="shared" si="44"/>
        <v>167.82366522424587</v>
      </c>
      <c r="P160" s="96">
        <f t="shared" si="45"/>
        <v>120.16386644460894</v>
      </c>
    </row>
    <row r="161" spans="1:16">
      <c r="A161" s="88" t="str">
        <f t="shared" si="32"/>
        <v>Sakhir</v>
      </c>
      <c r="B161" s="89">
        <f t="shared" si="31"/>
        <v>75.053122658619813</v>
      </c>
      <c r="C161" s="90">
        <f t="shared" si="35"/>
        <v>0</v>
      </c>
      <c r="D161" s="90">
        <f t="shared" si="36"/>
        <v>62</v>
      </c>
      <c r="E161" s="90">
        <f t="shared" si="37"/>
        <v>3</v>
      </c>
      <c r="F161" s="91">
        <f t="shared" si="33"/>
        <v>57</v>
      </c>
      <c r="G161" s="92">
        <f t="shared" si="38"/>
        <v>0.21057465437781986</v>
      </c>
      <c r="H161" s="91" t="s">
        <v>186</v>
      </c>
      <c r="I161" s="92">
        <f t="shared" si="39"/>
        <v>2</v>
      </c>
      <c r="J161" s="93">
        <f t="shared" si="34"/>
        <v>17</v>
      </c>
      <c r="K161" s="94">
        <f t="shared" si="40"/>
        <v>0.97685616744811155</v>
      </c>
      <c r="L161" s="95">
        <f t="shared" si="41"/>
        <v>75.053122658619813</v>
      </c>
      <c r="M161" s="95">
        <f t="shared" si="42"/>
        <v>123.60650600454584</v>
      </c>
      <c r="N161" s="95">
        <f t="shared" si="43"/>
        <v>28.609310146153629</v>
      </c>
      <c r="O161" s="95">
        <f t="shared" si="44"/>
        <v>167.82366522424587</v>
      </c>
      <c r="P161" s="96">
        <f t="shared" si="45"/>
        <v>119.8104723415988</v>
      </c>
    </row>
    <row r="162" spans="1:16">
      <c r="A162" s="88" t="str">
        <f t="shared" si="32"/>
        <v>Sakhir</v>
      </c>
      <c r="B162" s="89">
        <f t="shared" si="31"/>
        <v>75.053122658619813</v>
      </c>
      <c r="C162" s="90">
        <f t="shared" si="35"/>
        <v>0</v>
      </c>
      <c r="D162" s="90">
        <f t="shared" si="36"/>
        <v>62</v>
      </c>
      <c r="E162" s="90">
        <f t="shared" si="37"/>
        <v>3</v>
      </c>
      <c r="F162" s="91">
        <f t="shared" si="33"/>
        <v>58</v>
      </c>
      <c r="G162" s="92">
        <f t="shared" si="38"/>
        <v>0.21057465437781986</v>
      </c>
      <c r="H162" s="91" t="s">
        <v>186</v>
      </c>
      <c r="I162" s="92">
        <f t="shared" si="39"/>
        <v>2</v>
      </c>
      <c r="J162" s="93">
        <f t="shared" si="34"/>
        <v>17</v>
      </c>
      <c r="K162" s="94">
        <f t="shared" si="40"/>
        <v>0.97685616744811155</v>
      </c>
      <c r="L162" s="95">
        <f t="shared" si="41"/>
        <v>75.053122658619813</v>
      </c>
      <c r="M162" s="95">
        <f t="shared" si="42"/>
        <v>123.60650600454584</v>
      </c>
      <c r="N162" s="95">
        <f t="shared" si="43"/>
        <v>28.819884800531447</v>
      </c>
      <c r="O162" s="95">
        <f t="shared" si="44"/>
        <v>167.82366522424587</v>
      </c>
      <c r="P162" s="96">
        <f t="shared" si="45"/>
        <v>119.45707823858865</v>
      </c>
    </row>
    <row r="163" spans="1:16">
      <c r="A163" s="88" t="str">
        <f t="shared" si="32"/>
        <v>Sakhir</v>
      </c>
      <c r="B163" s="89">
        <f t="shared" si="31"/>
        <v>75.053122658619813</v>
      </c>
      <c r="C163" s="90">
        <f t="shared" si="35"/>
        <v>0</v>
      </c>
      <c r="D163" s="90">
        <f t="shared" si="36"/>
        <v>62</v>
      </c>
      <c r="E163" s="90">
        <f t="shared" si="37"/>
        <v>3</v>
      </c>
      <c r="F163" s="91">
        <f t="shared" si="33"/>
        <v>59</v>
      </c>
      <c r="G163" s="92">
        <f t="shared" si="38"/>
        <v>0.21057465437781986</v>
      </c>
      <c r="H163" s="91" t="s">
        <v>186</v>
      </c>
      <c r="I163" s="92">
        <f t="shared" si="39"/>
        <v>2</v>
      </c>
      <c r="J163" s="93">
        <f t="shared" si="34"/>
        <v>17</v>
      </c>
      <c r="K163" s="94">
        <f t="shared" si="40"/>
        <v>0.97685616744811155</v>
      </c>
      <c r="L163" s="95">
        <f t="shared" si="41"/>
        <v>75.053122658619813</v>
      </c>
      <c r="M163" s="95">
        <f t="shared" si="42"/>
        <v>123.60650600454584</v>
      </c>
      <c r="N163" s="95">
        <f t="shared" si="43"/>
        <v>29.03045945490927</v>
      </c>
      <c r="O163" s="95">
        <f t="shared" si="44"/>
        <v>167.82366522424587</v>
      </c>
      <c r="P163" s="96">
        <f t="shared" si="45"/>
        <v>119.1036841355785</v>
      </c>
    </row>
    <row r="164" spans="1:16">
      <c r="A164" s="88" t="str">
        <f t="shared" si="32"/>
        <v>Sakhir</v>
      </c>
      <c r="B164" s="89">
        <f t="shared" si="31"/>
        <v>75.053122658619813</v>
      </c>
      <c r="C164" s="90">
        <f t="shared" si="35"/>
        <v>0</v>
      </c>
      <c r="D164" s="90">
        <f t="shared" si="36"/>
        <v>62</v>
      </c>
      <c r="E164" s="90">
        <f t="shared" si="37"/>
        <v>3</v>
      </c>
      <c r="F164" s="91">
        <f t="shared" si="33"/>
        <v>60</v>
      </c>
      <c r="G164" s="92">
        <f t="shared" si="38"/>
        <v>0.21057465437781986</v>
      </c>
      <c r="H164" s="91" t="s">
        <v>186</v>
      </c>
      <c r="I164" s="92">
        <f t="shared" si="39"/>
        <v>2</v>
      </c>
      <c r="J164" s="93">
        <f t="shared" si="34"/>
        <v>17</v>
      </c>
      <c r="K164" s="94">
        <f t="shared" si="40"/>
        <v>0.97685616744811155</v>
      </c>
      <c r="L164" s="95">
        <f t="shared" si="41"/>
        <v>75.053122658619813</v>
      </c>
      <c r="M164" s="95">
        <f t="shared" si="42"/>
        <v>123.60650600454584</v>
      </c>
      <c r="N164" s="95">
        <f t="shared" si="43"/>
        <v>29.241034109287089</v>
      </c>
      <c r="O164" s="95">
        <f t="shared" si="44"/>
        <v>167.82366522424587</v>
      </c>
      <c r="P164" s="96">
        <f t="shared" si="45"/>
        <v>118.75029003256836</v>
      </c>
    </row>
    <row r="165" spans="1:16">
      <c r="A165" s="88" t="str">
        <f t="shared" si="32"/>
        <v>Sakhir</v>
      </c>
      <c r="B165" s="89">
        <f t="shared" si="31"/>
        <v>75.053122658619813</v>
      </c>
      <c r="C165" s="90">
        <f t="shared" si="35"/>
        <v>0</v>
      </c>
      <c r="D165" s="90">
        <f t="shared" si="36"/>
        <v>62</v>
      </c>
      <c r="E165" s="90">
        <f t="shared" si="37"/>
        <v>3</v>
      </c>
      <c r="F165" s="91">
        <f t="shared" si="33"/>
        <v>61</v>
      </c>
      <c r="G165" s="92">
        <f t="shared" si="38"/>
        <v>0.21057465437781986</v>
      </c>
      <c r="H165" s="91" t="s">
        <v>186</v>
      </c>
      <c r="I165" s="92">
        <f t="shared" si="39"/>
        <v>2</v>
      </c>
      <c r="J165" s="93">
        <f t="shared" si="34"/>
        <v>17</v>
      </c>
      <c r="K165" s="94">
        <f t="shared" si="40"/>
        <v>0.97685616744811155</v>
      </c>
      <c r="L165" s="95">
        <f t="shared" si="41"/>
        <v>75.053122658619813</v>
      </c>
      <c r="M165" s="95">
        <f t="shared" si="42"/>
        <v>123.60650600454584</v>
      </c>
      <c r="N165" s="95">
        <f t="shared" si="43"/>
        <v>29.451608763664908</v>
      </c>
      <c r="O165" s="95">
        <f t="shared" si="44"/>
        <v>167.82366522424587</v>
      </c>
      <c r="P165" s="96">
        <f t="shared" si="45"/>
        <v>118.39689592955821</v>
      </c>
    </row>
    <row r="166" spans="1:16">
      <c r="A166" s="88" t="str">
        <f t="shared" si="32"/>
        <v>Sakhir</v>
      </c>
      <c r="B166" s="89">
        <f t="shared" si="31"/>
        <v>75.053122658619813</v>
      </c>
      <c r="C166" s="90">
        <f t="shared" si="35"/>
        <v>0</v>
      </c>
      <c r="D166" s="90">
        <f t="shared" si="36"/>
        <v>62</v>
      </c>
      <c r="E166" s="90">
        <f t="shared" si="37"/>
        <v>3</v>
      </c>
      <c r="F166" s="91">
        <f t="shared" si="33"/>
        <v>62</v>
      </c>
      <c r="G166" s="92">
        <f t="shared" si="38"/>
        <v>0.21057465437781986</v>
      </c>
      <c r="H166" s="91" t="s">
        <v>186</v>
      </c>
      <c r="I166" s="92">
        <f t="shared" si="39"/>
        <v>2</v>
      </c>
      <c r="J166" s="93">
        <f t="shared" si="34"/>
        <v>17</v>
      </c>
      <c r="K166" s="94">
        <f t="shared" si="40"/>
        <v>0.97685616744811155</v>
      </c>
      <c r="L166" s="95">
        <f t="shared" si="41"/>
        <v>75.053122658619813</v>
      </c>
      <c r="M166" s="95">
        <f t="shared" si="42"/>
        <v>123.60650600454584</v>
      </c>
      <c r="N166" s="95">
        <f t="shared" si="43"/>
        <v>29.66218341804273</v>
      </c>
      <c r="O166" s="95">
        <f t="shared" si="44"/>
        <v>167.82366522424587</v>
      </c>
      <c r="P166" s="96">
        <f t="shared" si="45"/>
        <v>118.04350182654807</v>
      </c>
    </row>
    <row r="167" spans="1:16">
      <c r="A167" s="88" t="str">
        <f t="shared" si="32"/>
        <v>Sakhir</v>
      </c>
      <c r="B167" s="89">
        <f t="shared" si="31"/>
        <v>75.053122658619813</v>
      </c>
      <c r="C167" s="90">
        <f t="shared" si="35"/>
        <v>0</v>
      </c>
      <c r="D167" s="90">
        <f t="shared" si="36"/>
        <v>62</v>
      </c>
      <c r="E167" s="90">
        <f t="shared" si="37"/>
        <v>3</v>
      </c>
      <c r="F167" s="91">
        <f t="shared" si="33"/>
        <v>63</v>
      </c>
      <c r="G167" s="92">
        <f t="shared" si="38"/>
        <v>0.21057465437781986</v>
      </c>
      <c r="H167" s="91" t="s">
        <v>186</v>
      </c>
      <c r="I167" s="92">
        <f t="shared" si="39"/>
        <v>2</v>
      </c>
      <c r="J167" s="93">
        <f t="shared" si="34"/>
        <v>17</v>
      </c>
      <c r="K167" s="94">
        <f t="shared" si="40"/>
        <v>0.97685616744811155</v>
      </c>
      <c r="L167" s="95">
        <f t="shared" si="41"/>
        <v>75.053122658619813</v>
      </c>
      <c r="M167" s="95">
        <f t="shared" si="42"/>
        <v>123.60650600454584</v>
      </c>
      <c r="N167" s="95">
        <f t="shared" si="43"/>
        <v>29.872758072420545</v>
      </c>
      <c r="O167" s="95">
        <f t="shared" si="44"/>
        <v>167.82366522424587</v>
      </c>
      <c r="P167" s="96">
        <f t="shared" si="45"/>
        <v>117.69010772353793</v>
      </c>
    </row>
    <row r="168" spans="1:16">
      <c r="A168" s="88" t="str">
        <f t="shared" si="32"/>
        <v>Sakhir</v>
      </c>
      <c r="B168" s="89">
        <f t="shared" si="31"/>
        <v>75.053122658619813</v>
      </c>
      <c r="C168" s="90">
        <f t="shared" si="35"/>
        <v>0</v>
      </c>
      <c r="D168" s="90">
        <f t="shared" si="36"/>
        <v>62</v>
      </c>
      <c r="E168" s="90">
        <f t="shared" si="37"/>
        <v>3</v>
      </c>
      <c r="F168" s="91">
        <f t="shared" si="33"/>
        <v>64</v>
      </c>
      <c r="G168" s="92">
        <f t="shared" si="38"/>
        <v>0.21057465437781986</v>
      </c>
      <c r="H168" s="91" t="s">
        <v>186</v>
      </c>
      <c r="I168" s="92">
        <f t="shared" si="39"/>
        <v>2</v>
      </c>
      <c r="J168" s="93">
        <f t="shared" si="34"/>
        <v>17</v>
      </c>
      <c r="K168" s="94">
        <f t="shared" si="40"/>
        <v>0.97685616744811155</v>
      </c>
      <c r="L168" s="95">
        <f t="shared" si="41"/>
        <v>75.053122658619813</v>
      </c>
      <c r="M168" s="95">
        <f t="shared" si="42"/>
        <v>123.60650600454584</v>
      </c>
      <c r="N168" s="95">
        <f t="shared" si="43"/>
        <v>30.083332726798368</v>
      </c>
      <c r="O168" s="95">
        <f t="shared" si="44"/>
        <v>167.82366522424587</v>
      </c>
      <c r="P168" s="96">
        <f t="shared" si="45"/>
        <v>117.33671362052777</v>
      </c>
    </row>
    <row r="169" spans="1:16">
      <c r="A169" s="88" t="str">
        <f t="shared" si="32"/>
        <v>Sakhir</v>
      </c>
      <c r="B169" s="89">
        <f t="shared" si="31"/>
        <v>75.053122658619813</v>
      </c>
      <c r="C169" s="90">
        <f t="shared" si="35"/>
        <v>0</v>
      </c>
      <c r="D169" s="90">
        <f t="shared" si="36"/>
        <v>62</v>
      </c>
      <c r="E169" s="90">
        <f t="shared" si="37"/>
        <v>3</v>
      </c>
      <c r="F169" s="91">
        <f t="shared" si="33"/>
        <v>65</v>
      </c>
      <c r="G169" s="92">
        <f t="shared" si="38"/>
        <v>0.21057465437781986</v>
      </c>
      <c r="H169" s="91" t="s">
        <v>186</v>
      </c>
      <c r="I169" s="92">
        <f t="shared" si="39"/>
        <v>2</v>
      </c>
      <c r="J169" s="93">
        <f t="shared" si="34"/>
        <v>17</v>
      </c>
      <c r="K169" s="94">
        <f t="shared" si="40"/>
        <v>0.97685616744811155</v>
      </c>
      <c r="L169" s="95">
        <f t="shared" si="41"/>
        <v>75.053122658619813</v>
      </c>
      <c r="M169" s="95">
        <f t="shared" si="42"/>
        <v>123.60650600454584</v>
      </c>
      <c r="N169" s="95">
        <f t="shared" si="43"/>
        <v>30.29390738117619</v>
      </c>
      <c r="O169" s="95">
        <f t="shared" si="44"/>
        <v>167.82366522424587</v>
      </c>
      <c r="P169" s="96">
        <f t="shared" si="45"/>
        <v>116.98331951751763</v>
      </c>
    </row>
    <row r="170" spans="1:16">
      <c r="A170" s="88" t="str">
        <f t="shared" si="32"/>
        <v>Sakhir</v>
      </c>
      <c r="B170" s="89">
        <f t="shared" si="31"/>
        <v>75.053122658619813</v>
      </c>
      <c r="C170" s="90">
        <f t="shared" si="35"/>
        <v>0</v>
      </c>
      <c r="D170" s="90">
        <f t="shared" si="36"/>
        <v>62</v>
      </c>
      <c r="E170" s="90">
        <f t="shared" si="37"/>
        <v>3</v>
      </c>
      <c r="F170" s="91">
        <f t="shared" si="33"/>
        <v>66</v>
      </c>
      <c r="G170" s="92">
        <f t="shared" si="38"/>
        <v>0.21057465437781986</v>
      </c>
      <c r="H170" s="91" t="s">
        <v>186</v>
      </c>
      <c r="I170" s="92">
        <f t="shared" si="39"/>
        <v>2</v>
      </c>
      <c r="J170" s="93">
        <f t="shared" si="34"/>
        <v>17</v>
      </c>
      <c r="K170" s="94">
        <f t="shared" si="40"/>
        <v>0.97685616744811155</v>
      </c>
      <c r="L170" s="95">
        <f t="shared" si="41"/>
        <v>75.053122658619813</v>
      </c>
      <c r="M170" s="95">
        <f t="shared" si="42"/>
        <v>123.60650600454584</v>
      </c>
      <c r="N170" s="95">
        <f t="shared" si="43"/>
        <v>30.504482035554005</v>
      </c>
      <c r="O170" s="95">
        <f t="shared" si="44"/>
        <v>167.82366522424587</v>
      </c>
      <c r="P170" s="96">
        <f t="shared" si="45"/>
        <v>116.6299254145075</v>
      </c>
    </row>
    <row r="171" spans="1:16">
      <c r="A171" s="88" t="str">
        <f t="shared" si="32"/>
        <v>Sakhir</v>
      </c>
      <c r="B171" s="89">
        <f t="shared" si="31"/>
        <v>75.053122658619813</v>
      </c>
      <c r="C171" s="90">
        <f t="shared" si="35"/>
        <v>0</v>
      </c>
      <c r="D171" s="90">
        <f t="shared" si="36"/>
        <v>62</v>
      </c>
      <c r="E171" s="90">
        <f t="shared" si="37"/>
        <v>3</v>
      </c>
      <c r="F171" s="91">
        <f t="shared" si="33"/>
        <v>67</v>
      </c>
      <c r="G171" s="92">
        <f t="shared" si="38"/>
        <v>0.21057465437781986</v>
      </c>
      <c r="H171" s="91" t="s">
        <v>186</v>
      </c>
      <c r="I171" s="92">
        <f t="shared" si="39"/>
        <v>2</v>
      </c>
      <c r="J171" s="93">
        <f t="shared" si="34"/>
        <v>17</v>
      </c>
      <c r="K171" s="94">
        <f t="shared" si="40"/>
        <v>0.97685616744811155</v>
      </c>
      <c r="L171" s="95">
        <f t="shared" si="41"/>
        <v>75.053122658619813</v>
      </c>
      <c r="M171" s="95">
        <f t="shared" si="42"/>
        <v>123.60650600454584</v>
      </c>
      <c r="N171" s="95">
        <f t="shared" si="43"/>
        <v>30.715056689931828</v>
      </c>
      <c r="O171" s="95">
        <f t="shared" si="44"/>
        <v>167.82366522424587</v>
      </c>
      <c r="P171" s="96">
        <f t="shared" si="45"/>
        <v>116.27653131149735</v>
      </c>
    </row>
    <row r="172" spans="1:16">
      <c r="A172" s="88" t="str">
        <f t="shared" si="32"/>
        <v>Sakhir</v>
      </c>
      <c r="B172" s="89">
        <f t="shared" si="31"/>
        <v>75.053122658619813</v>
      </c>
      <c r="C172" s="90">
        <f t="shared" si="35"/>
        <v>0</v>
      </c>
      <c r="D172" s="90">
        <f t="shared" si="36"/>
        <v>62</v>
      </c>
      <c r="E172" s="90">
        <f t="shared" si="37"/>
        <v>3</v>
      </c>
      <c r="F172" s="91">
        <f t="shared" si="33"/>
        <v>68</v>
      </c>
      <c r="G172" s="92">
        <f t="shared" si="38"/>
        <v>0.21057465437781986</v>
      </c>
      <c r="H172" s="91" t="s">
        <v>186</v>
      </c>
      <c r="I172" s="92">
        <f t="shared" si="39"/>
        <v>2</v>
      </c>
      <c r="J172" s="93">
        <f t="shared" si="34"/>
        <v>17</v>
      </c>
      <c r="K172" s="94">
        <f t="shared" si="40"/>
        <v>0.97685616744811155</v>
      </c>
      <c r="L172" s="95">
        <f t="shared" si="41"/>
        <v>75.053122658619813</v>
      </c>
      <c r="M172" s="95">
        <f t="shared" si="42"/>
        <v>123.60650600454584</v>
      </c>
      <c r="N172" s="95">
        <f t="shared" si="43"/>
        <v>30.925631344309647</v>
      </c>
      <c r="O172" s="95">
        <f t="shared" si="44"/>
        <v>167.82366522424587</v>
      </c>
      <c r="P172" s="96">
        <f t="shared" si="45"/>
        <v>115.92313720848719</v>
      </c>
    </row>
    <row r="173" spans="1:16">
      <c r="A173" s="88" t="str">
        <f t="shared" si="32"/>
        <v>Sakhir</v>
      </c>
      <c r="B173" s="89">
        <f t="shared" si="31"/>
        <v>75.053122658619813</v>
      </c>
      <c r="C173" s="90">
        <f t="shared" si="35"/>
        <v>0</v>
      </c>
      <c r="D173" s="90">
        <f t="shared" si="36"/>
        <v>62</v>
      </c>
      <c r="E173" s="90">
        <f t="shared" si="37"/>
        <v>3</v>
      </c>
      <c r="F173" s="91">
        <f t="shared" si="33"/>
        <v>69</v>
      </c>
      <c r="G173" s="92">
        <f t="shared" si="38"/>
        <v>0.21057465437781986</v>
      </c>
      <c r="H173" s="91" t="s">
        <v>186</v>
      </c>
      <c r="I173" s="92">
        <f t="shared" si="39"/>
        <v>2</v>
      </c>
      <c r="J173" s="93">
        <f t="shared" si="34"/>
        <v>17</v>
      </c>
      <c r="K173" s="94">
        <f t="shared" si="40"/>
        <v>0.97685616744811155</v>
      </c>
      <c r="L173" s="95">
        <f t="shared" si="41"/>
        <v>75.053122658619813</v>
      </c>
      <c r="M173" s="95">
        <f t="shared" si="42"/>
        <v>123.60650600454584</v>
      </c>
      <c r="N173" s="95">
        <f t="shared" si="43"/>
        <v>31.136205998687466</v>
      </c>
      <c r="O173" s="95">
        <f t="shared" si="44"/>
        <v>167.82366522424587</v>
      </c>
      <c r="P173" s="96">
        <f t="shared" si="45"/>
        <v>115.56974310547706</v>
      </c>
    </row>
    <row r="174" spans="1:16">
      <c r="A174" s="88" t="str">
        <f t="shared" si="32"/>
        <v>Sakhir</v>
      </c>
      <c r="B174" s="89">
        <f t="shared" si="31"/>
        <v>75.053122658619813</v>
      </c>
      <c r="C174" s="90">
        <f t="shared" si="35"/>
        <v>0</v>
      </c>
      <c r="D174" s="90">
        <f t="shared" si="36"/>
        <v>62</v>
      </c>
      <c r="E174" s="90">
        <f t="shared" si="37"/>
        <v>3</v>
      </c>
      <c r="F174" s="91">
        <f t="shared" si="33"/>
        <v>70</v>
      </c>
      <c r="G174" s="92">
        <f t="shared" si="38"/>
        <v>0.21057465437781986</v>
      </c>
      <c r="H174" s="91" t="s">
        <v>186</v>
      </c>
      <c r="I174" s="92">
        <f t="shared" si="39"/>
        <v>2</v>
      </c>
      <c r="J174" s="93">
        <f t="shared" si="34"/>
        <v>17</v>
      </c>
      <c r="K174" s="94">
        <f t="shared" si="40"/>
        <v>0.97685616744811155</v>
      </c>
      <c r="L174" s="95">
        <f t="shared" si="41"/>
        <v>75.053122658619813</v>
      </c>
      <c r="M174" s="95">
        <f t="shared" si="42"/>
        <v>123.60650600454584</v>
      </c>
      <c r="N174" s="95">
        <f t="shared" si="43"/>
        <v>31.346780653065288</v>
      </c>
      <c r="O174" s="95">
        <f t="shared" si="44"/>
        <v>167.82366522424587</v>
      </c>
      <c r="P174" s="96">
        <f t="shared" si="45"/>
        <v>115.2163490024669</v>
      </c>
    </row>
    <row r="175" spans="1:16">
      <c r="A175" s="88" t="str">
        <f t="shared" si="32"/>
        <v>Sakhir</v>
      </c>
      <c r="B175" s="89">
        <f t="shared" si="31"/>
        <v>75.053122658619813</v>
      </c>
      <c r="C175" s="90">
        <f t="shared" si="35"/>
        <v>0</v>
      </c>
      <c r="D175" s="90">
        <f t="shared" si="36"/>
        <v>62</v>
      </c>
      <c r="E175" s="90">
        <f t="shared" si="37"/>
        <v>3</v>
      </c>
      <c r="F175" s="91">
        <f t="shared" si="33"/>
        <v>71</v>
      </c>
      <c r="G175" s="92">
        <f t="shared" si="38"/>
        <v>0.21057465437781986</v>
      </c>
      <c r="H175" s="91" t="s">
        <v>186</v>
      </c>
      <c r="I175" s="92">
        <f t="shared" si="39"/>
        <v>2</v>
      </c>
      <c r="J175" s="93">
        <f t="shared" si="34"/>
        <v>17</v>
      </c>
      <c r="K175" s="94">
        <f t="shared" si="40"/>
        <v>0.97685616744811155</v>
      </c>
      <c r="L175" s="95">
        <f t="shared" si="41"/>
        <v>75.053122658619813</v>
      </c>
      <c r="M175" s="95">
        <f t="shared" si="42"/>
        <v>123.60650600454584</v>
      </c>
      <c r="N175" s="95">
        <f t="shared" si="43"/>
        <v>31.557355307443107</v>
      </c>
      <c r="O175" s="95">
        <f t="shared" si="44"/>
        <v>167.82366522424587</v>
      </c>
      <c r="P175" s="96">
        <f t="shared" si="45"/>
        <v>114.86295489945677</v>
      </c>
    </row>
    <row r="176" spans="1:16">
      <c r="A176" s="88" t="str">
        <f t="shared" si="32"/>
        <v>Sakhir</v>
      </c>
      <c r="B176" s="89">
        <f t="shared" si="31"/>
        <v>75.053122658619813</v>
      </c>
      <c r="C176" s="90">
        <f t="shared" si="35"/>
        <v>0</v>
      </c>
      <c r="D176" s="90">
        <f t="shared" si="36"/>
        <v>62</v>
      </c>
      <c r="E176" s="90">
        <f t="shared" si="37"/>
        <v>3</v>
      </c>
      <c r="F176" s="91">
        <f t="shared" si="33"/>
        <v>72</v>
      </c>
      <c r="G176" s="92">
        <f t="shared" si="38"/>
        <v>0.21057465437781986</v>
      </c>
      <c r="H176" s="91" t="s">
        <v>186</v>
      </c>
      <c r="I176" s="92">
        <f t="shared" si="39"/>
        <v>2</v>
      </c>
      <c r="J176" s="93">
        <f t="shared" si="34"/>
        <v>17</v>
      </c>
      <c r="K176" s="94">
        <f t="shared" si="40"/>
        <v>0.97685616744811155</v>
      </c>
      <c r="L176" s="95">
        <f t="shared" si="41"/>
        <v>75.053122658619813</v>
      </c>
      <c r="M176" s="95">
        <f t="shared" si="42"/>
        <v>123.60650600454584</v>
      </c>
      <c r="N176" s="95">
        <f t="shared" si="43"/>
        <v>31.767929961820926</v>
      </c>
      <c r="O176" s="95">
        <f t="shared" si="44"/>
        <v>167.82366522424587</v>
      </c>
      <c r="P176" s="96">
        <f t="shared" si="45"/>
        <v>114.50956079644662</v>
      </c>
    </row>
    <row r="177" spans="1:16">
      <c r="A177" s="88" t="str">
        <f t="shared" si="32"/>
        <v>Sakhir</v>
      </c>
      <c r="B177" s="89">
        <f t="shared" si="31"/>
        <v>75.053122658619813</v>
      </c>
      <c r="C177" s="90">
        <f t="shared" si="35"/>
        <v>0</v>
      </c>
      <c r="D177" s="90">
        <f t="shared" si="36"/>
        <v>62</v>
      </c>
      <c r="E177" s="90">
        <f t="shared" si="37"/>
        <v>3</v>
      </c>
      <c r="F177" s="91">
        <f t="shared" si="33"/>
        <v>73</v>
      </c>
      <c r="G177" s="92">
        <f t="shared" si="38"/>
        <v>0.21057465437781986</v>
      </c>
      <c r="H177" s="91" t="s">
        <v>186</v>
      </c>
      <c r="I177" s="92">
        <f t="shared" si="39"/>
        <v>2</v>
      </c>
      <c r="J177" s="93">
        <f t="shared" si="34"/>
        <v>17</v>
      </c>
      <c r="K177" s="94">
        <f t="shared" si="40"/>
        <v>0.97685616744811155</v>
      </c>
      <c r="L177" s="95">
        <f t="shared" si="41"/>
        <v>75.053122658619813</v>
      </c>
      <c r="M177" s="95">
        <f t="shared" si="42"/>
        <v>123.60650600454584</v>
      </c>
      <c r="N177" s="95">
        <f t="shared" si="43"/>
        <v>31.978504616198748</v>
      </c>
      <c r="O177" s="95">
        <f t="shared" si="44"/>
        <v>167.82366522424587</v>
      </c>
      <c r="P177" s="96">
        <f t="shared" si="45"/>
        <v>114.15616669343648</v>
      </c>
    </row>
    <row r="178" spans="1:16">
      <c r="A178" s="88" t="str">
        <f t="shared" si="32"/>
        <v>Sakhir</v>
      </c>
      <c r="B178" s="89">
        <f t="shared" si="31"/>
        <v>75.053122658619813</v>
      </c>
      <c r="C178" s="90">
        <f t="shared" si="35"/>
        <v>0</v>
      </c>
      <c r="D178" s="90">
        <f t="shared" si="36"/>
        <v>62</v>
      </c>
      <c r="E178" s="90">
        <f t="shared" si="37"/>
        <v>3</v>
      </c>
      <c r="F178" s="91">
        <f t="shared" si="33"/>
        <v>74</v>
      </c>
      <c r="G178" s="92">
        <f t="shared" si="38"/>
        <v>0.21057465437781986</v>
      </c>
      <c r="H178" s="91" t="s">
        <v>186</v>
      </c>
      <c r="I178" s="92">
        <f t="shared" si="39"/>
        <v>2</v>
      </c>
      <c r="J178" s="93">
        <f t="shared" si="34"/>
        <v>17</v>
      </c>
      <c r="K178" s="94">
        <f t="shared" si="40"/>
        <v>0.97685616744811155</v>
      </c>
      <c r="L178" s="95">
        <f t="shared" si="41"/>
        <v>75.053122658619813</v>
      </c>
      <c r="M178" s="95">
        <f t="shared" si="42"/>
        <v>123.60650600454584</v>
      </c>
      <c r="N178" s="95">
        <f t="shared" si="43"/>
        <v>32.18907927057657</v>
      </c>
      <c r="O178" s="95">
        <f t="shared" si="44"/>
        <v>167.82366522424587</v>
      </c>
      <c r="P178" s="96">
        <f t="shared" si="45"/>
        <v>113.80277259042631</v>
      </c>
    </row>
    <row r="179" spans="1:16">
      <c r="A179" s="88" t="str">
        <f t="shared" si="32"/>
        <v>Sakhir</v>
      </c>
      <c r="B179" s="89">
        <f t="shared" si="31"/>
        <v>75.053122658619813</v>
      </c>
      <c r="C179" s="90">
        <f t="shared" si="35"/>
        <v>0</v>
      </c>
      <c r="D179" s="90">
        <f t="shared" si="36"/>
        <v>62</v>
      </c>
      <c r="E179" s="90">
        <f t="shared" si="37"/>
        <v>3</v>
      </c>
      <c r="F179" s="91">
        <f t="shared" si="33"/>
        <v>75</v>
      </c>
      <c r="G179" s="92">
        <f t="shared" si="38"/>
        <v>0.21057465437781986</v>
      </c>
      <c r="H179" s="91" t="s">
        <v>186</v>
      </c>
      <c r="I179" s="92">
        <f t="shared" si="39"/>
        <v>2</v>
      </c>
      <c r="J179" s="93">
        <f t="shared" si="34"/>
        <v>17</v>
      </c>
      <c r="K179" s="94">
        <f t="shared" si="40"/>
        <v>0.97685616744811155</v>
      </c>
      <c r="L179" s="95">
        <f t="shared" si="41"/>
        <v>75.053122658619813</v>
      </c>
      <c r="M179" s="95">
        <f t="shared" si="42"/>
        <v>123.60650600454584</v>
      </c>
      <c r="N179" s="95">
        <f t="shared" si="43"/>
        <v>32.399653924954386</v>
      </c>
      <c r="O179" s="95">
        <f t="shared" si="44"/>
        <v>167.82366522424587</v>
      </c>
      <c r="P179" s="96">
        <f t="shared" si="45"/>
        <v>113.44937848741618</v>
      </c>
    </row>
    <row r="180" spans="1:16">
      <c r="A180" s="88" t="str">
        <f t="shared" si="32"/>
        <v>Sakhir</v>
      </c>
      <c r="B180" s="89">
        <f t="shared" si="31"/>
        <v>75.053122658619813</v>
      </c>
      <c r="C180" s="90">
        <f t="shared" si="35"/>
        <v>0</v>
      </c>
      <c r="D180" s="90">
        <f t="shared" si="36"/>
        <v>62</v>
      </c>
      <c r="E180" s="90">
        <f t="shared" si="37"/>
        <v>3</v>
      </c>
      <c r="F180" s="91">
        <f t="shared" si="33"/>
        <v>76</v>
      </c>
      <c r="G180" s="92">
        <f t="shared" si="38"/>
        <v>0.21057465437781986</v>
      </c>
      <c r="H180" s="91" t="s">
        <v>186</v>
      </c>
      <c r="I180" s="92">
        <f t="shared" si="39"/>
        <v>2</v>
      </c>
      <c r="J180" s="93">
        <f t="shared" si="34"/>
        <v>17</v>
      </c>
      <c r="K180" s="94">
        <f t="shared" si="40"/>
        <v>0.97685616744811155</v>
      </c>
      <c r="L180" s="95">
        <f t="shared" si="41"/>
        <v>75.053122658619813</v>
      </c>
      <c r="M180" s="95">
        <f t="shared" si="42"/>
        <v>123.60650600454584</v>
      </c>
      <c r="N180" s="95">
        <f t="shared" si="43"/>
        <v>32.610228579332201</v>
      </c>
      <c r="O180" s="95">
        <f t="shared" si="44"/>
        <v>167.82366522424587</v>
      </c>
      <c r="P180" s="96">
        <f t="shared" si="45"/>
        <v>113.09598438440605</v>
      </c>
    </row>
    <row r="181" spans="1:16">
      <c r="A181" s="88" t="str">
        <f t="shared" si="32"/>
        <v>Sakhir</v>
      </c>
      <c r="B181" s="89">
        <f t="shared" si="31"/>
        <v>75.053122658619813</v>
      </c>
      <c r="C181" s="90">
        <f t="shared" si="35"/>
        <v>0</v>
      </c>
      <c r="D181" s="90">
        <f t="shared" si="36"/>
        <v>62</v>
      </c>
      <c r="E181" s="90">
        <f t="shared" si="37"/>
        <v>3</v>
      </c>
      <c r="F181" s="91">
        <f t="shared" si="33"/>
        <v>77</v>
      </c>
      <c r="G181" s="92">
        <f t="shared" si="38"/>
        <v>0.21057465437781986</v>
      </c>
      <c r="H181" s="91" t="s">
        <v>186</v>
      </c>
      <c r="I181" s="92">
        <f t="shared" si="39"/>
        <v>2</v>
      </c>
      <c r="J181" s="93">
        <f t="shared" si="34"/>
        <v>17</v>
      </c>
      <c r="K181" s="94">
        <f t="shared" si="40"/>
        <v>0.97685616744811155</v>
      </c>
      <c r="L181" s="95">
        <f t="shared" si="41"/>
        <v>75.053122658619813</v>
      </c>
      <c r="M181" s="95">
        <f t="shared" si="42"/>
        <v>123.60650600454584</v>
      </c>
      <c r="N181" s="95">
        <f t="shared" si="43"/>
        <v>32.820803233710024</v>
      </c>
      <c r="O181" s="95">
        <f t="shared" si="44"/>
        <v>167.82366522424587</v>
      </c>
      <c r="P181" s="96">
        <f t="shared" si="45"/>
        <v>112.74259028139591</v>
      </c>
    </row>
    <row r="182" spans="1:16">
      <c r="A182" s="88" t="str">
        <f t="shared" si="32"/>
        <v>Sakhir</v>
      </c>
      <c r="B182" s="89">
        <f t="shared" si="31"/>
        <v>75.053122658619813</v>
      </c>
      <c r="C182" s="90">
        <f t="shared" si="35"/>
        <v>0</v>
      </c>
      <c r="D182" s="90">
        <f t="shared" si="36"/>
        <v>62</v>
      </c>
      <c r="E182" s="90">
        <f t="shared" si="37"/>
        <v>3</v>
      </c>
      <c r="F182" s="91">
        <f t="shared" si="33"/>
        <v>78</v>
      </c>
      <c r="G182" s="92">
        <f t="shared" si="38"/>
        <v>0.21057465437781986</v>
      </c>
      <c r="H182" s="91" t="s">
        <v>186</v>
      </c>
      <c r="I182" s="92">
        <f t="shared" si="39"/>
        <v>2</v>
      </c>
      <c r="J182" s="93">
        <f t="shared" si="34"/>
        <v>17</v>
      </c>
      <c r="K182" s="94">
        <f t="shared" si="40"/>
        <v>0.97685616744811155</v>
      </c>
      <c r="L182" s="95">
        <f t="shared" si="41"/>
        <v>75.053122658619813</v>
      </c>
      <c r="M182" s="95">
        <f t="shared" si="42"/>
        <v>123.60650600454584</v>
      </c>
      <c r="N182" s="95">
        <f t="shared" si="43"/>
        <v>33.031377888087846</v>
      </c>
      <c r="O182" s="95">
        <f t="shared" si="44"/>
        <v>167.82366522424587</v>
      </c>
      <c r="P182" s="96">
        <f t="shared" si="45"/>
        <v>112.38919617838575</v>
      </c>
    </row>
    <row r="183" spans="1:16">
      <c r="A183" s="88" t="str">
        <f t="shared" si="32"/>
        <v>Sakhir</v>
      </c>
      <c r="B183" s="89">
        <f t="shared" si="31"/>
        <v>75.053122658619813</v>
      </c>
      <c r="C183" s="90">
        <f t="shared" si="35"/>
        <v>0</v>
      </c>
      <c r="D183" s="90">
        <f t="shared" si="36"/>
        <v>62</v>
      </c>
      <c r="E183" s="90">
        <f t="shared" si="37"/>
        <v>3</v>
      </c>
      <c r="F183" s="91">
        <f t="shared" si="33"/>
        <v>79</v>
      </c>
      <c r="G183" s="92">
        <f t="shared" si="38"/>
        <v>0.21057465437781986</v>
      </c>
      <c r="H183" s="91" t="s">
        <v>186</v>
      </c>
      <c r="I183" s="92">
        <f t="shared" si="39"/>
        <v>2</v>
      </c>
      <c r="J183" s="93">
        <f t="shared" si="34"/>
        <v>17</v>
      </c>
      <c r="K183" s="94">
        <f t="shared" si="40"/>
        <v>0.97685616744811155</v>
      </c>
      <c r="L183" s="95">
        <f t="shared" si="41"/>
        <v>75.053122658619813</v>
      </c>
      <c r="M183" s="95">
        <f t="shared" si="42"/>
        <v>123.60650600454584</v>
      </c>
      <c r="N183" s="95">
        <f t="shared" si="43"/>
        <v>33.241952542465668</v>
      </c>
      <c r="O183" s="95">
        <f t="shared" si="44"/>
        <v>167.82366522424587</v>
      </c>
      <c r="P183" s="96">
        <f t="shared" si="45"/>
        <v>112.0358020753756</v>
      </c>
    </row>
    <row r="184" spans="1:16">
      <c r="A184" s="88" t="str">
        <f t="shared" si="32"/>
        <v>Sakhir</v>
      </c>
      <c r="B184" s="89">
        <f t="shared" si="31"/>
        <v>75.053122658619813</v>
      </c>
      <c r="C184" s="90">
        <f t="shared" si="35"/>
        <v>0</v>
      </c>
      <c r="D184" s="90">
        <f t="shared" si="36"/>
        <v>62</v>
      </c>
      <c r="E184" s="90">
        <f t="shared" si="37"/>
        <v>3</v>
      </c>
      <c r="F184" s="91">
        <f t="shared" si="33"/>
        <v>80</v>
      </c>
      <c r="G184" s="92">
        <f t="shared" si="38"/>
        <v>0.21057465437781986</v>
      </c>
      <c r="H184" s="91" t="s">
        <v>186</v>
      </c>
      <c r="I184" s="92">
        <f t="shared" si="39"/>
        <v>2</v>
      </c>
      <c r="J184" s="93">
        <f t="shared" si="34"/>
        <v>17</v>
      </c>
      <c r="K184" s="94">
        <f t="shared" si="40"/>
        <v>0.97685616744811155</v>
      </c>
      <c r="L184" s="95">
        <f t="shared" si="41"/>
        <v>75.053122658619813</v>
      </c>
      <c r="M184" s="95">
        <f t="shared" si="42"/>
        <v>123.60650600454584</v>
      </c>
      <c r="N184" s="95">
        <f t="shared" si="43"/>
        <v>33.452527196843484</v>
      </c>
      <c r="O184" s="95">
        <f t="shared" si="44"/>
        <v>167.82366522424587</v>
      </c>
      <c r="P184" s="96">
        <f t="shared" si="45"/>
        <v>111.68240797236547</v>
      </c>
    </row>
    <row r="185" spans="1:16">
      <c r="A185" s="88" t="str">
        <f t="shared" si="32"/>
        <v>Sakhir</v>
      </c>
      <c r="B185" s="89">
        <f t="shared" si="31"/>
        <v>75.053122658619813</v>
      </c>
      <c r="C185" s="90">
        <f t="shared" si="35"/>
        <v>0</v>
      </c>
      <c r="D185" s="90">
        <f t="shared" si="36"/>
        <v>62</v>
      </c>
      <c r="E185" s="90">
        <f t="shared" si="37"/>
        <v>3</v>
      </c>
      <c r="F185" s="91">
        <f t="shared" si="33"/>
        <v>81</v>
      </c>
      <c r="G185" s="92">
        <f t="shared" si="38"/>
        <v>0.21057465437781986</v>
      </c>
      <c r="H185" s="91" t="s">
        <v>186</v>
      </c>
      <c r="I185" s="92">
        <f t="shared" si="39"/>
        <v>2</v>
      </c>
      <c r="J185" s="93">
        <f t="shared" si="34"/>
        <v>17</v>
      </c>
      <c r="K185" s="94">
        <f t="shared" si="40"/>
        <v>0.97685616744811155</v>
      </c>
      <c r="L185" s="95">
        <f t="shared" si="41"/>
        <v>75.053122658619813</v>
      </c>
      <c r="M185" s="95">
        <f t="shared" si="42"/>
        <v>123.60650600454584</v>
      </c>
      <c r="N185" s="95">
        <f t="shared" si="43"/>
        <v>33.663101851221306</v>
      </c>
      <c r="O185" s="95">
        <f t="shared" si="44"/>
        <v>167.82366522424587</v>
      </c>
      <c r="P185" s="96">
        <f t="shared" si="45"/>
        <v>111.32901386935532</v>
      </c>
    </row>
    <row r="186" spans="1:16">
      <c r="A186" s="88" t="str">
        <f t="shared" si="32"/>
        <v>Sakhir</v>
      </c>
      <c r="B186" s="89">
        <f t="shared" si="31"/>
        <v>75.053122658619813</v>
      </c>
      <c r="C186" s="90">
        <f t="shared" si="35"/>
        <v>0</v>
      </c>
      <c r="D186" s="90">
        <f t="shared" si="36"/>
        <v>62</v>
      </c>
      <c r="E186" s="90">
        <f t="shared" si="37"/>
        <v>3</v>
      </c>
      <c r="F186" s="91">
        <f t="shared" si="33"/>
        <v>82</v>
      </c>
      <c r="G186" s="92">
        <f t="shared" si="38"/>
        <v>0.21057465437781986</v>
      </c>
      <c r="H186" s="91" t="s">
        <v>186</v>
      </c>
      <c r="I186" s="92">
        <f t="shared" si="39"/>
        <v>2</v>
      </c>
      <c r="J186" s="93">
        <f t="shared" si="34"/>
        <v>17</v>
      </c>
      <c r="K186" s="94">
        <f t="shared" si="40"/>
        <v>0.97685616744811155</v>
      </c>
      <c r="L186" s="95">
        <f t="shared" si="41"/>
        <v>75.053122658619813</v>
      </c>
      <c r="M186" s="95">
        <f t="shared" si="42"/>
        <v>123.60650600454584</v>
      </c>
      <c r="N186" s="95">
        <f t="shared" si="43"/>
        <v>33.873676505599121</v>
      </c>
      <c r="O186" s="95">
        <f t="shared" si="44"/>
        <v>167.82366522424587</v>
      </c>
      <c r="P186" s="96">
        <f t="shared" si="45"/>
        <v>110.97561976634518</v>
      </c>
    </row>
    <row r="187" spans="1:16">
      <c r="A187" s="88" t="str">
        <f t="shared" si="32"/>
        <v>Sakhir</v>
      </c>
      <c r="B187" s="89">
        <f t="shared" si="31"/>
        <v>75.053122658619813</v>
      </c>
      <c r="C187" s="90">
        <f t="shared" si="35"/>
        <v>0</v>
      </c>
      <c r="D187" s="90">
        <f t="shared" si="36"/>
        <v>62</v>
      </c>
      <c r="E187" s="90">
        <f t="shared" si="37"/>
        <v>3</v>
      </c>
      <c r="F187" s="91">
        <f t="shared" si="33"/>
        <v>83</v>
      </c>
      <c r="G187" s="92">
        <f t="shared" si="38"/>
        <v>0.21057465437781986</v>
      </c>
      <c r="H187" s="91" t="s">
        <v>186</v>
      </c>
      <c r="I187" s="92">
        <f t="shared" si="39"/>
        <v>2</v>
      </c>
      <c r="J187" s="93">
        <f t="shared" si="34"/>
        <v>17</v>
      </c>
      <c r="K187" s="94">
        <f t="shared" si="40"/>
        <v>0.97685616744811155</v>
      </c>
      <c r="L187" s="95">
        <f t="shared" si="41"/>
        <v>75.053122658619813</v>
      </c>
      <c r="M187" s="95">
        <f t="shared" si="42"/>
        <v>123.60650600454584</v>
      </c>
      <c r="N187" s="95">
        <f t="shared" si="43"/>
        <v>34.084251159976944</v>
      </c>
      <c r="O187" s="95">
        <f t="shared" si="44"/>
        <v>167.82366522424587</v>
      </c>
      <c r="P187" s="96">
        <f t="shared" si="45"/>
        <v>110.62222566333503</v>
      </c>
    </row>
    <row r="188" spans="1:16">
      <c r="A188" s="88" t="str">
        <f t="shared" si="32"/>
        <v>Sakhir</v>
      </c>
      <c r="B188" s="89">
        <f t="shared" si="31"/>
        <v>75.053122658619813</v>
      </c>
      <c r="C188" s="90">
        <f t="shared" si="35"/>
        <v>0</v>
      </c>
      <c r="D188" s="90">
        <f t="shared" si="36"/>
        <v>62</v>
      </c>
      <c r="E188" s="90">
        <f t="shared" si="37"/>
        <v>3</v>
      </c>
      <c r="F188" s="91">
        <f t="shared" si="33"/>
        <v>84</v>
      </c>
      <c r="G188" s="92">
        <f t="shared" si="38"/>
        <v>0.21057465437781986</v>
      </c>
      <c r="H188" s="91" t="s">
        <v>186</v>
      </c>
      <c r="I188" s="92">
        <f t="shared" si="39"/>
        <v>2</v>
      </c>
      <c r="J188" s="93">
        <f t="shared" si="34"/>
        <v>17</v>
      </c>
      <c r="K188" s="94">
        <f t="shared" si="40"/>
        <v>0.97685616744811155</v>
      </c>
      <c r="L188" s="95">
        <f t="shared" si="41"/>
        <v>75.053122658619813</v>
      </c>
      <c r="M188" s="95">
        <f t="shared" si="42"/>
        <v>123.60650600454584</v>
      </c>
      <c r="N188" s="95">
        <f t="shared" si="43"/>
        <v>34.294825814354766</v>
      </c>
      <c r="O188" s="95">
        <f t="shared" si="44"/>
        <v>167.82366522424587</v>
      </c>
      <c r="P188" s="96">
        <f t="shared" si="45"/>
        <v>110.26883156032487</v>
      </c>
    </row>
    <row r="189" spans="1:16">
      <c r="A189" s="88" t="str">
        <f t="shared" si="32"/>
        <v>Sakhir</v>
      </c>
      <c r="B189" s="89">
        <f t="shared" si="31"/>
        <v>75.053122658619813</v>
      </c>
      <c r="C189" s="90">
        <f t="shared" si="35"/>
        <v>0</v>
      </c>
      <c r="D189" s="90">
        <f t="shared" si="36"/>
        <v>62</v>
      </c>
      <c r="E189" s="90">
        <f t="shared" si="37"/>
        <v>3</v>
      </c>
      <c r="F189" s="91">
        <f t="shared" si="33"/>
        <v>85</v>
      </c>
      <c r="G189" s="92">
        <f t="shared" si="38"/>
        <v>0.21057465437781986</v>
      </c>
      <c r="H189" s="91" t="s">
        <v>186</v>
      </c>
      <c r="I189" s="92">
        <f t="shared" si="39"/>
        <v>2</v>
      </c>
      <c r="J189" s="93">
        <f t="shared" si="34"/>
        <v>17</v>
      </c>
      <c r="K189" s="94">
        <f t="shared" si="40"/>
        <v>0.97685616744811155</v>
      </c>
      <c r="L189" s="95">
        <f t="shared" si="41"/>
        <v>75.053122658619813</v>
      </c>
      <c r="M189" s="95">
        <f t="shared" si="42"/>
        <v>123.60650600454584</v>
      </c>
      <c r="N189" s="95">
        <f t="shared" si="43"/>
        <v>34.505400468732589</v>
      </c>
      <c r="O189" s="95">
        <f t="shared" si="44"/>
        <v>167.82366522424587</v>
      </c>
      <c r="P189" s="96">
        <f t="shared" si="45"/>
        <v>109.91543745731472</v>
      </c>
    </row>
    <row r="190" spans="1:16">
      <c r="A190" s="88" t="str">
        <f t="shared" si="32"/>
        <v>Sakhir</v>
      </c>
      <c r="B190" s="89">
        <f t="shared" si="31"/>
        <v>75.053122658619813</v>
      </c>
      <c r="C190" s="90">
        <f t="shared" si="35"/>
        <v>0</v>
      </c>
      <c r="D190" s="90">
        <f t="shared" si="36"/>
        <v>62</v>
      </c>
      <c r="E190" s="90">
        <f t="shared" si="37"/>
        <v>3</v>
      </c>
      <c r="F190" s="91">
        <f t="shared" si="33"/>
        <v>86</v>
      </c>
      <c r="G190" s="92">
        <f t="shared" si="38"/>
        <v>0.21057465437781986</v>
      </c>
      <c r="H190" s="91" t="s">
        <v>186</v>
      </c>
      <c r="I190" s="92">
        <f t="shared" si="39"/>
        <v>2</v>
      </c>
      <c r="J190" s="93">
        <f t="shared" si="34"/>
        <v>17</v>
      </c>
      <c r="K190" s="94">
        <f t="shared" si="40"/>
        <v>0.97685616744811155</v>
      </c>
      <c r="L190" s="95">
        <f t="shared" si="41"/>
        <v>75.053122658619813</v>
      </c>
      <c r="M190" s="95">
        <f t="shared" si="42"/>
        <v>123.60650600454584</v>
      </c>
      <c r="N190" s="95">
        <f t="shared" si="43"/>
        <v>34.715975123110404</v>
      </c>
      <c r="O190" s="95">
        <f t="shared" si="44"/>
        <v>167.82366522424587</v>
      </c>
      <c r="P190" s="96">
        <f t="shared" si="45"/>
        <v>109.56204335430459</v>
      </c>
    </row>
    <row r="191" spans="1:16">
      <c r="A191" s="88" t="str">
        <f t="shared" si="32"/>
        <v>Sakhir</v>
      </c>
      <c r="B191" s="89">
        <f t="shared" si="31"/>
        <v>75.053122658619813</v>
      </c>
      <c r="C191" s="90">
        <f t="shared" si="35"/>
        <v>0</v>
      </c>
      <c r="D191" s="90">
        <f t="shared" si="36"/>
        <v>62</v>
      </c>
      <c r="E191" s="90">
        <f t="shared" si="37"/>
        <v>3</v>
      </c>
      <c r="F191" s="91">
        <f t="shared" si="33"/>
        <v>87</v>
      </c>
      <c r="G191" s="92">
        <f t="shared" si="38"/>
        <v>0.21057465437781986</v>
      </c>
      <c r="H191" s="91" t="s">
        <v>186</v>
      </c>
      <c r="I191" s="92">
        <f t="shared" si="39"/>
        <v>2</v>
      </c>
      <c r="J191" s="93">
        <f t="shared" si="34"/>
        <v>17</v>
      </c>
      <c r="K191" s="94">
        <f t="shared" si="40"/>
        <v>0.97685616744811155</v>
      </c>
      <c r="L191" s="95">
        <f t="shared" si="41"/>
        <v>75.053122658619813</v>
      </c>
      <c r="M191" s="95">
        <f t="shared" si="42"/>
        <v>123.60650600454584</v>
      </c>
      <c r="N191" s="95">
        <f t="shared" si="43"/>
        <v>34.926549777488219</v>
      </c>
      <c r="O191" s="95">
        <f t="shared" si="44"/>
        <v>167.82366522424587</v>
      </c>
      <c r="P191" s="96">
        <f t="shared" si="45"/>
        <v>109.20864925129445</v>
      </c>
    </row>
    <row r="192" spans="1:16">
      <c r="A192" s="88" t="str">
        <f t="shared" si="32"/>
        <v>Sakhir</v>
      </c>
      <c r="B192" s="89">
        <f t="shared" si="31"/>
        <v>75.053122658619813</v>
      </c>
      <c r="C192" s="90">
        <f t="shared" si="35"/>
        <v>0</v>
      </c>
      <c r="D192" s="90">
        <f t="shared" si="36"/>
        <v>62</v>
      </c>
      <c r="E192" s="90">
        <f t="shared" si="37"/>
        <v>3</v>
      </c>
      <c r="F192" s="91">
        <f t="shared" si="33"/>
        <v>88</v>
      </c>
      <c r="G192" s="92">
        <f t="shared" si="38"/>
        <v>0.21057465437781986</v>
      </c>
      <c r="H192" s="91" t="s">
        <v>186</v>
      </c>
      <c r="I192" s="92">
        <f t="shared" si="39"/>
        <v>2</v>
      </c>
      <c r="J192" s="93">
        <f t="shared" si="34"/>
        <v>17</v>
      </c>
      <c r="K192" s="94">
        <f t="shared" si="40"/>
        <v>0.97685616744811155</v>
      </c>
      <c r="L192" s="95">
        <f t="shared" si="41"/>
        <v>75.053122658619813</v>
      </c>
      <c r="M192" s="95">
        <f t="shared" si="42"/>
        <v>123.60650600454584</v>
      </c>
      <c r="N192" s="95">
        <f t="shared" si="43"/>
        <v>35.137124431866042</v>
      </c>
      <c r="O192" s="95">
        <f t="shared" si="44"/>
        <v>167.82366522424587</v>
      </c>
      <c r="P192" s="96">
        <f t="shared" si="45"/>
        <v>108.8552551482843</v>
      </c>
    </row>
    <row r="193" spans="1:16">
      <c r="A193" s="88" t="str">
        <f t="shared" si="32"/>
        <v>Sakhir</v>
      </c>
      <c r="B193" s="89">
        <f t="shared" si="31"/>
        <v>75.053122658619813</v>
      </c>
      <c r="C193" s="90">
        <f t="shared" si="35"/>
        <v>0</v>
      </c>
      <c r="D193" s="90">
        <f t="shared" si="36"/>
        <v>62</v>
      </c>
      <c r="E193" s="90">
        <f t="shared" si="37"/>
        <v>3</v>
      </c>
      <c r="F193" s="91">
        <f t="shared" si="33"/>
        <v>89</v>
      </c>
      <c r="G193" s="92">
        <f t="shared" si="38"/>
        <v>0.21057465437781986</v>
      </c>
      <c r="H193" s="91" t="s">
        <v>186</v>
      </c>
      <c r="I193" s="92">
        <f t="shared" si="39"/>
        <v>2</v>
      </c>
      <c r="J193" s="93">
        <f t="shared" si="34"/>
        <v>17</v>
      </c>
      <c r="K193" s="94">
        <f t="shared" si="40"/>
        <v>0.97685616744811155</v>
      </c>
      <c r="L193" s="95">
        <f t="shared" si="41"/>
        <v>75.053122658619813</v>
      </c>
      <c r="M193" s="95">
        <f t="shared" si="42"/>
        <v>123.60650600454584</v>
      </c>
      <c r="N193" s="95">
        <f t="shared" si="43"/>
        <v>35.347699086243864</v>
      </c>
      <c r="O193" s="95">
        <f t="shared" si="44"/>
        <v>167.82366522424587</v>
      </c>
      <c r="P193" s="96">
        <f t="shared" si="45"/>
        <v>108.50186104527415</v>
      </c>
    </row>
    <row r="194" spans="1:16">
      <c r="A194" s="88" t="str">
        <f t="shared" si="32"/>
        <v>Sakhir</v>
      </c>
      <c r="B194" s="89">
        <f t="shared" si="31"/>
        <v>75.053122658619813</v>
      </c>
      <c r="C194" s="90">
        <f t="shared" si="35"/>
        <v>0</v>
      </c>
      <c r="D194" s="90">
        <f t="shared" si="36"/>
        <v>62</v>
      </c>
      <c r="E194" s="90">
        <f t="shared" si="37"/>
        <v>3</v>
      </c>
      <c r="F194" s="91">
        <f t="shared" si="33"/>
        <v>90</v>
      </c>
      <c r="G194" s="92">
        <f t="shared" si="38"/>
        <v>0.21057465437781986</v>
      </c>
      <c r="H194" s="91" t="s">
        <v>186</v>
      </c>
      <c r="I194" s="92">
        <f t="shared" si="39"/>
        <v>2</v>
      </c>
      <c r="J194" s="93">
        <f t="shared" si="34"/>
        <v>17</v>
      </c>
      <c r="K194" s="94">
        <f t="shared" si="40"/>
        <v>0.97685616744811155</v>
      </c>
      <c r="L194" s="95">
        <f t="shared" si="41"/>
        <v>75.053122658619813</v>
      </c>
      <c r="M194" s="95">
        <f t="shared" si="42"/>
        <v>123.60650600454584</v>
      </c>
      <c r="N194" s="95">
        <f t="shared" si="43"/>
        <v>35.558273740621686</v>
      </c>
      <c r="O194" s="95">
        <f t="shared" si="44"/>
        <v>167.82366522424587</v>
      </c>
      <c r="P194" s="96">
        <f t="shared" si="45"/>
        <v>108.14846694226401</v>
      </c>
    </row>
    <row r="195" spans="1:16">
      <c r="A195" s="88" t="str">
        <f t="shared" si="32"/>
        <v>Sakhir</v>
      </c>
      <c r="B195" s="89">
        <f t="shared" ref="B195:B258" si="46">VLOOKUP(A195,$R$3:$S$60,2,0)</f>
        <v>75.053122658619813</v>
      </c>
      <c r="C195" s="90">
        <f t="shared" si="35"/>
        <v>0</v>
      </c>
      <c r="D195" s="90">
        <f t="shared" si="36"/>
        <v>62</v>
      </c>
      <c r="E195" s="90">
        <f t="shared" si="37"/>
        <v>3</v>
      </c>
      <c r="F195" s="91">
        <f t="shared" si="33"/>
        <v>91</v>
      </c>
      <c r="G195" s="92">
        <f t="shared" si="38"/>
        <v>0.21057465437781986</v>
      </c>
      <c r="H195" s="91" t="s">
        <v>186</v>
      </c>
      <c r="I195" s="92">
        <f t="shared" si="39"/>
        <v>2</v>
      </c>
      <c r="J195" s="93">
        <f t="shared" si="34"/>
        <v>17</v>
      </c>
      <c r="K195" s="94">
        <f t="shared" si="40"/>
        <v>0.97685616744811155</v>
      </c>
      <c r="L195" s="95">
        <f t="shared" si="41"/>
        <v>75.053122658619813</v>
      </c>
      <c r="M195" s="95">
        <f t="shared" si="42"/>
        <v>123.60650600454584</v>
      </c>
      <c r="N195" s="95">
        <f t="shared" si="43"/>
        <v>35.768848394999509</v>
      </c>
      <c r="O195" s="95">
        <f t="shared" si="44"/>
        <v>167.82366522424587</v>
      </c>
      <c r="P195" s="96">
        <f t="shared" si="45"/>
        <v>107.79507283925386</v>
      </c>
    </row>
    <row r="196" spans="1:16">
      <c r="A196" s="88" t="str">
        <f t="shared" si="32"/>
        <v>Sakhir</v>
      </c>
      <c r="B196" s="89">
        <f t="shared" si="46"/>
        <v>75.053122658619813</v>
      </c>
      <c r="C196" s="90">
        <f t="shared" si="35"/>
        <v>0</v>
      </c>
      <c r="D196" s="90">
        <f t="shared" si="36"/>
        <v>62</v>
      </c>
      <c r="E196" s="90">
        <f t="shared" si="37"/>
        <v>3</v>
      </c>
      <c r="F196" s="91">
        <f t="shared" si="33"/>
        <v>92</v>
      </c>
      <c r="G196" s="92">
        <f t="shared" si="38"/>
        <v>0.21057465437781986</v>
      </c>
      <c r="H196" s="91" t="s">
        <v>186</v>
      </c>
      <c r="I196" s="92">
        <f t="shared" si="39"/>
        <v>2</v>
      </c>
      <c r="J196" s="93">
        <f t="shared" si="34"/>
        <v>17</v>
      </c>
      <c r="K196" s="94">
        <f t="shared" si="40"/>
        <v>0.97685616744811155</v>
      </c>
      <c r="L196" s="95">
        <f t="shared" si="41"/>
        <v>75.053122658619813</v>
      </c>
      <c r="M196" s="95">
        <f t="shared" si="42"/>
        <v>123.60650600454584</v>
      </c>
      <c r="N196" s="95">
        <f t="shared" si="43"/>
        <v>35.979423049377324</v>
      </c>
      <c r="O196" s="95">
        <f t="shared" si="44"/>
        <v>167.82366522424587</v>
      </c>
      <c r="P196" s="96">
        <f t="shared" si="45"/>
        <v>107.44167873624372</v>
      </c>
    </row>
    <row r="197" spans="1:16">
      <c r="A197" s="88" t="str">
        <f t="shared" ref="A197:A260" si="47">A196</f>
        <v>Sakhir</v>
      </c>
      <c r="B197" s="89">
        <f t="shared" si="46"/>
        <v>75.053122658619813</v>
      </c>
      <c r="C197" s="90">
        <f t="shared" si="35"/>
        <v>0</v>
      </c>
      <c r="D197" s="90">
        <f t="shared" si="36"/>
        <v>62</v>
      </c>
      <c r="E197" s="90">
        <f t="shared" si="37"/>
        <v>3</v>
      </c>
      <c r="F197" s="91">
        <f t="shared" ref="F197:F260" si="48">F196+1</f>
        <v>93</v>
      </c>
      <c r="G197" s="92">
        <f t="shared" si="38"/>
        <v>0.21057465437781986</v>
      </c>
      <c r="H197" s="91" t="s">
        <v>186</v>
      </c>
      <c r="I197" s="92">
        <f t="shared" si="39"/>
        <v>2</v>
      </c>
      <c r="J197" s="93">
        <f t="shared" ref="J197:J260" si="49">J196</f>
        <v>17</v>
      </c>
      <c r="K197" s="94">
        <f t="shared" si="40"/>
        <v>0.97685616744811155</v>
      </c>
      <c r="L197" s="95">
        <f t="shared" si="41"/>
        <v>75.053122658619813</v>
      </c>
      <c r="M197" s="95">
        <f t="shared" si="42"/>
        <v>123.60650600454584</v>
      </c>
      <c r="N197" s="95">
        <f t="shared" si="43"/>
        <v>36.189997703755139</v>
      </c>
      <c r="O197" s="95">
        <f t="shared" si="44"/>
        <v>167.82366522424587</v>
      </c>
      <c r="P197" s="96">
        <f t="shared" si="45"/>
        <v>107.08828463323358</v>
      </c>
    </row>
    <row r="198" spans="1:16">
      <c r="A198" s="88" t="str">
        <f t="shared" si="47"/>
        <v>Sakhir</v>
      </c>
      <c r="B198" s="89">
        <f t="shared" si="46"/>
        <v>75.053122658619813</v>
      </c>
      <c r="C198" s="90">
        <f t="shared" si="35"/>
        <v>0</v>
      </c>
      <c r="D198" s="90">
        <f t="shared" si="36"/>
        <v>62</v>
      </c>
      <c r="E198" s="90">
        <f t="shared" si="37"/>
        <v>3</v>
      </c>
      <c r="F198" s="91">
        <f t="shared" si="48"/>
        <v>94</v>
      </c>
      <c r="G198" s="92">
        <f t="shared" si="38"/>
        <v>0.21057465437781986</v>
      </c>
      <c r="H198" s="91" t="s">
        <v>186</v>
      </c>
      <c r="I198" s="92">
        <f t="shared" si="39"/>
        <v>2</v>
      </c>
      <c r="J198" s="93">
        <f t="shared" si="49"/>
        <v>17</v>
      </c>
      <c r="K198" s="94">
        <f t="shared" si="40"/>
        <v>0.97685616744811155</v>
      </c>
      <c r="L198" s="95">
        <f t="shared" si="41"/>
        <v>75.053122658619813</v>
      </c>
      <c r="M198" s="95">
        <f t="shared" si="42"/>
        <v>123.60650600454584</v>
      </c>
      <c r="N198" s="95">
        <f t="shared" si="43"/>
        <v>36.400572358132962</v>
      </c>
      <c r="O198" s="95">
        <f t="shared" si="44"/>
        <v>167.82366522424587</v>
      </c>
      <c r="P198" s="96">
        <f t="shared" si="45"/>
        <v>106.73489053022342</v>
      </c>
    </row>
    <row r="199" spans="1:16">
      <c r="A199" s="88" t="str">
        <f t="shared" si="47"/>
        <v>Sakhir</v>
      </c>
      <c r="B199" s="89">
        <f t="shared" si="46"/>
        <v>75.053122658619813</v>
      </c>
      <c r="C199" s="90">
        <f t="shared" ref="C199:C262" si="50">C198</f>
        <v>0</v>
      </c>
      <c r="D199" s="90">
        <f t="shared" ref="D199:D262" si="51">D198</f>
        <v>62</v>
      </c>
      <c r="E199" s="90">
        <f t="shared" ref="E199:E262" si="52">E198</f>
        <v>3</v>
      </c>
      <c r="F199" s="91">
        <f t="shared" si="48"/>
        <v>95</v>
      </c>
      <c r="G199" s="92">
        <f t="shared" ref="G199:G262" si="53">VLOOKUP(H199,$U$5:$X$8,3,0)</f>
        <v>0.21057465437781986</v>
      </c>
      <c r="H199" s="91" t="s">
        <v>186</v>
      </c>
      <c r="I199" s="92">
        <f t="shared" ref="I199:I262" si="54">VLOOKUP(H199,$U$5:$V$8,2,0)</f>
        <v>2</v>
      </c>
      <c r="J199" s="93">
        <f t="shared" si="49"/>
        <v>17</v>
      </c>
      <c r="K199" s="94">
        <f t="shared" ref="K199:K262" si="55">VLOOKUP(H199,$U$5:$X$8,4,0)</f>
        <v>0.97685616744811155</v>
      </c>
      <c r="L199" s="95">
        <f t="shared" ref="L199:L262" si="56">B199</f>
        <v>75.053122658619813</v>
      </c>
      <c r="M199" s="95">
        <f t="shared" ref="M199:M262" si="57">C199*$V$10+$V$11*D199+E199*$V$12+I199*$V$13</f>
        <v>123.60650600454584</v>
      </c>
      <c r="N199" s="95">
        <f t="shared" ref="N199:N262" si="58">G199*F199+J199*K199</f>
        <v>36.611147012510784</v>
      </c>
      <c r="O199" s="95">
        <f t="shared" ref="O199:O262" si="59">L199+((L199*M199)/100)</f>
        <v>167.82366522424587</v>
      </c>
      <c r="P199" s="96">
        <f t="shared" ref="P199:P262" si="60">O199-((O199*N199)/100)</f>
        <v>106.38149642721328</v>
      </c>
    </row>
    <row r="200" spans="1:16">
      <c r="A200" s="88" t="str">
        <f t="shared" si="47"/>
        <v>Sakhir</v>
      </c>
      <c r="B200" s="89">
        <f t="shared" si="46"/>
        <v>75.053122658619813</v>
      </c>
      <c r="C200" s="90">
        <f t="shared" si="50"/>
        <v>0</v>
      </c>
      <c r="D200" s="90">
        <f t="shared" si="51"/>
        <v>62</v>
      </c>
      <c r="E200" s="90">
        <f t="shared" si="52"/>
        <v>3</v>
      </c>
      <c r="F200" s="91">
        <f t="shared" si="48"/>
        <v>96</v>
      </c>
      <c r="G200" s="92">
        <f t="shared" si="53"/>
        <v>0.21057465437781986</v>
      </c>
      <c r="H200" s="91" t="s">
        <v>186</v>
      </c>
      <c r="I200" s="92">
        <f t="shared" si="54"/>
        <v>2</v>
      </c>
      <c r="J200" s="93">
        <f t="shared" si="49"/>
        <v>17</v>
      </c>
      <c r="K200" s="94">
        <f t="shared" si="55"/>
        <v>0.97685616744811155</v>
      </c>
      <c r="L200" s="95">
        <f t="shared" si="56"/>
        <v>75.053122658619813</v>
      </c>
      <c r="M200" s="95">
        <f t="shared" si="57"/>
        <v>123.60650600454584</v>
      </c>
      <c r="N200" s="95">
        <f t="shared" si="58"/>
        <v>36.821721666888607</v>
      </c>
      <c r="O200" s="95">
        <f t="shared" si="59"/>
        <v>167.82366522424587</v>
      </c>
      <c r="P200" s="96">
        <f t="shared" si="60"/>
        <v>106.02810232420313</v>
      </c>
    </row>
    <row r="201" spans="1:16">
      <c r="A201" s="88" t="str">
        <f t="shared" si="47"/>
        <v>Sakhir</v>
      </c>
      <c r="B201" s="89">
        <f t="shared" si="46"/>
        <v>75.053122658619813</v>
      </c>
      <c r="C201" s="90">
        <f t="shared" si="50"/>
        <v>0</v>
      </c>
      <c r="D201" s="90">
        <f t="shared" si="51"/>
        <v>62</v>
      </c>
      <c r="E201" s="90">
        <f t="shared" si="52"/>
        <v>3</v>
      </c>
      <c r="F201" s="91">
        <f t="shared" si="48"/>
        <v>97</v>
      </c>
      <c r="G201" s="92">
        <f t="shared" si="53"/>
        <v>0.21057465437781986</v>
      </c>
      <c r="H201" s="91" t="s">
        <v>186</v>
      </c>
      <c r="I201" s="92">
        <f t="shared" si="54"/>
        <v>2</v>
      </c>
      <c r="J201" s="93">
        <f t="shared" si="49"/>
        <v>17</v>
      </c>
      <c r="K201" s="94">
        <f t="shared" si="55"/>
        <v>0.97685616744811155</v>
      </c>
      <c r="L201" s="95">
        <f t="shared" si="56"/>
        <v>75.053122658619813</v>
      </c>
      <c r="M201" s="95">
        <f t="shared" si="57"/>
        <v>123.60650600454584</v>
      </c>
      <c r="N201" s="95">
        <f t="shared" si="58"/>
        <v>37.032296321266422</v>
      </c>
      <c r="O201" s="95">
        <f t="shared" si="59"/>
        <v>167.82366522424587</v>
      </c>
      <c r="P201" s="96">
        <f t="shared" si="60"/>
        <v>105.67470822119299</v>
      </c>
    </row>
    <row r="202" spans="1:16">
      <c r="A202" s="88" t="str">
        <f t="shared" si="47"/>
        <v>Sakhir</v>
      </c>
      <c r="B202" s="89">
        <f t="shared" si="46"/>
        <v>75.053122658619813</v>
      </c>
      <c r="C202" s="90">
        <f t="shared" si="50"/>
        <v>0</v>
      </c>
      <c r="D202" s="90">
        <f t="shared" si="51"/>
        <v>62</v>
      </c>
      <c r="E202" s="90">
        <f t="shared" si="52"/>
        <v>3</v>
      </c>
      <c r="F202" s="91">
        <f t="shared" si="48"/>
        <v>98</v>
      </c>
      <c r="G202" s="92">
        <f t="shared" si="53"/>
        <v>0.21057465437781986</v>
      </c>
      <c r="H202" s="91" t="s">
        <v>186</v>
      </c>
      <c r="I202" s="92">
        <f t="shared" si="54"/>
        <v>2</v>
      </c>
      <c r="J202" s="93">
        <f t="shared" si="49"/>
        <v>17</v>
      </c>
      <c r="K202" s="94">
        <f t="shared" si="55"/>
        <v>0.97685616744811155</v>
      </c>
      <c r="L202" s="95">
        <f t="shared" si="56"/>
        <v>75.053122658619813</v>
      </c>
      <c r="M202" s="95">
        <f t="shared" si="57"/>
        <v>123.60650600454584</v>
      </c>
      <c r="N202" s="95">
        <f t="shared" si="58"/>
        <v>37.242870975644244</v>
      </c>
      <c r="O202" s="95">
        <f t="shared" si="59"/>
        <v>167.82366522424587</v>
      </c>
      <c r="P202" s="96">
        <f t="shared" si="60"/>
        <v>105.32131411818284</v>
      </c>
    </row>
    <row r="203" spans="1:16">
      <c r="A203" s="88" t="str">
        <f t="shared" si="47"/>
        <v>Sakhir</v>
      </c>
      <c r="B203" s="89">
        <f t="shared" si="46"/>
        <v>75.053122658619813</v>
      </c>
      <c r="C203" s="90">
        <f t="shared" si="50"/>
        <v>0</v>
      </c>
      <c r="D203" s="90">
        <f t="shared" si="51"/>
        <v>62</v>
      </c>
      <c r="E203" s="90">
        <f t="shared" si="52"/>
        <v>3</v>
      </c>
      <c r="F203" s="91">
        <f t="shared" si="48"/>
        <v>99</v>
      </c>
      <c r="G203" s="92">
        <f t="shared" si="53"/>
        <v>0.21057465437781986</v>
      </c>
      <c r="H203" s="91" t="s">
        <v>186</v>
      </c>
      <c r="I203" s="92">
        <f t="shared" si="54"/>
        <v>2</v>
      </c>
      <c r="J203" s="93">
        <f t="shared" si="49"/>
        <v>17</v>
      </c>
      <c r="K203" s="94">
        <f t="shared" si="55"/>
        <v>0.97685616744811155</v>
      </c>
      <c r="L203" s="95">
        <f t="shared" si="56"/>
        <v>75.053122658619813</v>
      </c>
      <c r="M203" s="95">
        <f t="shared" si="57"/>
        <v>123.60650600454584</v>
      </c>
      <c r="N203" s="95">
        <f t="shared" si="58"/>
        <v>37.45344563002206</v>
      </c>
      <c r="O203" s="95">
        <f t="shared" si="59"/>
        <v>167.82366522424587</v>
      </c>
      <c r="P203" s="96">
        <f t="shared" si="60"/>
        <v>104.96792001517271</v>
      </c>
    </row>
    <row r="204" spans="1:16">
      <c r="A204" s="88" t="str">
        <f t="shared" si="47"/>
        <v>Sakhir</v>
      </c>
      <c r="B204" s="89">
        <f t="shared" si="46"/>
        <v>75.053122658619813</v>
      </c>
      <c r="C204" s="90">
        <f t="shared" si="50"/>
        <v>0</v>
      </c>
      <c r="D204" s="90">
        <f t="shared" si="51"/>
        <v>62</v>
      </c>
      <c r="E204" s="90">
        <f t="shared" si="52"/>
        <v>3</v>
      </c>
      <c r="F204" s="91">
        <f t="shared" si="48"/>
        <v>100</v>
      </c>
      <c r="G204" s="92">
        <f t="shared" si="53"/>
        <v>0.21057465437781986</v>
      </c>
      <c r="H204" s="91" t="s">
        <v>186</v>
      </c>
      <c r="I204" s="92">
        <f t="shared" si="54"/>
        <v>2</v>
      </c>
      <c r="J204" s="93">
        <f t="shared" si="49"/>
        <v>17</v>
      </c>
      <c r="K204" s="94">
        <f t="shared" si="55"/>
        <v>0.97685616744811155</v>
      </c>
      <c r="L204" s="95">
        <f t="shared" si="56"/>
        <v>75.053122658619813</v>
      </c>
      <c r="M204" s="95">
        <f t="shared" si="57"/>
        <v>123.60650600454584</v>
      </c>
      <c r="N204" s="95">
        <f t="shared" si="58"/>
        <v>37.664020284399882</v>
      </c>
      <c r="O204" s="95">
        <f t="shared" si="59"/>
        <v>167.82366522424587</v>
      </c>
      <c r="P204" s="96">
        <f t="shared" si="60"/>
        <v>104.61452591216255</v>
      </c>
    </row>
    <row r="205" spans="1:16">
      <c r="A205" s="88" t="str">
        <f t="shared" si="47"/>
        <v>Sakhir</v>
      </c>
      <c r="B205" s="89">
        <f t="shared" si="46"/>
        <v>75.053122658619813</v>
      </c>
      <c r="C205" s="90">
        <f t="shared" si="50"/>
        <v>0</v>
      </c>
      <c r="D205" s="90">
        <f t="shared" si="51"/>
        <v>62</v>
      </c>
      <c r="E205" s="90">
        <f t="shared" si="52"/>
        <v>3</v>
      </c>
      <c r="F205" s="91">
        <v>0</v>
      </c>
      <c r="G205" s="92">
        <f t="shared" si="53"/>
        <v>0.23111450252550558</v>
      </c>
      <c r="H205" s="91" t="s">
        <v>135</v>
      </c>
      <c r="I205" s="92">
        <f t="shared" si="54"/>
        <v>3</v>
      </c>
      <c r="J205" s="93">
        <f t="shared" si="49"/>
        <v>17</v>
      </c>
      <c r="K205" s="94">
        <f t="shared" si="55"/>
        <v>0.76808799417676743</v>
      </c>
      <c r="L205" s="95">
        <f t="shared" si="56"/>
        <v>75.053122658619813</v>
      </c>
      <c r="M205" s="95">
        <f t="shared" si="57"/>
        <v>180.58460864345105</v>
      </c>
      <c r="N205" s="95">
        <f t="shared" si="58"/>
        <v>13.057495901005046</v>
      </c>
      <c r="O205" s="95">
        <f t="shared" si="59"/>
        <v>210.58751048637771</v>
      </c>
      <c r="P205" s="96">
        <f t="shared" si="60"/>
        <v>183.09005493659038</v>
      </c>
    </row>
    <row r="206" spans="1:16">
      <c r="A206" s="88" t="str">
        <f t="shared" si="47"/>
        <v>Sakhir</v>
      </c>
      <c r="B206" s="89">
        <f t="shared" si="46"/>
        <v>75.053122658619813</v>
      </c>
      <c r="C206" s="90">
        <f t="shared" si="50"/>
        <v>0</v>
      </c>
      <c r="D206" s="90">
        <f t="shared" si="51"/>
        <v>62</v>
      </c>
      <c r="E206" s="90">
        <f t="shared" si="52"/>
        <v>3</v>
      </c>
      <c r="F206" s="91">
        <f t="shared" si="48"/>
        <v>1</v>
      </c>
      <c r="G206" s="92">
        <f t="shared" si="53"/>
        <v>0.23111450252550558</v>
      </c>
      <c r="H206" s="91" t="s">
        <v>135</v>
      </c>
      <c r="I206" s="92">
        <f t="shared" si="54"/>
        <v>3</v>
      </c>
      <c r="J206" s="93">
        <f t="shared" si="49"/>
        <v>17</v>
      </c>
      <c r="K206" s="94">
        <f t="shared" si="55"/>
        <v>0.76808799417676743</v>
      </c>
      <c r="L206" s="95">
        <f t="shared" si="56"/>
        <v>75.053122658619813</v>
      </c>
      <c r="M206" s="95">
        <f t="shared" si="57"/>
        <v>180.58460864345105</v>
      </c>
      <c r="N206" s="95">
        <f t="shared" si="58"/>
        <v>13.288610403530551</v>
      </c>
      <c r="O206" s="95">
        <f t="shared" si="59"/>
        <v>210.58751048637771</v>
      </c>
      <c r="P206" s="96">
        <f t="shared" si="60"/>
        <v>182.60335665934892</v>
      </c>
    </row>
    <row r="207" spans="1:16">
      <c r="A207" s="88" t="str">
        <f t="shared" si="47"/>
        <v>Sakhir</v>
      </c>
      <c r="B207" s="89">
        <f t="shared" si="46"/>
        <v>75.053122658619813</v>
      </c>
      <c r="C207" s="90">
        <f t="shared" si="50"/>
        <v>0</v>
      </c>
      <c r="D207" s="90">
        <f t="shared" si="51"/>
        <v>62</v>
      </c>
      <c r="E207" s="90">
        <f t="shared" si="52"/>
        <v>3</v>
      </c>
      <c r="F207" s="91">
        <f t="shared" si="48"/>
        <v>2</v>
      </c>
      <c r="G207" s="92">
        <f t="shared" si="53"/>
        <v>0.23111450252550558</v>
      </c>
      <c r="H207" s="91" t="s">
        <v>135</v>
      </c>
      <c r="I207" s="92">
        <f t="shared" si="54"/>
        <v>3</v>
      </c>
      <c r="J207" s="93">
        <f t="shared" si="49"/>
        <v>17</v>
      </c>
      <c r="K207" s="94">
        <f t="shared" si="55"/>
        <v>0.76808799417676743</v>
      </c>
      <c r="L207" s="95">
        <f t="shared" si="56"/>
        <v>75.053122658619813</v>
      </c>
      <c r="M207" s="95">
        <f t="shared" si="57"/>
        <v>180.58460864345105</v>
      </c>
      <c r="N207" s="95">
        <f t="shared" si="58"/>
        <v>13.519724906056057</v>
      </c>
      <c r="O207" s="95">
        <f t="shared" si="59"/>
        <v>210.58751048637771</v>
      </c>
      <c r="P207" s="96">
        <f t="shared" si="60"/>
        <v>182.11665838210749</v>
      </c>
    </row>
    <row r="208" spans="1:16">
      <c r="A208" s="88" t="str">
        <f t="shared" si="47"/>
        <v>Sakhir</v>
      </c>
      <c r="B208" s="89">
        <f t="shared" si="46"/>
        <v>75.053122658619813</v>
      </c>
      <c r="C208" s="90">
        <f t="shared" si="50"/>
        <v>0</v>
      </c>
      <c r="D208" s="90">
        <f t="shared" si="51"/>
        <v>62</v>
      </c>
      <c r="E208" s="90">
        <f t="shared" si="52"/>
        <v>3</v>
      </c>
      <c r="F208" s="91">
        <f t="shared" si="48"/>
        <v>3</v>
      </c>
      <c r="G208" s="92">
        <f t="shared" si="53"/>
        <v>0.23111450252550558</v>
      </c>
      <c r="H208" s="91" t="s">
        <v>135</v>
      </c>
      <c r="I208" s="92">
        <f t="shared" si="54"/>
        <v>3</v>
      </c>
      <c r="J208" s="93">
        <f t="shared" si="49"/>
        <v>17</v>
      </c>
      <c r="K208" s="94">
        <f t="shared" si="55"/>
        <v>0.76808799417676743</v>
      </c>
      <c r="L208" s="95">
        <f t="shared" si="56"/>
        <v>75.053122658619813</v>
      </c>
      <c r="M208" s="95">
        <f t="shared" si="57"/>
        <v>180.58460864345105</v>
      </c>
      <c r="N208" s="95">
        <f t="shared" si="58"/>
        <v>13.750839408581562</v>
      </c>
      <c r="O208" s="95">
        <f t="shared" si="59"/>
        <v>210.58751048637771</v>
      </c>
      <c r="P208" s="96">
        <f t="shared" si="60"/>
        <v>181.62996010486606</v>
      </c>
    </row>
    <row r="209" spans="1:16">
      <c r="A209" s="88" t="str">
        <f t="shared" si="47"/>
        <v>Sakhir</v>
      </c>
      <c r="B209" s="89">
        <f t="shared" si="46"/>
        <v>75.053122658619813</v>
      </c>
      <c r="C209" s="90">
        <f t="shared" si="50"/>
        <v>0</v>
      </c>
      <c r="D209" s="90">
        <f t="shared" si="51"/>
        <v>62</v>
      </c>
      <c r="E209" s="90">
        <f t="shared" si="52"/>
        <v>3</v>
      </c>
      <c r="F209" s="91">
        <f t="shared" si="48"/>
        <v>4</v>
      </c>
      <c r="G209" s="92">
        <f t="shared" si="53"/>
        <v>0.23111450252550558</v>
      </c>
      <c r="H209" s="91" t="s">
        <v>135</v>
      </c>
      <c r="I209" s="92">
        <f t="shared" si="54"/>
        <v>3</v>
      </c>
      <c r="J209" s="93">
        <f t="shared" si="49"/>
        <v>17</v>
      </c>
      <c r="K209" s="94">
        <f t="shared" si="55"/>
        <v>0.76808799417676743</v>
      </c>
      <c r="L209" s="95">
        <f t="shared" si="56"/>
        <v>75.053122658619813</v>
      </c>
      <c r="M209" s="95">
        <f t="shared" si="57"/>
        <v>180.58460864345105</v>
      </c>
      <c r="N209" s="95">
        <f t="shared" si="58"/>
        <v>13.981953911107068</v>
      </c>
      <c r="O209" s="95">
        <f t="shared" si="59"/>
        <v>210.58751048637771</v>
      </c>
      <c r="P209" s="96">
        <f t="shared" si="60"/>
        <v>181.1432618276246</v>
      </c>
    </row>
    <row r="210" spans="1:16">
      <c r="A210" s="88" t="str">
        <f t="shared" si="47"/>
        <v>Sakhir</v>
      </c>
      <c r="B210" s="89">
        <f t="shared" si="46"/>
        <v>75.053122658619813</v>
      </c>
      <c r="C210" s="90">
        <f t="shared" si="50"/>
        <v>0</v>
      </c>
      <c r="D210" s="90">
        <f t="shared" si="51"/>
        <v>62</v>
      </c>
      <c r="E210" s="90">
        <f t="shared" si="52"/>
        <v>3</v>
      </c>
      <c r="F210" s="91">
        <f t="shared" si="48"/>
        <v>5</v>
      </c>
      <c r="G210" s="92">
        <f t="shared" si="53"/>
        <v>0.23111450252550558</v>
      </c>
      <c r="H210" s="91" t="s">
        <v>135</v>
      </c>
      <c r="I210" s="92">
        <f t="shared" si="54"/>
        <v>3</v>
      </c>
      <c r="J210" s="93">
        <f t="shared" si="49"/>
        <v>17</v>
      </c>
      <c r="K210" s="94">
        <f t="shared" si="55"/>
        <v>0.76808799417676743</v>
      </c>
      <c r="L210" s="95">
        <f t="shared" si="56"/>
        <v>75.053122658619813</v>
      </c>
      <c r="M210" s="95">
        <f t="shared" si="57"/>
        <v>180.58460864345105</v>
      </c>
      <c r="N210" s="95">
        <f t="shared" si="58"/>
        <v>14.213068413632573</v>
      </c>
      <c r="O210" s="95">
        <f t="shared" si="59"/>
        <v>210.58751048637771</v>
      </c>
      <c r="P210" s="96">
        <f t="shared" si="60"/>
        <v>180.65656355038317</v>
      </c>
    </row>
    <row r="211" spans="1:16">
      <c r="A211" s="88" t="str">
        <f t="shared" si="47"/>
        <v>Sakhir</v>
      </c>
      <c r="B211" s="89">
        <f t="shared" si="46"/>
        <v>75.053122658619813</v>
      </c>
      <c r="C211" s="90">
        <f t="shared" si="50"/>
        <v>0</v>
      </c>
      <c r="D211" s="90">
        <f t="shared" si="51"/>
        <v>62</v>
      </c>
      <c r="E211" s="90">
        <f t="shared" si="52"/>
        <v>3</v>
      </c>
      <c r="F211" s="91">
        <f t="shared" si="48"/>
        <v>6</v>
      </c>
      <c r="G211" s="92">
        <f t="shared" si="53"/>
        <v>0.23111450252550558</v>
      </c>
      <c r="H211" s="91" t="s">
        <v>135</v>
      </c>
      <c r="I211" s="92">
        <f t="shared" si="54"/>
        <v>3</v>
      </c>
      <c r="J211" s="93">
        <f t="shared" si="49"/>
        <v>17</v>
      </c>
      <c r="K211" s="94">
        <f t="shared" si="55"/>
        <v>0.76808799417676743</v>
      </c>
      <c r="L211" s="95">
        <f t="shared" si="56"/>
        <v>75.053122658619813</v>
      </c>
      <c r="M211" s="95">
        <f t="shared" si="57"/>
        <v>180.58460864345105</v>
      </c>
      <c r="N211" s="95">
        <f t="shared" si="58"/>
        <v>14.444182916158079</v>
      </c>
      <c r="O211" s="95">
        <f t="shared" si="59"/>
        <v>210.58751048637771</v>
      </c>
      <c r="P211" s="96">
        <f t="shared" si="60"/>
        <v>180.16986527314174</v>
      </c>
    </row>
    <row r="212" spans="1:16">
      <c r="A212" s="88" t="str">
        <f t="shared" si="47"/>
        <v>Sakhir</v>
      </c>
      <c r="B212" s="89">
        <f t="shared" si="46"/>
        <v>75.053122658619813</v>
      </c>
      <c r="C212" s="90">
        <f t="shared" si="50"/>
        <v>0</v>
      </c>
      <c r="D212" s="90">
        <f t="shared" si="51"/>
        <v>62</v>
      </c>
      <c r="E212" s="90">
        <f t="shared" si="52"/>
        <v>3</v>
      </c>
      <c r="F212" s="91">
        <f t="shared" si="48"/>
        <v>7</v>
      </c>
      <c r="G212" s="92">
        <f t="shared" si="53"/>
        <v>0.23111450252550558</v>
      </c>
      <c r="H212" s="91" t="s">
        <v>135</v>
      </c>
      <c r="I212" s="92">
        <f t="shared" si="54"/>
        <v>3</v>
      </c>
      <c r="J212" s="93">
        <f t="shared" si="49"/>
        <v>17</v>
      </c>
      <c r="K212" s="94">
        <f t="shared" si="55"/>
        <v>0.76808799417676743</v>
      </c>
      <c r="L212" s="95">
        <f t="shared" si="56"/>
        <v>75.053122658619813</v>
      </c>
      <c r="M212" s="95">
        <f t="shared" si="57"/>
        <v>180.58460864345105</v>
      </c>
      <c r="N212" s="95">
        <f t="shared" si="58"/>
        <v>14.675297418683584</v>
      </c>
      <c r="O212" s="95">
        <f t="shared" si="59"/>
        <v>210.58751048637771</v>
      </c>
      <c r="P212" s="96">
        <f t="shared" si="60"/>
        <v>179.68316699590031</v>
      </c>
    </row>
    <row r="213" spans="1:16">
      <c r="A213" s="88" t="str">
        <f t="shared" si="47"/>
        <v>Sakhir</v>
      </c>
      <c r="B213" s="89">
        <f t="shared" si="46"/>
        <v>75.053122658619813</v>
      </c>
      <c r="C213" s="90">
        <f t="shared" si="50"/>
        <v>0</v>
      </c>
      <c r="D213" s="90">
        <f t="shared" si="51"/>
        <v>62</v>
      </c>
      <c r="E213" s="90">
        <f t="shared" si="52"/>
        <v>3</v>
      </c>
      <c r="F213" s="91">
        <f t="shared" si="48"/>
        <v>8</v>
      </c>
      <c r="G213" s="92">
        <f t="shared" si="53"/>
        <v>0.23111450252550558</v>
      </c>
      <c r="H213" s="91" t="s">
        <v>135</v>
      </c>
      <c r="I213" s="92">
        <f t="shared" si="54"/>
        <v>3</v>
      </c>
      <c r="J213" s="93">
        <f t="shared" si="49"/>
        <v>17</v>
      </c>
      <c r="K213" s="94">
        <f t="shared" si="55"/>
        <v>0.76808799417676743</v>
      </c>
      <c r="L213" s="95">
        <f t="shared" si="56"/>
        <v>75.053122658619813</v>
      </c>
      <c r="M213" s="95">
        <f t="shared" si="57"/>
        <v>180.58460864345105</v>
      </c>
      <c r="N213" s="95">
        <f t="shared" si="58"/>
        <v>14.906411921209092</v>
      </c>
      <c r="O213" s="95">
        <f t="shared" si="59"/>
        <v>210.58751048637771</v>
      </c>
      <c r="P213" s="96">
        <f t="shared" si="60"/>
        <v>179.19646871865885</v>
      </c>
    </row>
    <row r="214" spans="1:16">
      <c r="A214" s="88" t="str">
        <f t="shared" si="47"/>
        <v>Sakhir</v>
      </c>
      <c r="B214" s="89">
        <f t="shared" si="46"/>
        <v>75.053122658619813</v>
      </c>
      <c r="C214" s="90">
        <f t="shared" si="50"/>
        <v>0</v>
      </c>
      <c r="D214" s="90">
        <f t="shared" si="51"/>
        <v>62</v>
      </c>
      <c r="E214" s="90">
        <f t="shared" si="52"/>
        <v>3</v>
      </c>
      <c r="F214" s="91">
        <f t="shared" si="48"/>
        <v>9</v>
      </c>
      <c r="G214" s="92">
        <f t="shared" si="53"/>
        <v>0.23111450252550558</v>
      </c>
      <c r="H214" s="91" t="s">
        <v>135</v>
      </c>
      <c r="I214" s="92">
        <f t="shared" si="54"/>
        <v>3</v>
      </c>
      <c r="J214" s="93">
        <f t="shared" si="49"/>
        <v>17</v>
      </c>
      <c r="K214" s="94">
        <f t="shared" si="55"/>
        <v>0.76808799417676743</v>
      </c>
      <c r="L214" s="95">
        <f t="shared" si="56"/>
        <v>75.053122658619813</v>
      </c>
      <c r="M214" s="95">
        <f t="shared" si="57"/>
        <v>180.58460864345105</v>
      </c>
      <c r="N214" s="95">
        <f t="shared" si="58"/>
        <v>15.137526423734595</v>
      </c>
      <c r="O214" s="95">
        <f t="shared" si="59"/>
        <v>210.58751048637771</v>
      </c>
      <c r="P214" s="96">
        <f t="shared" si="60"/>
        <v>178.70977044141742</v>
      </c>
    </row>
    <row r="215" spans="1:16">
      <c r="A215" s="88" t="str">
        <f t="shared" si="47"/>
        <v>Sakhir</v>
      </c>
      <c r="B215" s="89">
        <f t="shared" si="46"/>
        <v>75.053122658619813</v>
      </c>
      <c r="C215" s="90">
        <f t="shared" si="50"/>
        <v>0</v>
      </c>
      <c r="D215" s="90">
        <f t="shared" si="51"/>
        <v>62</v>
      </c>
      <c r="E215" s="90">
        <f t="shared" si="52"/>
        <v>3</v>
      </c>
      <c r="F215" s="91">
        <f t="shared" si="48"/>
        <v>10</v>
      </c>
      <c r="G215" s="92">
        <f t="shared" si="53"/>
        <v>0.23111450252550558</v>
      </c>
      <c r="H215" s="91" t="s">
        <v>135</v>
      </c>
      <c r="I215" s="92">
        <f t="shared" si="54"/>
        <v>3</v>
      </c>
      <c r="J215" s="93">
        <f t="shared" si="49"/>
        <v>17</v>
      </c>
      <c r="K215" s="94">
        <f t="shared" si="55"/>
        <v>0.76808799417676743</v>
      </c>
      <c r="L215" s="95">
        <f t="shared" si="56"/>
        <v>75.053122658619813</v>
      </c>
      <c r="M215" s="95">
        <f t="shared" si="57"/>
        <v>180.58460864345105</v>
      </c>
      <c r="N215" s="95">
        <f t="shared" si="58"/>
        <v>15.368640926260102</v>
      </c>
      <c r="O215" s="95">
        <f t="shared" si="59"/>
        <v>210.58751048637771</v>
      </c>
      <c r="P215" s="96">
        <f t="shared" si="60"/>
        <v>178.22307216417599</v>
      </c>
    </row>
    <row r="216" spans="1:16">
      <c r="A216" s="88" t="str">
        <f t="shared" si="47"/>
        <v>Sakhir</v>
      </c>
      <c r="B216" s="89">
        <f t="shared" si="46"/>
        <v>75.053122658619813</v>
      </c>
      <c r="C216" s="90">
        <f t="shared" si="50"/>
        <v>0</v>
      </c>
      <c r="D216" s="90">
        <f t="shared" si="51"/>
        <v>62</v>
      </c>
      <c r="E216" s="90">
        <f t="shared" si="52"/>
        <v>3</v>
      </c>
      <c r="F216" s="91">
        <f t="shared" si="48"/>
        <v>11</v>
      </c>
      <c r="G216" s="92">
        <f t="shared" si="53"/>
        <v>0.23111450252550558</v>
      </c>
      <c r="H216" s="91" t="s">
        <v>135</v>
      </c>
      <c r="I216" s="92">
        <f t="shared" si="54"/>
        <v>3</v>
      </c>
      <c r="J216" s="93">
        <f t="shared" si="49"/>
        <v>17</v>
      </c>
      <c r="K216" s="94">
        <f t="shared" si="55"/>
        <v>0.76808799417676743</v>
      </c>
      <c r="L216" s="95">
        <f t="shared" si="56"/>
        <v>75.053122658619813</v>
      </c>
      <c r="M216" s="95">
        <f t="shared" si="57"/>
        <v>180.58460864345105</v>
      </c>
      <c r="N216" s="95">
        <f t="shared" si="58"/>
        <v>15.599755428785608</v>
      </c>
      <c r="O216" s="95">
        <f t="shared" si="59"/>
        <v>210.58751048637771</v>
      </c>
      <c r="P216" s="96">
        <f t="shared" si="60"/>
        <v>177.73637388693453</v>
      </c>
    </row>
    <row r="217" spans="1:16">
      <c r="A217" s="88" t="str">
        <f t="shared" si="47"/>
        <v>Sakhir</v>
      </c>
      <c r="B217" s="89">
        <f t="shared" si="46"/>
        <v>75.053122658619813</v>
      </c>
      <c r="C217" s="90">
        <f t="shared" si="50"/>
        <v>0</v>
      </c>
      <c r="D217" s="90">
        <f t="shared" si="51"/>
        <v>62</v>
      </c>
      <c r="E217" s="90">
        <f t="shared" si="52"/>
        <v>3</v>
      </c>
      <c r="F217" s="91">
        <f t="shared" si="48"/>
        <v>12</v>
      </c>
      <c r="G217" s="92">
        <f t="shared" si="53"/>
        <v>0.23111450252550558</v>
      </c>
      <c r="H217" s="91" t="s">
        <v>135</v>
      </c>
      <c r="I217" s="92">
        <f t="shared" si="54"/>
        <v>3</v>
      </c>
      <c r="J217" s="93">
        <f t="shared" si="49"/>
        <v>17</v>
      </c>
      <c r="K217" s="94">
        <f t="shared" si="55"/>
        <v>0.76808799417676743</v>
      </c>
      <c r="L217" s="95">
        <f t="shared" si="56"/>
        <v>75.053122658619813</v>
      </c>
      <c r="M217" s="95">
        <f t="shared" si="57"/>
        <v>180.58460864345105</v>
      </c>
      <c r="N217" s="95">
        <f t="shared" si="58"/>
        <v>15.830869931311113</v>
      </c>
      <c r="O217" s="95">
        <f t="shared" si="59"/>
        <v>210.58751048637771</v>
      </c>
      <c r="P217" s="96">
        <f t="shared" si="60"/>
        <v>177.2496756096931</v>
      </c>
    </row>
    <row r="218" spans="1:16">
      <c r="A218" s="88" t="str">
        <f t="shared" si="47"/>
        <v>Sakhir</v>
      </c>
      <c r="B218" s="89">
        <f t="shared" si="46"/>
        <v>75.053122658619813</v>
      </c>
      <c r="C218" s="90">
        <f t="shared" si="50"/>
        <v>0</v>
      </c>
      <c r="D218" s="90">
        <f t="shared" si="51"/>
        <v>62</v>
      </c>
      <c r="E218" s="90">
        <f t="shared" si="52"/>
        <v>3</v>
      </c>
      <c r="F218" s="91">
        <f t="shared" si="48"/>
        <v>13</v>
      </c>
      <c r="G218" s="92">
        <f t="shared" si="53"/>
        <v>0.23111450252550558</v>
      </c>
      <c r="H218" s="91" t="s">
        <v>135</v>
      </c>
      <c r="I218" s="92">
        <f t="shared" si="54"/>
        <v>3</v>
      </c>
      <c r="J218" s="93">
        <f t="shared" si="49"/>
        <v>17</v>
      </c>
      <c r="K218" s="94">
        <f t="shared" si="55"/>
        <v>0.76808799417676743</v>
      </c>
      <c r="L218" s="95">
        <f t="shared" si="56"/>
        <v>75.053122658619813</v>
      </c>
      <c r="M218" s="95">
        <f t="shared" si="57"/>
        <v>180.58460864345105</v>
      </c>
      <c r="N218" s="95">
        <f t="shared" si="58"/>
        <v>16.061984433836617</v>
      </c>
      <c r="O218" s="95">
        <f t="shared" si="59"/>
        <v>210.58751048637771</v>
      </c>
      <c r="P218" s="96">
        <f t="shared" si="60"/>
        <v>176.76297733245167</v>
      </c>
    </row>
    <row r="219" spans="1:16">
      <c r="A219" s="88" t="str">
        <f t="shared" si="47"/>
        <v>Sakhir</v>
      </c>
      <c r="B219" s="89">
        <f t="shared" si="46"/>
        <v>75.053122658619813</v>
      </c>
      <c r="C219" s="90">
        <f t="shared" si="50"/>
        <v>0</v>
      </c>
      <c r="D219" s="90">
        <f t="shared" si="51"/>
        <v>62</v>
      </c>
      <c r="E219" s="90">
        <f t="shared" si="52"/>
        <v>3</v>
      </c>
      <c r="F219" s="91">
        <f t="shared" si="48"/>
        <v>14</v>
      </c>
      <c r="G219" s="92">
        <f t="shared" si="53"/>
        <v>0.23111450252550558</v>
      </c>
      <c r="H219" s="91" t="s">
        <v>135</v>
      </c>
      <c r="I219" s="92">
        <f t="shared" si="54"/>
        <v>3</v>
      </c>
      <c r="J219" s="93">
        <f t="shared" si="49"/>
        <v>17</v>
      </c>
      <c r="K219" s="94">
        <f t="shared" si="55"/>
        <v>0.76808799417676743</v>
      </c>
      <c r="L219" s="95">
        <f t="shared" si="56"/>
        <v>75.053122658619813</v>
      </c>
      <c r="M219" s="95">
        <f t="shared" si="57"/>
        <v>180.58460864345105</v>
      </c>
      <c r="N219" s="95">
        <f t="shared" si="58"/>
        <v>16.293098936362124</v>
      </c>
      <c r="O219" s="95">
        <f t="shared" si="59"/>
        <v>210.58751048637771</v>
      </c>
      <c r="P219" s="96">
        <f t="shared" si="60"/>
        <v>176.27627905521024</v>
      </c>
    </row>
    <row r="220" spans="1:16">
      <c r="A220" s="88" t="str">
        <f t="shared" si="47"/>
        <v>Sakhir</v>
      </c>
      <c r="B220" s="89">
        <f t="shared" si="46"/>
        <v>75.053122658619813</v>
      </c>
      <c r="C220" s="90">
        <f t="shared" si="50"/>
        <v>0</v>
      </c>
      <c r="D220" s="90">
        <f t="shared" si="51"/>
        <v>62</v>
      </c>
      <c r="E220" s="90">
        <f t="shared" si="52"/>
        <v>3</v>
      </c>
      <c r="F220" s="91">
        <f t="shared" si="48"/>
        <v>15</v>
      </c>
      <c r="G220" s="92">
        <f t="shared" si="53"/>
        <v>0.23111450252550558</v>
      </c>
      <c r="H220" s="91" t="s">
        <v>135</v>
      </c>
      <c r="I220" s="92">
        <f t="shared" si="54"/>
        <v>3</v>
      </c>
      <c r="J220" s="93">
        <f t="shared" si="49"/>
        <v>17</v>
      </c>
      <c r="K220" s="94">
        <f t="shared" si="55"/>
        <v>0.76808799417676743</v>
      </c>
      <c r="L220" s="95">
        <f t="shared" si="56"/>
        <v>75.053122658619813</v>
      </c>
      <c r="M220" s="95">
        <f t="shared" si="57"/>
        <v>180.58460864345105</v>
      </c>
      <c r="N220" s="95">
        <f t="shared" si="58"/>
        <v>16.524213438887628</v>
      </c>
      <c r="O220" s="95">
        <f t="shared" si="59"/>
        <v>210.58751048637771</v>
      </c>
      <c r="P220" s="96">
        <f t="shared" si="60"/>
        <v>175.78958077796878</v>
      </c>
    </row>
    <row r="221" spans="1:16">
      <c r="A221" s="88" t="str">
        <f t="shared" si="47"/>
        <v>Sakhir</v>
      </c>
      <c r="B221" s="89">
        <f t="shared" si="46"/>
        <v>75.053122658619813</v>
      </c>
      <c r="C221" s="90">
        <f t="shared" si="50"/>
        <v>0</v>
      </c>
      <c r="D221" s="90">
        <f t="shared" si="51"/>
        <v>62</v>
      </c>
      <c r="E221" s="90">
        <f t="shared" si="52"/>
        <v>3</v>
      </c>
      <c r="F221" s="91">
        <f t="shared" si="48"/>
        <v>16</v>
      </c>
      <c r="G221" s="92">
        <f t="shared" si="53"/>
        <v>0.23111450252550558</v>
      </c>
      <c r="H221" s="91" t="s">
        <v>135</v>
      </c>
      <c r="I221" s="92">
        <f t="shared" si="54"/>
        <v>3</v>
      </c>
      <c r="J221" s="93">
        <f t="shared" si="49"/>
        <v>17</v>
      </c>
      <c r="K221" s="94">
        <f t="shared" si="55"/>
        <v>0.76808799417676743</v>
      </c>
      <c r="L221" s="95">
        <f t="shared" si="56"/>
        <v>75.053122658619813</v>
      </c>
      <c r="M221" s="95">
        <f t="shared" si="57"/>
        <v>180.58460864345105</v>
      </c>
      <c r="N221" s="95">
        <f t="shared" si="58"/>
        <v>16.755327941413135</v>
      </c>
      <c r="O221" s="95">
        <f t="shared" si="59"/>
        <v>210.58751048637771</v>
      </c>
      <c r="P221" s="96">
        <f t="shared" si="60"/>
        <v>175.30288250072735</v>
      </c>
    </row>
    <row r="222" spans="1:16">
      <c r="A222" s="88" t="str">
        <f t="shared" si="47"/>
        <v>Sakhir</v>
      </c>
      <c r="B222" s="89">
        <f t="shared" si="46"/>
        <v>75.053122658619813</v>
      </c>
      <c r="C222" s="90">
        <f t="shared" si="50"/>
        <v>0</v>
      </c>
      <c r="D222" s="90">
        <f t="shared" si="51"/>
        <v>62</v>
      </c>
      <c r="E222" s="90">
        <f t="shared" si="52"/>
        <v>3</v>
      </c>
      <c r="F222" s="91">
        <f t="shared" si="48"/>
        <v>17</v>
      </c>
      <c r="G222" s="92">
        <f t="shared" si="53"/>
        <v>0.23111450252550558</v>
      </c>
      <c r="H222" s="91" t="s">
        <v>135</v>
      </c>
      <c r="I222" s="92">
        <f t="shared" si="54"/>
        <v>3</v>
      </c>
      <c r="J222" s="93">
        <f t="shared" si="49"/>
        <v>17</v>
      </c>
      <c r="K222" s="94">
        <f t="shared" si="55"/>
        <v>0.76808799417676743</v>
      </c>
      <c r="L222" s="95">
        <f t="shared" si="56"/>
        <v>75.053122658619813</v>
      </c>
      <c r="M222" s="95">
        <f t="shared" si="57"/>
        <v>180.58460864345105</v>
      </c>
      <c r="N222" s="95">
        <f t="shared" si="58"/>
        <v>16.986442443938643</v>
      </c>
      <c r="O222" s="95">
        <f t="shared" si="59"/>
        <v>210.58751048637771</v>
      </c>
      <c r="P222" s="96">
        <f t="shared" si="60"/>
        <v>174.81618422348589</v>
      </c>
    </row>
    <row r="223" spans="1:16">
      <c r="A223" s="88" t="str">
        <f t="shared" si="47"/>
        <v>Sakhir</v>
      </c>
      <c r="B223" s="89">
        <f t="shared" si="46"/>
        <v>75.053122658619813</v>
      </c>
      <c r="C223" s="90">
        <f t="shared" si="50"/>
        <v>0</v>
      </c>
      <c r="D223" s="90">
        <f t="shared" si="51"/>
        <v>62</v>
      </c>
      <c r="E223" s="90">
        <f t="shared" si="52"/>
        <v>3</v>
      </c>
      <c r="F223" s="91">
        <f t="shared" si="48"/>
        <v>18</v>
      </c>
      <c r="G223" s="92">
        <f t="shared" si="53"/>
        <v>0.23111450252550558</v>
      </c>
      <c r="H223" s="91" t="s">
        <v>135</v>
      </c>
      <c r="I223" s="92">
        <f t="shared" si="54"/>
        <v>3</v>
      </c>
      <c r="J223" s="93">
        <f t="shared" si="49"/>
        <v>17</v>
      </c>
      <c r="K223" s="94">
        <f t="shared" si="55"/>
        <v>0.76808799417676743</v>
      </c>
      <c r="L223" s="95">
        <f t="shared" si="56"/>
        <v>75.053122658619813</v>
      </c>
      <c r="M223" s="95">
        <f t="shared" si="57"/>
        <v>180.58460864345105</v>
      </c>
      <c r="N223" s="95">
        <f t="shared" si="58"/>
        <v>17.217556946464146</v>
      </c>
      <c r="O223" s="95">
        <f t="shared" si="59"/>
        <v>210.58751048637771</v>
      </c>
      <c r="P223" s="96">
        <f t="shared" si="60"/>
        <v>174.32948594624446</v>
      </c>
    </row>
    <row r="224" spans="1:16">
      <c r="A224" s="88" t="str">
        <f t="shared" si="47"/>
        <v>Sakhir</v>
      </c>
      <c r="B224" s="89">
        <f t="shared" si="46"/>
        <v>75.053122658619813</v>
      </c>
      <c r="C224" s="90">
        <f t="shared" si="50"/>
        <v>0</v>
      </c>
      <c r="D224" s="90">
        <f t="shared" si="51"/>
        <v>62</v>
      </c>
      <c r="E224" s="90">
        <f t="shared" si="52"/>
        <v>3</v>
      </c>
      <c r="F224" s="91">
        <f t="shared" si="48"/>
        <v>19</v>
      </c>
      <c r="G224" s="92">
        <f t="shared" si="53"/>
        <v>0.23111450252550558</v>
      </c>
      <c r="H224" s="91" t="s">
        <v>135</v>
      </c>
      <c r="I224" s="92">
        <f t="shared" si="54"/>
        <v>3</v>
      </c>
      <c r="J224" s="93">
        <f t="shared" si="49"/>
        <v>17</v>
      </c>
      <c r="K224" s="94">
        <f t="shared" si="55"/>
        <v>0.76808799417676743</v>
      </c>
      <c r="L224" s="95">
        <f t="shared" si="56"/>
        <v>75.053122658619813</v>
      </c>
      <c r="M224" s="95">
        <f t="shared" si="57"/>
        <v>180.58460864345105</v>
      </c>
      <c r="N224" s="95">
        <f t="shared" si="58"/>
        <v>17.44867144898965</v>
      </c>
      <c r="O224" s="95">
        <f t="shared" si="59"/>
        <v>210.58751048637771</v>
      </c>
      <c r="P224" s="96">
        <f t="shared" si="60"/>
        <v>173.84278766900303</v>
      </c>
    </row>
    <row r="225" spans="1:16">
      <c r="A225" s="88" t="str">
        <f t="shared" si="47"/>
        <v>Sakhir</v>
      </c>
      <c r="B225" s="89">
        <f t="shared" si="46"/>
        <v>75.053122658619813</v>
      </c>
      <c r="C225" s="90">
        <f t="shared" si="50"/>
        <v>0</v>
      </c>
      <c r="D225" s="90">
        <f t="shared" si="51"/>
        <v>62</v>
      </c>
      <c r="E225" s="90">
        <f t="shared" si="52"/>
        <v>3</v>
      </c>
      <c r="F225" s="91">
        <f t="shared" si="48"/>
        <v>20</v>
      </c>
      <c r="G225" s="92">
        <f t="shared" si="53"/>
        <v>0.23111450252550558</v>
      </c>
      <c r="H225" s="91" t="s">
        <v>135</v>
      </c>
      <c r="I225" s="92">
        <f t="shared" si="54"/>
        <v>3</v>
      </c>
      <c r="J225" s="93">
        <f t="shared" si="49"/>
        <v>17</v>
      </c>
      <c r="K225" s="94">
        <f t="shared" si="55"/>
        <v>0.76808799417676743</v>
      </c>
      <c r="L225" s="95">
        <f t="shared" si="56"/>
        <v>75.053122658619813</v>
      </c>
      <c r="M225" s="95">
        <f t="shared" si="57"/>
        <v>180.58460864345105</v>
      </c>
      <c r="N225" s="95">
        <f t="shared" si="58"/>
        <v>17.679785951515157</v>
      </c>
      <c r="O225" s="95">
        <f t="shared" si="59"/>
        <v>210.58751048637771</v>
      </c>
      <c r="P225" s="96">
        <f t="shared" si="60"/>
        <v>173.3560893917616</v>
      </c>
    </row>
    <row r="226" spans="1:16">
      <c r="A226" s="88" t="str">
        <f t="shared" si="47"/>
        <v>Sakhir</v>
      </c>
      <c r="B226" s="89">
        <f t="shared" si="46"/>
        <v>75.053122658619813</v>
      </c>
      <c r="C226" s="90">
        <f t="shared" si="50"/>
        <v>0</v>
      </c>
      <c r="D226" s="90">
        <f t="shared" si="51"/>
        <v>62</v>
      </c>
      <c r="E226" s="90">
        <f t="shared" si="52"/>
        <v>3</v>
      </c>
      <c r="F226" s="91">
        <f t="shared" si="48"/>
        <v>21</v>
      </c>
      <c r="G226" s="92">
        <f t="shared" si="53"/>
        <v>0.23111450252550558</v>
      </c>
      <c r="H226" s="91" t="s">
        <v>135</v>
      </c>
      <c r="I226" s="92">
        <f t="shared" si="54"/>
        <v>3</v>
      </c>
      <c r="J226" s="93">
        <f t="shared" si="49"/>
        <v>17</v>
      </c>
      <c r="K226" s="94">
        <f t="shared" si="55"/>
        <v>0.76808799417676743</v>
      </c>
      <c r="L226" s="95">
        <f t="shared" si="56"/>
        <v>75.053122658619813</v>
      </c>
      <c r="M226" s="95">
        <f t="shared" si="57"/>
        <v>180.58460864345105</v>
      </c>
      <c r="N226" s="95">
        <f t="shared" si="58"/>
        <v>17.910900454040664</v>
      </c>
      <c r="O226" s="95">
        <f t="shared" si="59"/>
        <v>210.58751048637771</v>
      </c>
      <c r="P226" s="96">
        <f t="shared" si="60"/>
        <v>172.86939111452017</v>
      </c>
    </row>
    <row r="227" spans="1:16">
      <c r="A227" s="88" t="str">
        <f t="shared" si="47"/>
        <v>Sakhir</v>
      </c>
      <c r="B227" s="89">
        <f t="shared" si="46"/>
        <v>75.053122658619813</v>
      </c>
      <c r="C227" s="90">
        <f t="shared" si="50"/>
        <v>0</v>
      </c>
      <c r="D227" s="90">
        <f t="shared" si="51"/>
        <v>62</v>
      </c>
      <c r="E227" s="90">
        <f t="shared" si="52"/>
        <v>3</v>
      </c>
      <c r="F227" s="91">
        <f t="shared" si="48"/>
        <v>22</v>
      </c>
      <c r="G227" s="92">
        <f t="shared" si="53"/>
        <v>0.23111450252550558</v>
      </c>
      <c r="H227" s="91" t="s">
        <v>135</v>
      </c>
      <c r="I227" s="92">
        <f t="shared" si="54"/>
        <v>3</v>
      </c>
      <c r="J227" s="93">
        <f t="shared" si="49"/>
        <v>17</v>
      </c>
      <c r="K227" s="94">
        <f t="shared" si="55"/>
        <v>0.76808799417676743</v>
      </c>
      <c r="L227" s="95">
        <f t="shared" si="56"/>
        <v>75.053122658619813</v>
      </c>
      <c r="M227" s="95">
        <f t="shared" si="57"/>
        <v>180.58460864345105</v>
      </c>
      <c r="N227" s="95">
        <f t="shared" si="58"/>
        <v>18.142014956566168</v>
      </c>
      <c r="O227" s="95">
        <f t="shared" si="59"/>
        <v>210.58751048637771</v>
      </c>
      <c r="P227" s="96">
        <f t="shared" si="60"/>
        <v>172.38269283727871</v>
      </c>
    </row>
    <row r="228" spans="1:16">
      <c r="A228" s="88" t="str">
        <f t="shared" si="47"/>
        <v>Sakhir</v>
      </c>
      <c r="B228" s="89">
        <f t="shared" si="46"/>
        <v>75.053122658619813</v>
      </c>
      <c r="C228" s="90">
        <f t="shared" si="50"/>
        <v>0</v>
      </c>
      <c r="D228" s="90">
        <f t="shared" si="51"/>
        <v>62</v>
      </c>
      <c r="E228" s="90">
        <f t="shared" si="52"/>
        <v>3</v>
      </c>
      <c r="F228" s="91">
        <f t="shared" si="48"/>
        <v>23</v>
      </c>
      <c r="G228" s="92">
        <f t="shared" si="53"/>
        <v>0.23111450252550558</v>
      </c>
      <c r="H228" s="91" t="s">
        <v>135</v>
      </c>
      <c r="I228" s="92">
        <f t="shared" si="54"/>
        <v>3</v>
      </c>
      <c r="J228" s="93">
        <f t="shared" si="49"/>
        <v>17</v>
      </c>
      <c r="K228" s="94">
        <f t="shared" si="55"/>
        <v>0.76808799417676743</v>
      </c>
      <c r="L228" s="95">
        <f t="shared" si="56"/>
        <v>75.053122658619813</v>
      </c>
      <c r="M228" s="95">
        <f t="shared" si="57"/>
        <v>180.58460864345105</v>
      </c>
      <c r="N228" s="95">
        <f t="shared" si="58"/>
        <v>18.373129459091675</v>
      </c>
      <c r="O228" s="95">
        <f t="shared" si="59"/>
        <v>210.58751048637771</v>
      </c>
      <c r="P228" s="96">
        <f t="shared" si="60"/>
        <v>171.89599456003728</v>
      </c>
    </row>
    <row r="229" spans="1:16">
      <c r="A229" s="88" t="str">
        <f t="shared" si="47"/>
        <v>Sakhir</v>
      </c>
      <c r="B229" s="89">
        <f t="shared" si="46"/>
        <v>75.053122658619813</v>
      </c>
      <c r="C229" s="90">
        <f t="shared" si="50"/>
        <v>0</v>
      </c>
      <c r="D229" s="90">
        <f t="shared" si="51"/>
        <v>62</v>
      </c>
      <c r="E229" s="90">
        <f t="shared" si="52"/>
        <v>3</v>
      </c>
      <c r="F229" s="91">
        <f t="shared" si="48"/>
        <v>24</v>
      </c>
      <c r="G229" s="92">
        <f t="shared" si="53"/>
        <v>0.23111450252550558</v>
      </c>
      <c r="H229" s="91" t="s">
        <v>135</v>
      </c>
      <c r="I229" s="92">
        <f t="shared" si="54"/>
        <v>3</v>
      </c>
      <c r="J229" s="93">
        <f t="shared" si="49"/>
        <v>17</v>
      </c>
      <c r="K229" s="94">
        <f t="shared" si="55"/>
        <v>0.76808799417676743</v>
      </c>
      <c r="L229" s="95">
        <f t="shared" si="56"/>
        <v>75.053122658619813</v>
      </c>
      <c r="M229" s="95">
        <f t="shared" si="57"/>
        <v>180.58460864345105</v>
      </c>
      <c r="N229" s="95">
        <f t="shared" si="58"/>
        <v>18.604243961617179</v>
      </c>
      <c r="O229" s="95">
        <f t="shared" si="59"/>
        <v>210.58751048637771</v>
      </c>
      <c r="P229" s="96">
        <f t="shared" si="60"/>
        <v>171.40929628279585</v>
      </c>
    </row>
    <row r="230" spans="1:16">
      <c r="A230" s="88" t="str">
        <f t="shared" si="47"/>
        <v>Sakhir</v>
      </c>
      <c r="B230" s="89">
        <f t="shared" si="46"/>
        <v>75.053122658619813</v>
      </c>
      <c r="C230" s="90">
        <f t="shared" si="50"/>
        <v>0</v>
      </c>
      <c r="D230" s="90">
        <f t="shared" si="51"/>
        <v>62</v>
      </c>
      <c r="E230" s="90">
        <f t="shared" si="52"/>
        <v>3</v>
      </c>
      <c r="F230" s="91">
        <f t="shared" si="48"/>
        <v>25</v>
      </c>
      <c r="G230" s="92">
        <f t="shared" si="53"/>
        <v>0.23111450252550558</v>
      </c>
      <c r="H230" s="91" t="s">
        <v>135</v>
      </c>
      <c r="I230" s="92">
        <f t="shared" si="54"/>
        <v>3</v>
      </c>
      <c r="J230" s="93">
        <f t="shared" si="49"/>
        <v>17</v>
      </c>
      <c r="K230" s="94">
        <f t="shared" si="55"/>
        <v>0.76808799417676743</v>
      </c>
      <c r="L230" s="95">
        <f t="shared" si="56"/>
        <v>75.053122658619813</v>
      </c>
      <c r="M230" s="95">
        <f t="shared" si="57"/>
        <v>180.58460864345105</v>
      </c>
      <c r="N230" s="95">
        <f t="shared" si="58"/>
        <v>18.835358464142686</v>
      </c>
      <c r="O230" s="95">
        <f t="shared" si="59"/>
        <v>210.58751048637771</v>
      </c>
      <c r="P230" s="96">
        <f t="shared" si="60"/>
        <v>170.92259800555439</v>
      </c>
    </row>
    <row r="231" spans="1:16">
      <c r="A231" s="88" t="str">
        <f t="shared" si="47"/>
        <v>Sakhir</v>
      </c>
      <c r="B231" s="89">
        <f t="shared" si="46"/>
        <v>75.053122658619813</v>
      </c>
      <c r="C231" s="90">
        <f t="shared" si="50"/>
        <v>0</v>
      </c>
      <c r="D231" s="90">
        <f t="shared" si="51"/>
        <v>62</v>
      </c>
      <c r="E231" s="90">
        <f t="shared" si="52"/>
        <v>3</v>
      </c>
      <c r="F231" s="91">
        <f t="shared" si="48"/>
        <v>26</v>
      </c>
      <c r="G231" s="92">
        <f t="shared" si="53"/>
        <v>0.23111450252550558</v>
      </c>
      <c r="H231" s="91" t="s">
        <v>135</v>
      </c>
      <c r="I231" s="92">
        <f t="shared" si="54"/>
        <v>3</v>
      </c>
      <c r="J231" s="93">
        <f t="shared" si="49"/>
        <v>17</v>
      </c>
      <c r="K231" s="94">
        <f t="shared" si="55"/>
        <v>0.76808799417676743</v>
      </c>
      <c r="L231" s="95">
        <f t="shared" si="56"/>
        <v>75.053122658619813</v>
      </c>
      <c r="M231" s="95">
        <f t="shared" si="57"/>
        <v>180.58460864345105</v>
      </c>
      <c r="N231" s="95">
        <f t="shared" si="58"/>
        <v>19.06647296666819</v>
      </c>
      <c r="O231" s="95">
        <f t="shared" si="59"/>
        <v>210.58751048637771</v>
      </c>
      <c r="P231" s="96">
        <f t="shared" si="60"/>
        <v>170.43589972831296</v>
      </c>
    </row>
    <row r="232" spans="1:16">
      <c r="A232" s="88" t="str">
        <f t="shared" si="47"/>
        <v>Sakhir</v>
      </c>
      <c r="B232" s="89">
        <f t="shared" si="46"/>
        <v>75.053122658619813</v>
      </c>
      <c r="C232" s="90">
        <f t="shared" si="50"/>
        <v>0</v>
      </c>
      <c r="D232" s="90">
        <f t="shared" si="51"/>
        <v>62</v>
      </c>
      <c r="E232" s="90">
        <f t="shared" si="52"/>
        <v>3</v>
      </c>
      <c r="F232" s="91">
        <f t="shared" si="48"/>
        <v>27</v>
      </c>
      <c r="G232" s="92">
        <f t="shared" si="53"/>
        <v>0.23111450252550558</v>
      </c>
      <c r="H232" s="91" t="s">
        <v>135</v>
      </c>
      <c r="I232" s="92">
        <f t="shared" si="54"/>
        <v>3</v>
      </c>
      <c r="J232" s="93">
        <f t="shared" si="49"/>
        <v>17</v>
      </c>
      <c r="K232" s="94">
        <f t="shared" si="55"/>
        <v>0.76808799417676743</v>
      </c>
      <c r="L232" s="95">
        <f t="shared" si="56"/>
        <v>75.053122658619813</v>
      </c>
      <c r="M232" s="95">
        <f t="shared" si="57"/>
        <v>180.58460864345105</v>
      </c>
      <c r="N232" s="95">
        <f t="shared" si="58"/>
        <v>19.297587469193697</v>
      </c>
      <c r="O232" s="95">
        <f t="shared" si="59"/>
        <v>210.58751048637771</v>
      </c>
      <c r="P232" s="96">
        <f t="shared" si="60"/>
        <v>169.94920145107153</v>
      </c>
    </row>
    <row r="233" spans="1:16">
      <c r="A233" s="88" t="str">
        <f t="shared" si="47"/>
        <v>Sakhir</v>
      </c>
      <c r="B233" s="89">
        <f t="shared" si="46"/>
        <v>75.053122658619813</v>
      </c>
      <c r="C233" s="90">
        <f t="shared" si="50"/>
        <v>0</v>
      </c>
      <c r="D233" s="90">
        <f t="shared" si="51"/>
        <v>62</v>
      </c>
      <c r="E233" s="90">
        <f t="shared" si="52"/>
        <v>3</v>
      </c>
      <c r="F233" s="91">
        <f t="shared" si="48"/>
        <v>28</v>
      </c>
      <c r="G233" s="92">
        <f t="shared" si="53"/>
        <v>0.23111450252550558</v>
      </c>
      <c r="H233" s="91" t="s">
        <v>135</v>
      </c>
      <c r="I233" s="92">
        <f t="shared" si="54"/>
        <v>3</v>
      </c>
      <c r="J233" s="93">
        <f t="shared" si="49"/>
        <v>17</v>
      </c>
      <c r="K233" s="94">
        <f t="shared" si="55"/>
        <v>0.76808799417676743</v>
      </c>
      <c r="L233" s="95">
        <f t="shared" si="56"/>
        <v>75.053122658619813</v>
      </c>
      <c r="M233" s="95">
        <f t="shared" si="57"/>
        <v>180.58460864345105</v>
      </c>
      <c r="N233" s="95">
        <f t="shared" si="58"/>
        <v>19.528701971719201</v>
      </c>
      <c r="O233" s="95">
        <f t="shared" si="59"/>
        <v>210.58751048637771</v>
      </c>
      <c r="P233" s="96">
        <f t="shared" si="60"/>
        <v>169.4625031738301</v>
      </c>
    </row>
    <row r="234" spans="1:16">
      <c r="A234" s="88" t="str">
        <f t="shared" si="47"/>
        <v>Sakhir</v>
      </c>
      <c r="B234" s="89">
        <f t="shared" si="46"/>
        <v>75.053122658619813</v>
      </c>
      <c r="C234" s="90">
        <f t="shared" si="50"/>
        <v>0</v>
      </c>
      <c r="D234" s="90">
        <f t="shared" si="51"/>
        <v>62</v>
      </c>
      <c r="E234" s="90">
        <f t="shared" si="52"/>
        <v>3</v>
      </c>
      <c r="F234" s="91">
        <f t="shared" si="48"/>
        <v>29</v>
      </c>
      <c r="G234" s="92">
        <f t="shared" si="53"/>
        <v>0.23111450252550558</v>
      </c>
      <c r="H234" s="91" t="s">
        <v>135</v>
      </c>
      <c r="I234" s="92">
        <f t="shared" si="54"/>
        <v>3</v>
      </c>
      <c r="J234" s="93">
        <f t="shared" si="49"/>
        <v>17</v>
      </c>
      <c r="K234" s="94">
        <f t="shared" si="55"/>
        <v>0.76808799417676743</v>
      </c>
      <c r="L234" s="95">
        <f t="shared" si="56"/>
        <v>75.053122658619813</v>
      </c>
      <c r="M234" s="95">
        <f t="shared" si="57"/>
        <v>180.58460864345105</v>
      </c>
      <c r="N234" s="95">
        <f t="shared" si="58"/>
        <v>19.759816474244708</v>
      </c>
      <c r="O234" s="95">
        <f t="shared" si="59"/>
        <v>210.58751048637771</v>
      </c>
      <c r="P234" s="96">
        <f t="shared" si="60"/>
        <v>168.97580489658864</v>
      </c>
    </row>
    <row r="235" spans="1:16">
      <c r="A235" s="88" t="str">
        <f t="shared" si="47"/>
        <v>Sakhir</v>
      </c>
      <c r="B235" s="89">
        <f t="shared" si="46"/>
        <v>75.053122658619813</v>
      </c>
      <c r="C235" s="90">
        <f t="shared" si="50"/>
        <v>0</v>
      </c>
      <c r="D235" s="90">
        <f t="shared" si="51"/>
        <v>62</v>
      </c>
      <c r="E235" s="90">
        <f t="shared" si="52"/>
        <v>3</v>
      </c>
      <c r="F235" s="91">
        <f t="shared" si="48"/>
        <v>30</v>
      </c>
      <c r="G235" s="92">
        <f t="shared" si="53"/>
        <v>0.23111450252550558</v>
      </c>
      <c r="H235" s="91" t="s">
        <v>135</v>
      </c>
      <c r="I235" s="92">
        <f t="shared" si="54"/>
        <v>3</v>
      </c>
      <c r="J235" s="93">
        <f t="shared" si="49"/>
        <v>17</v>
      </c>
      <c r="K235" s="94">
        <f t="shared" si="55"/>
        <v>0.76808799417676743</v>
      </c>
      <c r="L235" s="95">
        <f t="shared" si="56"/>
        <v>75.053122658619813</v>
      </c>
      <c r="M235" s="95">
        <f t="shared" si="57"/>
        <v>180.58460864345105</v>
      </c>
      <c r="N235" s="95">
        <f t="shared" si="58"/>
        <v>19.990930976770215</v>
      </c>
      <c r="O235" s="95">
        <f t="shared" si="59"/>
        <v>210.58751048637771</v>
      </c>
      <c r="P235" s="96">
        <f t="shared" si="60"/>
        <v>168.48910661934718</v>
      </c>
    </row>
    <row r="236" spans="1:16">
      <c r="A236" s="88" t="str">
        <f t="shared" si="47"/>
        <v>Sakhir</v>
      </c>
      <c r="B236" s="89">
        <f t="shared" si="46"/>
        <v>75.053122658619813</v>
      </c>
      <c r="C236" s="90">
        <f t="shared" si="50"/>
        <v>0</v>
      </c>
      <c r="D236" s="90">
        <f t="shared" si="51"/>
        <v>62</v>
      </c>
      <c r="E236" s="90">
        <f t="shared" si="52"/>
        <v>3</v>
      </c>
      <c r="F236" s="91">
        <f t="shared" si="48"/>
        <v>31</v>
      </c>
      <c r="G236" s="92">
        <f t="shared" si="53"/>
        <v>0.23111450252550558</v>
      </c>
      <c r="H236" s="91" t="s">
        <v>135</v>
      </c>
      <c r="I236" s="92">
        <f t="shared" si="54"/>
        <v>3</v>
      </c>
      <c r="J236" s="93">
        <f t="shared" si="49"/>
        <v>17</v>
      </c>
      <c r="K236" s="94">
        <f t="shared" si="55"/>
        <v>0.76808799417676743</v>
      </c>
      <c r="L236" s="95">
        <f t="shared" si="56"/>
        <v>75.053122658619813</v>
      </c>
      <c r="M236" s="95">
        <f t="shared" si="57"/>
        <v>180.58460864345105</v>
      </c>
      <c r="N236" s="95">
        <f t="shared" si="58"/>
        <v>20.222045479295719</v>
      </c>
      <c r="O236" s="95">
        <f t="shared" si="59"/>
        <v>210.58751048637771</v>
      </c>
      <c r="P236" s="96">
        <f t="shared" si="60"/>
        <v>168.00240834210575</v>
      </c>
    </row>
    <row r="237" spans="1:16">
      <c r="A237" s="88" t="str">
        <f t="shared" si="47"/>
        <v>Sakhir</v>
      </c>
      <c r="B237" s="89">
        <f t="shared" si="46"/>
        <v>75.053122658619813</v>
      </c>
      <c r="C237" s="90">
        <f t="shared" si="50"/>
        <v>0</v>
      </c>
      <c r="D237" s="90">
        <f t="shared" si="51"/>
        <v>62</v>
      </c>
      <c r="E237" s="90">
        <f t="shared" si="52"/>
        <v>3</v>
      </c>
      <c r="F237" s="91">
        <f t="shared" si="48"/>
        <v>32</v>
      </c>
      <c r="G237" s="92">
        <f t="shared" si="53"/>
        <v>0.23111450252550558</v>
      </c>
      <c r="H237" s="91" t="s">
        <v>135</v>
      </c>
      <c r="I237" s="92">
        <f t="shared" si="54"/>
        <v>3</v>
      </c>
      <c r="J237" s="93">
        <f t="shared" si="49"/>
        <v>17</v>
      </c>
      <c r="K237" s="94">
        <f t="shared" si="55"/>
        <v>0.76808799417676743</v>
      </c>
      <c r="L237" s="95">
        <f t="shared" si="56"/>
        <v>75.053122658619813</v>
      </c>
      <c r="M237" s="95">
        <f t="shared" si="57"/>
        <v>180.58460864345105</v>
      </c>
      <c r="N237" s="95">
        <f t="shared" si="58"/>
        <v>20.453159981821223</v>
      </c>
      <c r="O237" s="95">
        <f t="shared" si="59"/>
        <v>210.58751048637771</v>
      </c>
      <c r="P237" s="96">
        <f t="shared" si="60"/>
        <v>167.51571006486432</v>
      </c>
    </row>
    <row r="238" spans="1:16">
      <c r="A238" s="88" t="str">
        <f t="shared" si="47"/>
        <v>Sakhir</v>
      </c>
      <c r="B238" s="89">
        <f t="shared" si="46"/>
        <v>75.053122658619813</v>
      </c>
      <c r="C238" s="90">
        <f t="shared" si="50"/>
        <v>0</v>
      </c>
      <c r="D238" s="90">
        <f t="shared" si="51"/>
        <v>62</v>
      </c>
      <c r="E238" s="90">
        <f t="shared" si="52"/>
        <v>3</v>
      </c>
      <c r="F238" s="91">
        <f t="shared" si="48"/>
        <v>33</v>
      </c>
      <c r="G238" s="92">
        <f t="shared" si="53"/>
        <v>0.23111450252550558</v>
      </c>
      <c r="H238" s="91" t="s">
        <v>135</v>
      </c>
      <c r="I238" s="92">
        <f t="shared" si="54"/>
        <v>3</v>
      </c>
      <c r="J238" s="93">
        <f t="shared" si="49"/>
        <v>17</v>
      </c>
      <c r="K238" s="94">
        <f t="shared" si="55"/>
        <v>0.76808799417676743</v>
      </c>
      <c r="L238" s="95">
        <f t="shared" si="56"/>
        <v>75.053122658619813</v>
      </c>
      <c r="M238" s="95">
        <f t="shared" si="57"/>
        <v>180.58460864345105</v>
      </c>
      <c r="N238" s="95">
        <f t="shared" si="58"/>
        <v>20.68427448434673</v>
      </c>
      <c r="O238" s="95">
        <f t="shared" si="59"/>
        <v>210.58751048637771</v>
      </c>
      <c r="P238" s="96">
        <f t="shared" si="60"/>
        <v>167.02901178762289</v>
      </c>
    </row>
    <row r="239" spans="1:16">
      <c r="A239" s="88" t="str">
        <f t="shared" si="47"/>
        <v>Sakhir</v>
      </c>
      <c r="B239" s="89">
        <f t="shared" si="46"/>
        <v>75.053122658619813</v>
      </c>
      <c r="C239" s="90">
        <f t="shared" si="50"/>
        <v>0</v>
      </c>
      <c r="D239" s="90">
        <f t="shared" si="51"/>
        <v>62</v>
      </c>
      <c r="E239" s="90">
        <f t="shared" si="52"/>
        <v>3</v>
      </c>
      <c r="F239" s="91">
        <f t="shared" si="48"/>
        <v>34</v>
      </c>
      <c r="G239" s="92">
        <f t="shared" si="53"/>
        <v>0.23111450252550558</v>
      </c>
      <c r="H239" s="91" t="s">
        <v>135</v>
      </c>
      <c r="I239" s="92">
        <f t="shared" si="54"/>
        <v>3</v>
      </c>
      <c r="J239" s="93">
        <f t="shared" si="49"/>
        <v>17</v>
      </c>
      <c r="K239" s="94">
        <f t="shared" si="55"/>
        <v>0.76808799417676743</v>
      </c>
      <c r="L239" s="95">
        <f t="shared" si="56"/>
        <v>75.053122658619813</v>
      </c>
      <c r="M239" s="95">
        <f t="shared" si="57"/>
        <v>180.58460864345105</v>
      </c>
      <c r="N239" s="95">
        <f t="shared" si="58"/>
        <v>20.915388986872237</v>
      </c>
      <c r="O239" s="95">
        <f t="shared" si="59"/>
        <v>210.58751048637771</v>
      </c>
      <c r="P239" s="96">
        <f t="shared" si="60"/>
        <v>166.54231351038146</v>
      </c>
    </row>
    <row r="240" spans="1:16">
      <c r="A240" s="88" t="str">
        <f t="shared" si="47"/>
        <v>Sakhir</v>
      </c>
      <c r="B240" s="89">
        <f t="shared" si="46"/>
        <v>75.053122658619813</v>
      </c>
      <c r="C240" s="90">
        <f t="shared" si="50"/>
        <v>0</v>
      </c>
      <c r="D240" s="90">
        <f t="shared" si="51"/>
        <v>62</v>
      </c>
      <c r="E240" s="90">
        <f t="shared" si="52"/>
        <v>3</v>
      </c>
      <c r="F240" s="91">
        <f t="shared" si="48"/>
        <v>35</v>
      </c>
      <c r="G240" s="92">
        <f t="shared" si="53"/>
        <v>0.23111450252550558</v>
      </c>
      <c r="H240" s="91" t="s">
        <v>135</v>
      </c>
      <c r="I240" s="92">
        <f t="shared" si="54"/>
        <v>3</v>
      </c>
      <c r="J240" s="93">
        <f t="shared" si="49"/>
        <v>17</v>
      </c>
      <c r="K240" s="94">
        <f t="shared" si="55"/>
        <v>0.76808799417676743</v>
      </c>
      <c r="L240" s="95">
        <f t="shared" si="56"/>
        <v>75.053122658619813</v>
      </c>
      <c r="M240" s="95">
        <f t="shared" si="57"/>
        <v>180.58460864345105</v>
      </c>
      <c r="N240" s="95">
        <f t="shared" si="58"/>
        <v>21.146503489397741</v>
      </c>
      <c r="O240" s="95">
        <f t="shared" si="59"/>
        <v>210.58751048637771</v>
      </c>
      <c r="P240" s="96">
        <f t="shared" si="60"/>
        <v>166.05561523314</v>
      </c>
    </row>
    <row r="241" spans="1:16">
      <c r="A241" s="88" t="str">
        <f t="shared" si="47"/>
        <v>Sakhir</v>
      </c>
      <c r="B241" s="89">
        <f t="shared" si="46"/>
        <v>75.053122658619813</v>
      </c>
      <c r="C241" s="90">
        <f t="shared" si="50"/>
        <v>0</v>
      </c>
      <c r="D241" s="90">
        <f t="shared" si="51"/>
        <v>62</v>
      </c>
      <c r="E241" s="90">
        <f t="shared" si="52"/>
        <v>3</v>
      </c>
      <c r="F241" s="91">
        <f t="shared" si="48"/>
        <v>36</v>
      </c>
      <c r="G241" s="92">
        <f t="shared" si="53"/>
        <v>0.23111450252550558</v>
      </c>
      <c r="H241" s="91" t="s">
        <v>135</v>
      </c>
      <c r="I241" s="92">
        <f t="shared" si="54"/>
        <v>3</v>
      </c>
      <c r="J241" s="93">
        <f t="shared" si="49"/>
        <v>17</v>
      </c>
      <c r="K241" s="94">
        <f t="shared" si="55"/>
        <v>0.76808799417676743</v>
      </c>
      <c r="L241" s="95">
        <f t="shared" si="56"/>
        <v>75.053122658619813</v>
      </c>
      <c r="M241" s="95">
        <f t="shared" si="57"/>
        <v>180.58460864345105</v>
      </c>
      <c r="N241" s="95">
        <f t="shared" si="58"/>
        <v>21.377617991923245</v>
      </c>
      <c r="O241" s="95">
        <f t="shared" si="59"/>
        <v>210.58751048637771</v>
      </c>
      <c r="P241" s="96">
        <f t="shared" si="60"/>
        <v>165.56891695589857</v>
      </c>
    </row>
    <row r="242" spans="1:16">
      <c r="A242" s="88" t="str">
        <f t="shared" si="47"/>
        <v>Sakhir</v>
      </c>
      <c r="B242" s="89">
        <f t="shared" si="46"/>
        <v>75.053122658619813</v>
      </c>
      <c r="C242" s="90">
        <f t="shared" si="50"/>
        <v>0</v>
      </c>
      <c r="D242" s="90">
        <f t="shared" si="51"/>
        <v>62</v>
      </c>
      <c r="E242" s="90">
        <f t="shared" si="52"/>
        <v>3</v>
      </c>
      <c r="F242" s="91">
        <f t="shared" si="48"/>
        <v>37</v>
      </c>
      <c r="G242" s="92">
        <f t="shared" si="53"/>
        <v>0.23111450252550558</v>
      </c>
      <c r="H242" s="91" t="s">
        <v>135</v>
      </c>
      <c r="I242" s="92">
        <f t="shared" si="54"/>
        <v>3</v>
      </c>
      <c r="J242" s="93">
        <f t="shared" si="49"/>
        <v>17</v>
      </c>
      <c r="K242" s="94">
        <f t="shared" si="55"/>
        <v>0.76808799417676743</v>
      </c>
      <c r="L242" s="95">
        <f t="shared" si="56"/>
        <v>75.053122658619813</v>
      </c>
      <c r="M242" s="95">
        <f t="shared" si="57"/>
        <v>180.58460864345105</v>
      </c>
      <c r="N242" s="95">
        <f t="shared" si="58"/>
        <v>21.608732494448752</v>
      </c>
      <c r="O242" s="95">
        <f t="shared" si="59"/>
        <v>210.58751048637771</v>
      </c>
      <c r="P242" s="96">
        <f t="shared" si="60"/>
        <v>165.08221867865714</v>
      </c>
    </row>
    <row r="243" spans="1:16">
      <c r="A243" s="88" t="str">
        <f t="shared" si="47"/>
        <v>Sakhir</v>
      </c>
      <c r="B243" s="89">
        <f t="shared" si="46"/>
        <v>75.053122658619813</v>
      </c>
      <c r="C243" s="90">
        <f t="shared" si="50"/>
        <v>0</v>
      </c>
      <c r="D243" s="90">
        <f t="shared" si="51"/>
        <v>62</v>
      </c>
      <c r="E243" s="90">
        <f t="shared" si="52"/>
        <v>3</v>
      </c>
      <c r="F243" s="91">
        <f t="shared" si="48"/>
        <v>38</v>
      </c>
      <c r="G243" s="92">
        <f t="shared" si="53"/>
        <v>0.23111450252550558</v>
      </c>
      <c r="H243" s="91" t="s">
        <v>135</v>
      </c>
      <c r="I243" s="92">
        <f t="shared" si="54"/>
        <v>3</v>
      </c>
      <c r="J243" s="93">
        <f t="shared" si="49"/>
        <v>17</v>
      </c>
      <c r="K243" s="94">
        <f t="shared" si="55"/>
        <v>0.76808799417676743</v>
      </c>
      <c r="L243" s="95">
        <f t="shared" si="56"/>
        <v>75.053122658619813</v>
      </c>
      <c r="M243" s="95">
        <f t="shared" si="57"/>
        <v>180.58460864345105</v>
      </c>
      <c r="N243" s="95">
        <f t="shared" si="58"/>
        <v>21.839846996974259</v>
      </c>
      <c r="O243" s="95">
        <f t="shared" si="59"/>
        <v>210.58751048637771</v>
      </c>
      <c r="P243" s="96">
        <f t="shared" si="60"/>
        <v>164.59552040141568</v>
      </c>
    </row>
    <row r="244" spans="1:16">
      <c r="A244" s="88" t="str">
        <f t="shared" si="47"/>
        <v>Sakhir</v>
      </c>
      <c r="B244" s="89">
        <f t="shared" si="46"/>
        <v>75.053122658619813</v>
      </c>
      <c r="C244" s="90">
        <f t="shared" si="50"/>
        <v>0</v>
      </c>
      <c r="D244" s="90">
        <f t="shared" si="51"/>
        <v>62</v>
      </c>
      <c r="E244" s="90">
        <f t="shared" si="52"/>
        <v>3</v>
      </c>
      <c r="F244" s="91">
        <f t="shared" si="48"/>
        <v>39</v>
      </c>
      <c r="G244" s="92">
        <f t="shared" si="53"/>
        <v>0.23111450252550558</v>
      </c>
      <c r="H244" s="91" t="s">
        <v>135</v>
      </c>
      <c r="I244" s="92">
        <f t="shared" si="54"/>
        <v>3</v>
      </c>
      <c r="J244" s="93">
        <f t="shared" si="49"/>
        <v>17</v>
      </c>
      <c r="K244" s="94">
        <f t="shared" si="55"/>
        <v>0.76808799417676743</v>
      </c>
      <c r="L244" s="95">
        <f t="shared" si="56"/>
        <v>75.053122658619813</v>
      </c>
      <c r="M244" s="95">
        <f t="shared" si="57"/>
        <v>180.58460864345105</v>
      </c>
      <c r="N244" s="95">
        <f t="shared" si="58"/>
        <v>22.070961499499763</v>
      </c>
      <c r="O244" s="95">
        <f t="shared" si="59"/>
        <v>210.58751048637771</v>
      </c>
      <c r="P244" s="96">
        <f t="shared" si="60"/>
        <v>164.10882212417425</v>
      </c>
    </row>
    <row r="245" spans="1:16">
      <c r="A245" s="88" t="str">
        <f t="shared" si="47"/>
        <v>Sakhir</v>
      </c>
      <c r="B245" s="89">
        <f t="shared" si="46"/>
        <v>75.053122658619813</v>
      </c>
      <c r="C245" s="90">
        <f t="shared" si="50"/>
        <v>0</v>
      </c>
      <c r="D245" s="90">
        <f t="shared" si="51"/>
        <v>62</v>
      </c>
      <c r="E245" s="90">
        <f t="shared" si="52"/>
        <v>3</v>
      </c>
      <c r="F245" s="91">
        <f t="shared" si="48"/>
        <v>40</v>
      </c>
      <c r="G245" s="92">
        <f t="shared" si="53"/>
        <v>0.23111450252550558</v>
      </c>
      <c r="H245" s="91" t="s">
        <v>135</v>
      </c>
      <c r="I245" s="92">
        <f t="shared" si="54"/>
        <v>3</v>
      </c>
      <c r="J245" s="93">
        <f t="shared" si="49"/>
        <v>17</v>
      </c>
      <c r="K245" s="94">
        <f t="shared" si="55"/>
        <v>0.76808799417676743</v>
      </c>
      <c r="L245" s="95">
        <f t="shared" si="56"/>
        <v>75.053122658619813</v>
      </c>
      <c r="M245" s="95">
        <f t="shared" si="57"/>
        <v>180.58460864345105</v>
      </c>
      <c r="N245" s="95">
        <f t="shared" si="58"/>
        <v>22.302076002025267</v>
      </c>
      <c r="O245" s="95">
        <f t="shared" si="59"/>
        <v>210.58751048637771</v>
      </c>
      <c r="P245" s="96">
        <f t="shared" si="60"/>
        <v>163.62212384693282</v>
      </c>
    </row>
    <row r="246" spans="1:16">
      <c r="A246" s="88" t="str">
        <f t="shared" si="47"/>
        <v>Sakhir</v>
      </c>
      <c r="B246" s="89">
        <f t="shared" si="46"/>
        <v>75.053122658619813</v>
      </c>
      <c r="C246" s="90">
        <f t="shared" si="50"/>
        <v>0</v>
      </c>
      <c r="D246" s="90">
        <f t="shared" si="51"/>
        <v>62</v>
      </c>
      <c r="E246" s="90">
        <f t="shared" si="52"/>
        <v>3</v>
      </c>
      <c r="F246" s="91">
        <f t="shared" si="48"/>
        <v>41</v>
      </c>
      <c r="G246" s="92">
        <f t="shared" si="53"/>
        <v>0.23111450252550558</v>
      </c>
      <c r="H246" s="91" t="s">
        <v>135</v>
      </c>
      <c r="I246" s="92">
        <f t="shared" si="54"/>
        <v>3</v>
      </c>
      <c r="J246" s="93">
        <f t="shared" si="49"/>
        <v>17</v>
      </c>
      <c r="K246" s="94">
        <f t="shared" si="55"/>
        <v>0.76808799417676743</v>
      </c>
      <c r="L246" s="95">
        <f t="shared" si="56"/>
        <v>75.053122658619813</v>
      </c>
      <c r="M246" s="95">
        <f t="shared" si="57"/>
        <v>180.58460864345105</v>
      </c>
      <c r="N246" s="95">
        <f t="shared" si="58"/>
        <v>22.533190504550774</v>
      </c>
      <c r="O246" s="95">
        <f t="shared" si="59"/>
        <v>210.58751048637771</v>
      </c>
      <c r="P246" s="96">
        <f t="shared" si="60"/>
        <v>163.13542556969139</v>
      </c>
    </row>
    <row r="247" spans="1:16">
      <c r="A247" s="88" t="str">
        <f t="shared" si="47"/>
        <v>Sakhir</v>
      </c>
      <c r="B247" s="89">
        <f t="shared" si="46"/>
        <v>75.053122658619813</v>
      </c>
      <c r="C247" s="90">
        <f t="shared" si="50"/>
        <v>0</v>
      </c>
      <c r="D247" s="90">
        <f t="shared" si="51"/>
        <v>62</v>
      </c>
      <c r="E247" s="90">
        <f t="shared" si="52"/>
        <v>3</v>
      </c>
      <c r="F247" s="91">
        <f t="shared" si="48"/>
        <v>42</v>
      </c>
      <c r="G247" s="92">
        <f t="shared" si="53"/>
        <v>0.23111450252550558</v>
      </c>
      <c r="H247" s="91" t="s">
        <v>135</v>
      </c>
      <c r="I247" s="92">
        <f t="shared" si="54"/>
        <v>3</v>
      </c>
      <c r="J247" s="93">
        <f t="shared" si="49"/>
        <v>17</v>
      </c>
      <c r="K247" s="94">
        <f t="shared" si="55"/>
        <v>0.76808799417676743</v>
      </c>
      <c r="L247" s="95">
        <f t="shared" si="56"/>
        <v>75.053122658619813</v>
      </c>
      <c r="M247" s="95">
        <f t="shared" si="57"/>
        <v>180.58460864345105</v>
      </c>
      <c r="N247" s="95">
        <f t="shared" si="58"/>
        <v>22.764305007076281</v>
      </c>
      <c r="O247" s="95">
        <f t="shared" si="59"/>
        <v>210.58751048637771</v>
      </c>
      <c r="P247" s="96">
        <f t="shared" si="60"/>
        <v>162.64872729244993</v>
      </c>
    </row>
    <row r="248" spans="1:16">
      <c r="A248" s="88" t="str">
        <f t="shared" si="47"/>
        <v>Sakhir</v>
      </c>
      <c r="B248" s="89">
        <f t="shared" si="46"/>
        <v>75.053122658619813</v>
      </c>
      <c r="C248" s="90">
        <f t="shared" si="50"/>
        <v>0</v>
      </c>
      <c r="D248" s="90">
        <f t="shared" si="51"/>
        <v>62</v>
      </c>
      <c r="E248" s="90">
        <f t="shared" si="52"/>
        <v>3</v>
      </c>
      <c r="F248" s="91">
        <f t="shared" si="48"/>
        <v>43</v>
      </c>
      <c r="G248" s="92">
        <f t="shared" si="53"/>
        <v>0.23111450252550558</v>
      </c>
      <c r="H248" s="91" t="s">
        <v>135</v>
      </c>
      <c r="I248" s="92">
        <f t="shared" si="54"/>
        <v>3</v>
      </c>
      <c r="J248" s="93">
        <f t="shared" si="49"/>
        <v>17</v>
      </c>
      <c r="K248" s="94">
        <f t="shared" si="55"/>
        <v>0.76808799417676743</v>
      </c>
      <c r="L248" s="95">
        <f t="shared" si="56"/>
        <v>75.053122658619813</v>
      </c>
      <c r="M248" s="95">
        <f t="shared" si="57"/>
        <v>180.58460864345105</v>
      </c>
      <c r="N248" s="95">
        <f t="shared" si="58"/>
        <v>22.995419509601788</v>
      </c>
      <c r="O248" s="95">
        <f t="shared" si="59"/>
        <v>210.58751048637771</v>
      </c>
      <c r="P248" s="96">
        <f t="shared" si="60"/>
        <v>162.1620290152085</v>
      </c>
    </row>
    <row r="249" spans="1:16">
      <c r="A249" s="88" t="str">
        <f t="shared" si="47"/>
        <v>Sakhir</v>
      </c>
      <c r="B249" s="89">
        <f t="shared" si="46"/>
        <v>75.053122658619813</v>
      </c>
      <c r="C249" s="90">
        <f t="shared" si="50"/>
        <v>0</v>
      </c>
      <c r="D249" s="90">
        <f t="shared" si="51"/>
        <v>62</v>
      </c>
      <c r="E249" s="90">
        <f t="shared" si="52"/>
        <v>3</v>
      </c>
      <c r="F249" s="91">
        <f t="shared" si="48"/>
        <v>44</v>
      </c>
      <c r="G249" s="92">
        <f t="shared" si="53"/>
        <v>0.23111450252550558</v>
      </c>
      <c r="H249" s="91" t="s">
        <v>135</v>
      </c>
      <c r="I249" s="92">
        <f t="shared" si="54"/>
        <v>3</v>
      </c>
      <c r="J249" s="93">
        <f t="shared" si="49"/>
        <v>17</v>
      </c>
      <c r="K249" s="94">
        <f t="shared" si="55"/>
        <v>0.76808799417676743</v>
      </c>
      <c r="L249" s="95">
        <f t="shared" si="56"/>
        <v>75.053122658619813</v>
      </c>
      <c r="M249" s="95">
        <f t="shared" si="57"/>
        <v>180.58460864345105</v>
      </c>
      <c r="N249" s="95">
        <f t="shared" si="58"/>
        <v>23.226534012127292</v>
      </c>
      <c r="O249" s="95">
        <f t="shared" si="59"/>
        <v>210.58751048637771</v>
      </c>
      <c r="P249" s="96">
        <f t="shared" si="60"/>
        <v>161.67533073796707</v>
      </c>
    </row>
    <row r="250" spans="1:16">
      <c r="A250" s="88" t="str">
        <f t="shared" si="47"/>
        <v>Sakhir</v>
      </c>
      <c r="B250" s="89">
        <f t="shared" si="46"/>
        <v>75.053122658619813</v>
      </c>
      <c r="C250" s="90">
        <f t="shared" si="50"/>
        <v>0</v>
      </c>
      <c r="D250" s="90">
        <f t="shared" si="51"/>
        <v>62</v>
      </c>
      <c r="E250" s="90">
        <f t="shared" si="52"/>
        <v>3</v>
      </c>
      <c r="F250" s="91">
        <f t="shared" si="48"/>
        <v>45</v>
      </c>
      <c r="G250" s="92">
        <f t="shared" si="53"/>
        <v>0.23111450252550558</v>
      </c>
      <c r="H250" s="91" t="s">
        <v>135</v>
      </c>
      <c r="I250" s="92">
        <f t="shared" si="54"/>
        <v>3</v>
      </c>
      <c r="J250" s="93">
        <f t="shared" si="49"/>
        <v>17</v>
      </c>
      <c r="K250" s="94">
        <f t="shared" si="55"/>
        <v>0.76808799417676743</v>
      </c>
      <c r="L250" s="95">
        <f t="shared" si="56"/>
        <v>75.053122658619813</v>
      </c>
      <c r="M250" s="95">
        <f t="shared" si="57"/>
        <v>180.58460864345105</v>
      </c>
      <c r="N250" s="95">
        <f t="shared" si="58"/>
        <v>23.457648514652796</v>
      </c>
      <c r="O250" s="95">
        <f t="shared" si="59"/>
        <v>210.58751048637771</v>
      </c>
      <c r="P250" s="96">
        <f t="shared" si="60"/>
        <v>161.18863246072561</v>
      </c>
    </row>
    <row r="251" spans="1:16">
      <c r="A251" s="88" t="str">
        <f t="shared" si="47"/>
        <v>Sakhir</v>
      </c>
      <c r="B251" s="89">
        <f t="shared" si="46"/>
        <v>75.053122658619813</v>
      </c>
      <c r="C251" s="90">
        <f t="shared" si="50"/>
        <v>0</v>
      </c>
      <c r="D251" s="90">
        <f t="shared" si="51"/>
        <v>62</v>
      </c>
      <c r="E251" s="90">
        <f t="shared" si="52"/>
        <v>3</v>
      </c>
      <c r="F251" s="91">
        <f t="shared" si="48"/>
        <v>46</v>
      </c>
      <c r="G251" s="92">
        <f t="shared" si="53"/>
        <v>0.23111450252550558</v>
      </c>
      <c r="H251" s="91" t="s">
        <v>135</v>
      </c>
      <c r="I251" s="92">
        <f t="shared" si="54"/>
        <v>3</v>
      </c>
      <c r="J251" s="93">
        <f t="shared" si="49"/>
        <v>17</v>
      </c>
      <c r="K251" s="94">
        <f t="shared" si="55"/>
        <v>0.76808799417676743</v>
      </c>
      <c r="L251" s="95">
        <f t="shared" si="56"/>
        <v>75.053122658619813</v>
      </c>
      <c r="M251" s="95">
        <f t="shared" si="57"/>
        <v>180.58460864345105</v>
      </c>
      <c r="N251" s="95">
        <f t="shared" si="58"/>
        <v>23.688763017178303</v>
      </c>
      <c r="O251" s="95">
        <f t="shared" si="59"/>
        <v>210.58751048637771</v>
      </c>
      <c r="P251" s="96">
        <f t="shared" si="60"/>
        <v>160.70193418348418</v>
      </c>
    </row>
    <row r="252" spans="1:16">
      <c r="A252" s="88" t="str">
        <f t="shared" si="47"/>
        <v>Sakhir</v>
      </c>
      <c r="B252" s="89">
        <f t="shared" si="46"/>
        <v>75.053122658619813</v>
      </c>
      <c r="C252" s="90">
        <f t="shared" si="50"/>
        <v>0</v>
      </c>
      <c r="D252" s="90">
        <f t="shared" si="51"/>
        <v>62</v>
      </c>
      <c r="E252" s="90">
        <f t="shared" si="52"/>
        <v>3</v>
      </c>
      <c r="F252" s="91">
        <f t="shared" si="48"/>
        <v>47</v>
      </c>
      <c r="G252" s="92">
        <f t="shared" si="53"/>
        <v>0.23111450252550558</v>
      </c>
      <c r="H252" s="91" t="s">
        <v>135</v>
      </c>
      <c r="I252" s="92">
        <f t="shared" si="54"/>
        <v>3</v>
      </c>
      <c r="J252" s="93">
        <f t="shared" si="49"/>
        <v>17</v>
      </c>
      <c r="K252" s="94">
        <f t="shared" si="55"/>
        <v>0.76808799417676743</v>
      </c>
      <c r="L252" s="95">
        <f t="shared" si="56"/>
        <v>75.053122658619813</v>
      </c>
      <c r="M252" s="95">
        <f t="shared" si="57"/>
        <v>180.58460864345105</v>
      </c>
      <c r="N252" s="95">
        <f t="shared" si="58"/>
        <v>23.91987751970381</v>
      </c>
      <c r="O252" s="95">
        <f t="shared" si="59"/>
        <v>210.58751048637771</v>
      </c>
      <c r="P252" s="96">
        <f t="shared" si="60"/>
        <v>160.21523590624275</v>
      </c>
    </row>
    <row r="253" spans="1:16">
      <c r="A253" s="88" t="str">
        <f t="shared" si="47"/>
        <v>Sakhir</v>
      </c>
      <c r="B253" s="89">
        <f t="shared" si="46"/>
        <v>75.053122658619813</v>
      </c>
      <c r="C253" s="90">
        <f t="shared" si="50"/>
        <v>0</v>
      </c>
      <c r="D253" s="90">
        <f t="shared" si="51"/>
        <v>62</v>
      </c>
      <c r="E253" s="90">
        <f t="shared" si="52"/>
        <v>3</v>
      </c>
      <c r="F253" s="91">
        <f t="shared" si="48"/>
        <v>48</v>
      </c>
      <c r="G253" s="92">
        <f t="shared" si="53"/>
        <v>0.23111450252550558</v>
      </c>
      <c r="H253" s="91" t="s">
        <v>135</v>
      </c>
      <c r="I253" s="92">
        <f t="shared" si="54"/>
        <v>3</v>
      </c>
      <c r="J253" s="93">
        <f t="shared" si="49"/>
        <v>17</v>
      </c>
      <c r="K253" s="94">
        <f t="shared" si="55"/>
        <v>0.76808799417676743</v>
      </c>
      <c r="L253" s="95">
        <f t="shared" si="56"/>
        <v>75.053122658619813</v>
      </c>
      <c r="M253" s="95">
        <f t="shared" si="57"/>
        <v>180.58460864345105</v>
      </c>
      <c r="N253" s="95">
        <f t="shared" si="58"/>
        <v>24.150992022229314</v>
      </c>
      <c r="O253" s="95">
        <f t="shared" si="59"/>
        <v>210.58751048637771</v>
      </c>
      <c r="P253" s="96">
        <f t="shared" si="60"/>
        <v>159.72853762900132</v>
      </c>
    </row>
    <row r="254" spans="1:16">
      <c r="A254" s="88" t="str">
        <f t="shared" si="47"/>
        <v>Sakhir</v>
      </c>
      <c r="B254" s="89">
        <f t="shared" si="46"/>
        <v>75.053122658619813</v>
      </c>
      <c r="C254" s="90">
        <f t="shared" si="50"/>
        <v>0</v>
      </c>
      <c r="D254" s="90">
        <f t="shared" si="51"/>
        <v>62</v>
      </c>
      <c r="E254" s="90">
        <f t="shared" si="52"/>
        <v>3</v>
      </c>
      <c r="F254" s="91">
        <f t="shared" si="48"/>
        <v>49</v>
      </c>
      <c r="G254" s="92">
        <f t="shared" si="53"/>
        <v>0.23111450252550558</v>
      </c>
      <c r="H254" s="91" t="s">
        <v>135</v>
      </c>
      <c r="I254" s="92">
        <f t="shared" si="54"/>
        <v>3</v>
      </c>
      <c r="J254" s="93">
        <f t="shared" si="49"/>
        <v>17</v>
      </c>
      <c r="K254" s="94">
        <f t="shared" si="55"/>
        <v>0.76808799417676743</v>
      </c>
      <c r="L254" s="95">
        <f t="shared" si="56"/>
        <v>75.053122658619813</v>
      </c>
      <c r="M254" s="95">
        <f t="shared" si="57"/>
        <v>180.58460864345105</v>
      </c>
      <c r="N254" s="95">
        <f t="shared" si="58"/>
        <v>24.382106524754818</v>
      </c>
      <c r="O254" s="95">
        <f t="shared" si="59"/>
        <v>210.58751048637771</v>
      </c>
      <c r="P254" s="96">
        <f t="shared" si="60"/>
        <v>159.24183935175989</v>
      </c>
    </row>
    <row r="255" spans="1:16">
      <c r="A255" s="88" t="str">
        <f t="shared" si="47"/>
        <v>Sakhir</v>
      </c>
      <c r="B255" s="89">
        <f t="shared" si="46"/>
        <v>75.053122658619813</v>
      </c>
      <c r="C255" s="90">
        <f t="shared" si="50"/>
        <v>0</v>
      </c>
      <c r="D255" s="90">
        <f t="shared" si="51"/>
        <v>62</v>
      </c>
      <c r="E255" s="90">
        <f t="shared" si="52"/>
        <v>3</v>
      </c>
      <c r="F255" s="91">
        <f t="shared" si="48"/>
        <v>50</v>
      </c>
      <c r="G255" s="92">
        <f t="shared" si="53"/>
        <v>0.23111450252550558</v>
      </c>
      <c r="H255" s="91" t="s">
        <v>135</v>
      </c>
      <c r="I255" s="92">
        <f t="shared" si="54"/>
        <v>3</v>
      </c>
      <c r="J255" s="93">
        <f t="shared" si="49"/>
        <v>17</v>
      </c>
      <c r="K255" s="94">
        <f t="shared" si="55"/>
        <v>0.76808799417676743</v>
      </c>
      <c r="L255" s="95">
        <f t="shared" si="56"/>
        <v>75.053122658619813</v>
      </c>
      <c r="M255" s="95">
        <f t="shared" si="57"/>
        <v>180.58460864345105</v>
      </c>
      <c r="N255" s="95">
        <f t="shared" si="58"/>
        <v>24.613221027280325</v>
      </c>
      <c r="O255" s="95">
        <f t="shared" si="59"/>
        <v>210.58751048637771</v>
      </c>
      <c r="P255" s="96">
        <f t="shared" si="60"/>
        <v>158.75514107451843</v>
      </c>
    </row>
    <row r="256" spans="1:16">
      <c r="A256" s="88" t="str">
        <f t="shared" si="47"/>
        <v>Sakhir</v>
      </c>
      <c r="B256" s="89">
        <f t="shared" si="46"/>
        <v>75.053122658619813</v>
      </c>
      <c r="C256" s="90">
        <f t="shared" si="50"/>
        <v>0</v>
      </c>
      <c r="D256" s="90">
        <f t="shared" si="51"/>
        <v>62</v>
      </c>
      <c r="E256" s="90">
        <f t="shared" si="52"/>
        <v>3</v>
      </c>
      <c r="F256" s="91">
        <f t="shared" si="48"/>
        <v>51</v>
      </c>
      <c r="G256" s="92">
        <f t="shared" si="53"/>
        <v>0.23111450252550558</v>
      </c>
      <c r="H256" s="91" t="s">
        <v>135</v>
      </c>
      <c r="I256" s="92">
        <f t="shared" si="54"/>
        <v>3</v>
      </c>
      <c r="J256" s="93">
        <f t="shared" si="49"/>
        <v>17</v>
      </c>
      <c r="K256" s="94">
        <f t="shared" si="55"/>
        <v>0.76808799417676743</v>
      </c>
      <c r="L256" s="95">
        <f t="shared" si="56"/>
        <v>75.053122658619813</v>
      </c>
      <c r="M256" s="95">
        <f t="shared" si="57"/>
        <v>180.58460864345105</v>
      </c>
      <c r="N256" s="95">
        <f t="shared" si="58"/>
        <v>24.844335529805832</v>
      </c>
      <c r="O256" s="95">
        <f t="shared" si="59"/>
        <v>210.58751048637771</v>
      </c>
      <c r="P256" s="96">
        <f t="shared" si="60"/>
        <v>158.26844279727698</v>
      </c>
    </row>
    <row r="257" spans="1:16">
      <c r="A257" s="88" t="str">
        <f t="shared" si="47"/>
        <v>Sakhir</v>
      </c>
      <c r="B257" s="89">
        <f t="shared" si="46"/>
        <v>75.053122658619813</v>
      </c>
      <c r="C257" s="90">
        <f t="shared" si="50"/>
        <v>0</v>
      </c>
      <c r="D257" s="90">
        <f t="shared" si="51"/>
        <v>62</v>
      </c>
      <c r="E257" s="90">
        <f t="shared" si="52"/>
        <v>3</v>
      </c>
      <c r="F257" s="91">
        <f t="shared" si="48"/>
        <v>52</v>
      </c>
      <c r="G257" s="92">
        <f t="shared" si="53"/>
        <v>0.23111450252550558</v>
      </c>
      <c r="H257" s="91" t="s">
        <v>135</v>
      </c>
      <c r="I257" s="92">
        <f t="shared" si="54"/>
        <v>3</v>
      </c>
      <c r="J257" s="93">
        <f t="shared" si="49"/>
        <v>17</v>
      </c>
      <c r="K257" s="94">
        <f t="shared" si="55"/>
        <v>0.76808799417676743</v>
      </c>
      <c r="L257" s="95">
        <f t="shared" si="56"/>
        <v>75.053122658619813</v>
      </c>
      <c r="M257" s="95">
        <f t="shared" si="57"/>
        <v>180.58460864345105</v>
      </c>
      <c r="N257" s="95">
        <f t="shared" si="58"/>
        <v>25.075450032331336</v>
      </c>
      <c r="O257" s="95">
        <f t="shared" si="59"/>
        <v>210.58751048637771</v>
      </c>
      <c r="P257" s="96">
        <f t="shared" si="60"/>
        <v>157.78174452003555</v>
      </c>
    </row>
    <row r="258" spans="1:16">
      <c r="A258" s="88" t="str">
        <f t="shared" si="47"/>
        <v>Sakhir</v>
      </c>
      <c r="B258" s="89">
        <f t="shared" si="46"/>
        <v>75.053122658619813</v>
      </c>
      <c r="C258" s="90">
        <f t="shared" si="50"/>
        <v>0</v>
      </c>
      <c r="D258" s="90">
        <f t="shared" si="51"/>
        <v>62</v>
      </c>
      <c r="E258" s="90">
        <f t="shared" si="52"/>
        <v>3</v>
      </c>
      <c r="F258" s="91">
        <f t="shared" si="48"/>
        <v>53</v>
      </c>
      <c r="G258" s="92">
        <f t="shared" si="53"/>
        <v>0.23111450252550558</v>
      </c>
      <c r="H258" s="91" t="s">
        <v>135</v>
      </c>
      <c r="I258" s="92">
        <f t="shared" si="54"/>
        <v>3</v>
      </c>
      <c r="J258" s="93">
        <f t="shared" si="49"/>
        <v>17</v>
      </c>
      <c r="K258" s="94">
        <f t="shared" si="55"/>
        <v>0.76808799417676743</v>
      </c>
      <c r="L258" s="95">
        <f t="shared" si="56"/>
        <v>75.053122658619813</v>
      </c>
      <c r="M258" s="95">
        <f t="shared" si="57"/>
        <v>180.58460864345105</v>
      </c>
      <c r="N258" s="95">
        <f t="shared" si="58"/>
        <v>25.30656453485684</v>
      </c>
      <c r="O258" s="95">
        <f t="shared" si="59"/>
        <v>210.58751048637771</v>
      </c>
      <c r="P258" s="96">
        <f t="shared" si="60"/>
        <v>157.29504624279411</v>
      </c>
    </row>
    <row r="259" spans="1:16">
      <c r="A259" s="88" t="str">
        <f t="shared" si="47"/>
        <v>Sakhir</v>
      </c>
      <c r="B259" s="89">
        <f t="shared" ref="B259:B322" si="61">VLOOKUP(A259,$R$3:$S$60,2,0)</f>
        <v>75.053122658619813</v>
      </c>
      <c r="C259" s="90">
        <f t="shared" si="50"/>
        <v>0</v>
      </c>
      <c r="D259" s="90">
        <f t="shared" si="51"/>
        <v>62</v>
      </c>
      <c r="E259" s="90">
        <f t="shared" si="52"/>
        <v>3</v>
      </c>
      <c r="F259" s="91">
        <f t="shared" si="48"/>
        <v>54</v>
      </c>
      <c r="G259" s="92">
        <f t="shared" si="53"/>
        <v>0.23111450252550558</v>
      </c>
      <c r="H259" s="91" t="s">
        <v>135</v>
      </c>
      <c r="I259" s="92">
        <f t="shared" si="54"/>
        <v>3</v>
      </c>
      <c r="J259" s="93">
        <f t="shared" si="49"/>
        <v>17</v>
      </c>
      <c r="K259" s="94">
        <f t="shared" si="55"/>
        <v>0.76808799417676743</v>
      </c>
      <c r="L259" s="95">
        <f t="shared" si="56"/>
        <v>75.053122658619813</v>
      </c>
      <c r="M259" s="95">
        <f t="shared" si="57"/>
        <v>180.58460864345105</v>
      </c>
      <c r="N259" s="95">
        <f t="shared" si="58"/>
        <v>25.537679037382347</v>
      </c>
      <c r="O259" s="95">
        <f t="shared" si="59"/>
        <v>210.58751048637771</v>
      </c>
      <c r="P259" s="96">
        <f t="shared" si="60"/>
        <v>156.80834796555268</v>
      </c>
    </row>
    <row r="260" spans="1:16">
      <c r="A260" s="88" t="str">
        <f t="shared" si="47"/>
        <v>Sakhir</v>
      </c>
      <c r="B260" s="89">
        <f t="shared" si="61"/>
        <v>75.053122658619813</v>
      </c>
      <c r="C260" s="90">
        <f t="shared" si="50"/>
        <v>0</v>
      </c>
      <c r="D260" s="90">
        <f t="shared" si="51"/>
        <v>62</v>
      </c>
      <c r="E260" s="90">
        <f t="shared" si="52"/>
        <v>3</v>
      </c>
      <c r="F260" s="91">
        <f t="shared" si="48"/>
        <v>55</v>
      </c>
      <c r="G260" s="92">
        <f t="shared" si="53"/>
        <v>0.23111450252550558</v>
      </c>
      <c r="H260" s="91" t="s">
        <v>135</v>
      </c>
      <c r="I260" s="92">
        <f t="shared" si="54"/>
        <v>3</v>
      </c>
      <c r="J260" s="93">
        <f t="shared" si="49"/>
        <v>17</v>
      </c>
      <c r="K260" s="94">
        <f t="shared" si="55"/>
        <v>0.76808799417676743</v>
      </c>
      <c r="L260" s="95">
        <f t="shared" si="56"/>
        <v>75.053122658619813</v>
      </c>
      <c r="M260" s="95">
        <f t="shared" si="57"/>
        <v>180.58460864345105</v>
      </c>
      <c r="N260" s="95">
        <f t="shared" si="58"/>
        <v>25.768793539907854</v>
      </c>
      <c r="O260" s="95">
        <f t="shared" si="59"/>
        <v>210.58751048637771</v>
      </c>
      <c r="P260" s="96">
        <f t="shared" si="60"/>
        <v>156.32164968831123</v>
      </c>
    </row>
    <row r="261" spans="1:16">
      <c r="A261" s="88" t="str">
        <f t="shared" ref="A261:A324" si="62">A260</f>
        <v>Sakhir</v>
      </c>
      <c r="B261" s="89">
        <f t="shared" si="61"/>
        <v>75.053122658619813</v>
      </c>
      <c r="C261" s="90">
        <f t="shared" si="50"/>
        <v>0</v>
      </c>
      <c r="D261" s="90">
        <f t="shared" si="51"/>
        <v>62</v>
      </c>
      <c r="E261" s="90">
        <f t="shared" si="52"/>
        <v>3</v>
      </c>
      <c r="F261" s="91">
        <f t="shared" ref="F261:F324" si="63">F260+1</f>
        <v>56</v>
      </c>
      <c r="G261" s="92">
        <f t="shared" si="53"/>
        <v>0.23111450252550558</v>
      </c>
      <c r="H261" s="91" t="s">
        <v>135</v>
      </c>
      <c r="I261" s="92">
        <f t="shared" si="54"/>
        <v>3</v>
      </c>
      <c r="J261" s="93">
        <f t="shared" ref="J261:J324" si="64">J260</f>
        <v>17</v>
      </c>
      <c r="K261" s="94">
        <f t="shared" si="55"/>
        <v>0.76808799417676743</v>
      </c>
      <c r="L261" s="95">
        <f t="shared" si="56"/>
        <v>75.053122658619813</v>
      </c>
      <c r="M261" s="95">
        <f t="shared" si="57"/>
        <v>180.58460864345105</v>
      </c>
      <c r="N261" s="95">
        <f t="shared" si="58"/>
        <v>25.999908042433361</v>
      </c>
      <c r="O261" s="95">
        <f t="shared" si="59"/>
        <v>210.58751048637771</v>
      </c>
      <c r="P261" s="96">
        <f t="shared" si="60"/>
        <v>155.8349514110698</v>
      </c>
    </row>
    <row r="262" spans="1:16">
      <c r="A262" s="88" t="str">
        <f t="shared" si="62"/>
        <v>Sakhir</v>
      </c>
      <c r="B262" s="89">
        <f t="shared" si="61"/>
        <v>75.053122658619813</v>
      </c>
      <c r="C262" s="90">
        <f t="shared" si="50"/>
        <v>0</v>
      </c>
      <c r="D262" s="90">
        <f t="shared" si="51"/>
        <v>62</v>
      </c>
      <c r="E262" s="90">
        <f t="shared" si="52"/>
        <v>3</v>
      </c>
      <c r="F262" s="91">
        <f t="shared" si="63"/>
        <v>57</v>
      </c>
      <c r="G262" s="92">
        <f t="shared" si="53"/>
        <v>0.23111450252550558</v>
      </c>
      <c r="H262" s="91" t="s">
        <v>135</v>
      </c>
      <c r="I262" s="92">
        <f t="shared" si="54"/>
        <v>3</v>
      </c>
      <c r="J262" s="93">
        <f t="shared" si="64"/>
        <v>17</v>
      </c>
      <c r="K262" s="94">
        <f t="shared" si="55"/>
        <v>0.76808799417676743</v>
      </c>
      <c r="L262" s="95">
        <f t="shared" si="56"/>
        <v>75.053122658619813</v>
      </c>
      <c r="M262" s="95">
        <f t="shared" si="57"/>
        <v>180.58460864345105</v>
      </c>
      <c r="N262" s="95">
        <f t="shared" si="58"/>
        <v>26.231022544958865</v>
      </c>
      <c r="O262" s="95">
        <f t="shared" si="59"/>
        <v>210.58751048637771</v>
      </c>
      <c r="P262" s="96">
        <f t="shared" si="60"/>
        <v>155.34825313382836</v>
      </c>
    </row>
    <row r="263" spans="1:16">
      <c r="A263" s="88" t="str">
        <f t="shared" si="62"/>
        <v>Sakhir</v>
      </c>
      <c r="B263" s="89">
        <f t="shared" si="61"/>
        <v>75.053122658619813</v>
      </c>
      <c r="C263" s="90">
        <f t="shared" ref="C263:C326" si="65">C262</f>
        <v>0</v>
      </c>
      <c r="D263" s="90">
        <f t="shared" ref="D263:D326" si="66">D262</f>
        <v>62</v>
      </c>
      <c r="E263" s="90">
        <f t="shared" ref="E263:E326" si="67">E262</f>
        <v>3</v>
      </c>
      <c r="F263" s="91">
        <f t="shared" si="63"/>
        <v>58</v>
      </c>
      <c r="G263" s="92">
        <f t="shared" ref="G263:G326" si="68">VLOOKUP(H263,$U$5:$X$8,3,0)</f>
        <v>0.23111450252550558</v>
      </c>
      <c r="H263" s="91" t="s">
        <v>135</v>
      </c>
      <c r="I263" s="92">
        <f t="shared" ref="I263:I326" si="69">VLOOKUP(H263,$U$5:$V$8,2,0)</f>
        <v>3</v>
      </c>
      <c r="J263" s="93">
        <f t="shared" si="64"/>
        <v>17</v>
      </c>
      <c r="K263" s="94">
        <f t="shared" ref="K263:K326" si="70">VLOOKUP(H263,$U$5:$X$8,4,0)</f>
        <v>0.76808799417676743</v>
      </c>
      <c r="L263" s="95">
        <f t="shared" ref="L263:L326" si="71">B263</f>
        <v>75.053122658619813</v>
      </c>
      <c r="M263" s="95">
        <f t="shared" ref="M263:M326" si="72">C263*$V$10+$V$11*D263+E263*$V$12+I263*$V$13</f>
        <v>180.58460864345105</v>
      </c>
      <c r="N263" s="95">
        <f t="shared" ref="N263:N326" si="73">G263*F263+J263*K263</f>
        <v>26.462137047484369</v>
      </c>
      <c r="O263" s="95">
        <f t="shared" ref="O263:O326" si="74">L263+((L263*M263)/100)</f>
        <v>210.58751048637771</v>
      </c>
      <c r="P263" s="96">
        <f t="shared" ref="P263:P326" si="75">O263-((O263*N263)/100)</f>
        <v>154.86155485658691</v>
      </c>
    </row>
    <row r="264" spans="1:16">
      <c r="A264" s="88" t="str">
        <f t="shared" si="62"/>
        <v>Sakhir</v>
      </c>
      <c r="B264" s="89">
        <f t="shared" si="61"/>
        <v>75.053122658619813</v>
      </c>
      <c r="C264" s="90">
        <f t="shared" si="65"/>
        <v>0</v>
      </c>
      <c r="D264" s="90">
        <f t="shared" si="66"/>
        <v>62</v>
      </c>
      <c r="E264" s="90">
        <f t="shared" si="67"/>
        <v>3</v>
      </c>
      <c r="F264" s="91">
        <f t="shared" si="63"/>
        <v>59</v>
      </c>
      <c r="G264" s="92">
        <f t="shared" si="68"/>
        <v>0.23111450252550558</v>
      </c>
      <c r="H264" s="91" t="s">
        <v>135</v>
      </c>
      <c r="I264" s="92">
        <f t="shared" si="69"/>
        <v>3</v>
      </c>
      <c r="J264" s="93">
        <f t="shared" si="64"/>
        <v>17</v>
      </c>
      <c r="K264" s="94">
        <f t="shared" si="70"/>
        <v>0.76808799417676743</v>
      </c>
      <c r="L264" s="95">
        <f t="shared" si="71"/>
        <v>75.053122658619813</v>
      </c>
      <c r="M264" s="95">
        <f t="shared" si="72"/>
        <v>180.58460864345105</v>
      </c>
      <c r="N264" s="95">
        <f t="shared" si="73"/>
        <v>26.693251550009876</v>
      </c>
      <c r="O264" s="95">
        <f t="shared" si="74"/>
        <v>210.58751048637771</v>
      </c>
      <c r="P264" s="96">
        <f t="shared" si="75"/>
        <v>154.37485657934548</v>
      </c>
    </row>
    <row r="265" spans="1:16">
      <c r="A265" s="88" t="str">
        <f t="shared" si="62"/>
        <v>Sakhir</v>
      </c>
      <c r="B265" s="89">
        <f t="shared" si="61"/>
        <v>75.053122658619813</v>
      </c>
      <c r="C265" s="90">
        <f t="shared" si="65"/>
        <v>0</v>
      </c>
      <c r="D265" s="90">
        <f t="shared" si="66"/>
        <v>62</v>
      </c>
      <c r="E265" s="90">
        <f t="shared" si="67"/>
        <v>3</v>
      </c>
      <c r="F265" s="91">
        <f t="shared" si="63"/>
        <v>60</v>
      </c>
      <c r="G265" s="92">
        <f t="shared" si="68"/>
        <v>0.23111450252550558</v>
      </c>
      <c r="H265" s="91" t="s">
        <v>135</v>
      </c>
      <c r="I265" s="92">
        <f t="shared" si="69"/>
        <v>3</v>
      </c>
      <c r="J265" s="93">
        <f t="shared" si="64"/>
        <v>17</v>
      </c>
      <c r="K265" s="94">
        <f t="shared" si="70"/>
        <v>0.76808799417676743</v>
      </c>
      <c r="L265" s="95">
        <f t="shared" si="71"/>
        <v>75.053122658619813</v>
      </c>
      <c r="M265" s="95">
        <f t="shared" si="72"/>
        <v>180.58460864345105</v>
      </c>
      <c r="N265" s="95">
        <f t="shared" si="73"/>
        <v>26.924366052535383</v>
      </c>
      <c r="O265" s="95">
        <f t="shared" si="74"/>
        <v>210.58751048637771</v>
      </c>
      <c r="P265" s="96">
        <f t="shared" si="75"/>
        <v>153.88815830210405</v>
      </c>
    </row>
    <row r="266" spans="1:16">
      <c r="A266" s="88" t="str">
        <f t="shared" si="62"/>
        <v>Sakhir</v>
      </c>
      <c r="B266" s="89">
        <f t="shared" si="61"/>
        <v>75.053122658619813</v>
      </c>
      <c r="C266" s="90">
        <f t="shared" si="65"/>
        <v>0</v>
      </c>
      <c r="D266" s="90">
        <f t="shared" si="66"/>
        <v>62</v>
      </c>
      <c r="E266" s="90">
        <f t="shared" si="67"/>
        <v>3</v>
      </c>
      <c r="F266" s="91">
        <f t="shared" si="63"/>
        <v>61</v>
      </c>
      <c r="G266" s="92">
        <f t="shared" si="68"/>
        <v>0.23111450252550558</v>
      </c>
      <c r="H266" s="91" t="s">
        <v>135</v>
      </c>
      <c r="I266" s="92">
        <f t="shared" si="69"/>
        <v>3</v>
      </c>
      <c r="J266" s="93">
        <f t="shared" si="64"/>
        <v>17</v>
      </c>
      <c r="K266" s="94">
        <f t="shared" si="70"/>
        <v>0.76808799417676743</v>
      </c>
      <c r="L266" s="95">
        <f t="shared" si="71"/>
        <v>75.053122658619813</v>
      </c>
      <c r="M266" s="95">
        <f t="shared" si="72"/>
        <v>180.58460864345105</v>
      </c>
      <c r="N266" s="95">
        <f t="shared" si="73"/>
        <v>27.155480555060887</v>
      </c>
      <c r="O266" s="95">
        <f t="shared" si="74"/>
        <v>210.58751048637771</v>
      </c>
      <c r="P266" s="96">
        <f t="shared" si="75"/>
        <v>153.40146002486262</v>
      </c>
    </row>
    <row r="267" spans="1:16">
      <c r="A267" s="88" t="str">
        <f t="shared" si="62"/>
        <v>Sakhir</v>
      </c>
      <c r="B267" s="89">
        <f t="shared" si="61"/>
        <v>75.053122658619813</v>
      </c>
      <c r="C267" s="90">
        <f t="shared" si="65"/>
        <v>0</v>
      </c>
      <c r="D267" s="90">
        <f t="shared" si="66"/>
        <v>62</v>
      </c>
      <c r="E267" s="90">
        <f t="shared" si="67"/>
        <v>3</v>
      </c>
      <c r="F267" s="91">
        <f t="shared" si="63"/>
        <v>62</v>
      </c>
      <c r="G267" s="92">
        <f t="shared" si="68"/>
        <v>0.23111450252550558</v>
      </c>
      <c r="H267" s="91" t="s">
        <v>135</v>
      </c>
      <c r="I267" s="92">
        <f t="shared" si="69"/>
        <v>3</v>
      </c>
      <c r="J267" s="93">
        <f t="shared" si="64"/>
        <v>17</v>
      </c>
      <c r="K267" s="94">
        <f t="shared" si="70"/>
        <v>0.76808799417676743</v>
      </c>
      <c r="L267" s="95">
        <f t="shared" si="71"/>
        <v>75.053122658619813</v>
      </c>
      <c r="M267" s="95">
        <f t="shared" si="72"/>
        <v>180.58460864345105</v>
      </c>
      <c r="N267" s="95">
        <f t="shared" si="73"/>
        <v>27.386595057586391</v>
      </c>
      <c r="O267" s="95">
        <f t="shared" si="74"/>
        <v>210.58751048637771</v>
      </c>
      <c r="P267" s="96">
        <f t="shared" si="75"/>
        <v>152.91476174762118</v>
      </c>
    </row>
    <row r="268" spans="1:16">
      <c r="A268" s="88" t="str">
        <f t="shared" si="62"/>
        <v>Sakhir</v>
      </c>
      <c r="B268" s="89">
        <f t="shared" si="61"/>
        <v>75.053122658619813</v>
      </c>
      <c r="C268" s="90">
        <f t="shared" si="65"/>
        <v>0</v>
      </c>
      <c r="D268" s="90">
        <f t="shared" si="66"/>
        <v>62</v>
      </c>
      <c r="E268" s="90">
        <f t="shared" si="67"/>
        <v>3</v>
      </c>
      <c r="F268" s="91">
        <f t="shared" si="63"/>
        <v>63</v>
      </c>
      <c r="G268" s="92">
        <f t="shared" si="68"/>
        <v>0.23111450252550558</v>
      </c>
      <c r="H268" s="91" t="s">
        <v>135</v>
      </c>
      <c r="I268" s="92">
        <f t="shared" si="69"/>
        <v>3</v>
      </c>
      <c r="J268" s="93">
        <f t="shared" si="64"/>
        <v>17</v>
      </c>
      <c r="K268" s="94">
        <f t="shared" si="70"/>
        <v>0.76808799417676743</v>
      </c>
      <c r="L268" s="95">
        <f t="shared" si="71"/>
        <v>75.053122658619813</v>
      </c>
      <c r="M268" s="95">
        <f t="shared" si="72"/>
        <v>180.58460864345105</v>
      </c>
      <c r="N268" s="95">
        <f t="shared" si="73"/>
        <v>27.617709560111898</v>
      </c>
      <c r="O268" s="95">
        <f t="shared" si="74"/>
        <v>210.58751048637771</v>
      </c>
      <c r="P268" s="96">
        <f t="shared" si="75"/>
        <v>152.42806347037973</v>
      </c>
    </row>
    <row r="269" spans="1:16">
      <c r="A269" s="88" t="str">
        <f t="shared" si="62"/>
        <v>Sakhir</v>
      </c>
      <c r="B269" s="89">
        <f t="shared" si="61"/>
        <v>75.053122658619813</v>
      </c>
      <c r="C269" s="90">
        <f t="shared" si="65"/>
        <v>0</v>
      </c>
      <c r="D269" s="90">
        <f t="shared" si="66"/>
        <v>62</v>
      </c>
      <c r="E269" s="90">
        <f t="shared" si="67"/>
        <v>3</v>
      </c>
      <c r="F269" s="91">
        <f t="shared" si="63"/>
        <v>64</v>
      </c>
      <c r="G269" s="92">
        <f t="shared" si="68"/>
        <v>0.23111450252550558</v>
      </c>
      <c r="H269" s="91" t="s">
        <v>135</v>
      </c>
      <c r="I269" s="92">
        <f t="shared" si="69"/>
        <v>3</v>
      </c>
      <c r="J269" s="93">
        <f t="shared" si="64"/>
        <v>17</v>
      </c>
      <c r="K269" s="94">
        <f t="shared" si="70"/>
        <v>0.76808799417676743</v>
      </c>
      <c r="L269" s="95">
        <f t="shared" si="71"/>
        <v>75.053122658619813</v>
      </c>
      <c r="M269" s="95">
        <f t="shared" si="72"/>
        <v>180.58460864345105</v>
      </c>
      <c r="N269" s="95">
        <f t="shared" si="73"/>
        <v>27.848824062637405</v>
      </c>
      <c r="O269" s="95">
        <f t="shared" si="74"/>
        <v>210.58751048637771</v>
      </c>
      <c r="P269" s="96">
        <f t="shared" si="75"/>
        <v>151.9413651931383</v>
      </c>
    </row>
    <row r="270" spans="1:16">
      <c r="A270" s="88" t="str">
        <f t="shared" si="62"/>
        <v>Sakhir</v>
      </c>
      <c r="B270" s="89">
        <f t="shared" si="61"/>
        <v>75.053122658619813</v>
      </c>
      <c r="C270" s="90">
        <f t="shared" si="65"/>
        <v>0</v>
      </c>
      <c r="D270" s="90">
        <f t="shared" si="66"/>
        <v>62</v>
      </c>
      <c r="E270" s="90">
        <f t="shared" si="67"/>
        <v>3</v>
      </c>
      <c r="F270" s="91">
        <f t="shared" si="63"/>
        <v>65</v>
      </c>
      <c r="G270" s="92">
        <f t="shared" si="68"/>
        <v>0.23111450252550558</v>
      </c>
      <c r="H270" s="91" t="s">
        <v>135</v>
      </c>
      <c r="I270" s="92">
        <f t="shared" si="69"/>
        <v>3</v>
      </c>
      <c r="J270" s="93">
        <f t="shared" si="64"/>
        <v>17</v>
      </c>
      <c r="K270" s="94">
        <f t="shared" si="70"/>
        <v>0.76808799417676743</v>
      </c>
      <c r="L270" s="95">
        <f t="shared" si="71"/>
        <v>75.053122658619813</v>
      </c>
      <c r="M270" s="95">
        <f t="shared" si="72"/>
        <v>180.58460864345105</v>
      </c>
      <c r="N270" s="95">
        <f t="shared" si="73"/>
        <v>28.079938565162909</v>
      </c>
      <c r="O270" s="95">
        <f t="shared" si="74"/>
        <v>210.58751048637771</v>
      </c>
      <c r="P270" s="96">
        <f t="shared" si="75"/>
        <v>151.45466691589684</v>
      </c>
    </row>
    <row r="271" spans="1:16">
      <c r="A271" s="88" t="str">
        <f t="shared" si="62"/>
        <v>Sakhir</v>
      </c>
      <c r="B271" s="89">
        <f t="shared" si="61"/>
        <v>75.053122658619813</v>
      </c>
      <c r="C271" s="90">
        <f t="shared" si="65"/>
        <v>0</v>
      </c>
      <c r="D271" s="90">
        <f t="shared" si="66"/>
        <v>62</v>
      </c>
      <c r="E271" s="90">
        <f t="shared" si="67"/>
        <v>3</v>
      </c>
      <c r="F271" s="91">
        <f t="shared" si="63"/>
        <v>66</v>
      </c>
      <c r="G271" s="92">
        <f t="shared" si="68"/>
        <v>0.23111450252550558</v>
      </c>
      <c r="H271" s="91" t="s">
        <v>135</v>
      </c>
      <c r="I271" s="92">
        <f t="shared" si="69"/>
        <v>3</v>
      </c>
      <c r="J271" s="93">
        <f t="shared" si="64"/>
        <v>17</v>
      </c>
      <c r="K271" s="94">
        <f t="shared" si="70"/>
        <v>0.76808799417676743</v>
      </c>
      <c r="L271" s="95">
        <f t="shared" si="71"/>
        <v>75.053122658619813</v>
      </c>
      <c r="M271" s="95">
        <f t="shared" si="72"/>
        <v>180.58460864345105</v>
      </c>
      <c r="N271" s="95">
        <f t="shared" si="73"/>
        <v>28.311053067688412</v>
      </c>
      <c r="O271" s="95">
        <f t="shared" si="74"/>
        <v>210.58751048637771</v>
      </c>
      <c r="P271" s="96">
        <f t="shared" si="75"/>
        <v>150.96796863865541</v>
      </c>
    </row>
    <row r="272" spans="1:16">
      <c r="A272" s="88" t="str">
        <f t="shared" si="62"/>
        <v>Sakhir</v>
      </c>
      <c r="B272" s="89">
        <f t="shared" si="61"/>
        <v>75.053122658619813</v>
      </c>
      <c r="C272" s="90">
        <f t="shared" si="65"/>
        <v>0</v>
      </c>
      <c r="D272" s="90">
        <f t="shared" si="66"/>
        <v>62</v>
      </c>
      <c r="E272" s="90">
        <f t="shared" si="67"/>
        <v>3</v>
      </c>
      <c r="F272" s="91">
        <f t="shared" si="63"/>
        <v>67</v>
      </c>
      <c r="G272" s="92">
        <f t="shared" si="68"/>
        <v>0.23111450252550558</v>
      </c>
      <c r="H272" s="91" t="s">
        <v>135</v>
      </c>
      <c r="I272" s="92">
        <f t="shared" si="69"/>
        <v>3</v>
      </c>
      <c r="J272" s="93">
        <f t="shared" si="64"/>
        <v>17</v>
      </c>
      <c r="K272" s="94">
        <f t="shared" si="70"/>
        <v>0.76808799417676743</v>
      </c>
      <c r="L272" s="95">
        <f t="shared" si="71"/>
        <v>75.053122658619813</v>
      </c>
      <c r="M272" s="95">
        <f t="shared" si="72"/>
        <v>180.58460864345105</v>
      </c>
      <c r="N272" s="95">
        <f t="shared" si="73"/>
        <v>28.54216757021392</v>
      </c>
      <c r="O272" s="95">
        <f t="shared" si="74"/>
        <v>210.58751048637771</v>
      </c>
      <c r="P272" s="96">
        <f t="shared" si="75"/>
        <v>150.48127036141398</v>
      </c>
    </row>
    <row r="273" spans="1:16">
      <c r="A273" s="88" t="str">
        <f t="shared" si="62"/>
        <v>Sakhir</v>
      </c>
      <c r="B273" s="89">
        <f t="shared" si="61"/>
        <v>75.053122658619813</v>
      </c>
      <c r="C273" s="90">
        <f t="shared" si="65"/>
        <v>0</v>
      </c>
      <c r="D273" s="90">
        <f t="shared" si="66"/>
        <v>62</v>
      </c>
      <c r="E273" s="90">
        <f t="shared" si="67"/>
        <v>3</v>
      </c>
      <c r="F273" s="91">
        <f t="shared" si="63"/>
        <v>68</v>
      </c>
      <c r="G273" s="92">
        <f t="shared" si="68"/>
        <v>0.23111450252550558</v>
      </c>
      <c r="H273" s="91" t="s">
        <v>135</v>
      </c>
      <c r="I273" s="92">
        <f t="shared" si="69"/>
        <v>3</v>
      </c>
      <c r="J273" s="93">
        <f t="shared" si="64"/>
        <v>17</v>
      </c>
      <c r="K273" s="94">
        <f t="shared" si="70"/>
        <v>0.76808799417676743</v>
      </c>
      <c r="L273" s="95">
        <f t="shared" si="71"/>
        <v>75.053122658619813</v>
      </c>
      <c r="M273" s="95">
        <f t="shared" si="72"/>
        <v>180.58460864345105</v>
      </c>
      <c r="N273" s="95">
        <f t="shared" si="73"/>
        <v>28.773282072739427</v>
      </c>
      <c r="O273" s="95">
        <f t="shared" si="74"/>
        <v>210.58751048637771</v>
      </c>
      <c r="P273" s="96">
        <f t="shared" si="75"/>
        <v>149.99457208417252</v>
      </c>
    </row>
    <row r="274" spans="1:16">
      <c r="A274" s="88" t="str">
        <f t="shared" si="62"/>
        <v>Sakhir</v>
      </c>
      <c r="B274" s="89">
        <f t="shared" si="61"/>
        <v>75.053122658619813</v>
      </c>
      <c r="C274" s="90">
        <f t="shared" si="65"/>
        <v>0</v>
      </c>
      <c r="D274" s="90">
        <f t="shared" si="66"/>
        <v>62</v>
      </c>
      <c r="E274" s="90">
        <f t="shared" si="67"/>
        <v>3</v>
      </c>
      <c r="F274" s="91">
        <f t="shared" si="63"/>
        <v>69</v>
      </c>
      <c r="G274" s="92">
        <f t="shared" si="68"/>
        <v>0.23111450252550558</v>
      </c>
      <c r="H274" s="91" t="s">
        <v>135</v>
      </c>
      <c r="I274" s="92">
        <f t="shared" si="69"/>
        <v>3</v>
      </c>
      <c r="J274" s="93">
        <f t="shared" si="64"/>
        <v>17</v>
      </c>
      <c r="K274" s="94">
        <f t="shared" si="70"/>
        <v>0.76808799417676743</v>
      </c>
      <c r="L274" s="95">
        <f t="shared" si="71"/>
        <v>75.053122658619813</v>
      </c>
      <c r="M274" s="95">
        <f t="shared" si="72"/>
        <v>180.58460864345105</v>
      </c>
      <c r="N274" s="95">
        <f t="shared" si="73"/>
        <v>29.004396575264931</v>
      </c>
      <c r="O274" s="95">
        <f t="shared" si="74"/>
        <v>210.58751048637771</v>
      </c>
      <c r="P274" s="96">
        <f t="shared" si="75"/>
        <v>149.50787380693109</v>
      </c>
    </row>
    <row r="275" spans="1:16">
      <c r="A275" s="88" t="str">
        <f t="shared" si="62"/>
        <v>Sakhir</v>
      </c>
      <c r="B275" s="89">
        <f t="shared" si="61"/>
        <v>75.053122658619813</v>
      </c>
      <c r="C275" s="90">
        <f t="shared" si="65"/>
        <v>0</v>
      </c>
      <c r="D275" s="90">
        <f t="shared" si="66"/>
        <v>62</v>
      </c>
      <c r="E275" s="90">
        <f t="shared" si="67"/>
        <v>3</v>
      </c>
      <c r="F275" s="91">
        <f t="shared" si="63"/>
        <v>70</v>
      </c>
      <c r="G275" s="92">
        <f t="shared" si="68"/>
        <v>0.23111450252550558</v>
      </c>
      <c r="H275" s="91" t="s">
        <v>135</v>
      </c>
      <c r="I275" s="92">
        <f t="shared" si="69"/>
        <v>3</v>
      </c>
      <c r="J275" s="93">
        <f t="shared" si="64"/>
        <v>17</v>
      </c>
      <c r="K275" s="94">
        <f t="shared" si="70"/>
        <v>0.76808799417676743</v>
      </c>
      <c r="L275" s="95">
        <f t="shared" si="71"/>
        <v>75.053122658619813</v>
      </c>
      <c r="M275" s="95">
        <f t="shared" si="72"/>
        <v>180.58460864345105</v>
      </c>
      <c r="N275" s="95">
        <f t="shared" si="73"/>
        <v>29.235511077790434</v>
      </c>
      <c r="O275" s="95">
        <f t="shared" si="74"/>
        <v>210.58751048637771</v>
      </c>
      <c r="P275" s="96">
        <f t="shared" si="75"/>
        <v>149.02117552968966</v>
      </c>
    </row>
    <row r="276" spans="1:16">
      <c r="A276" s="88" t="str">
        <f t="shared" si="62"/>
        <v>Sakhir</v>
      </c>
      <c r="B276" s="89">
        <f t="shared" si="61"/>
        <v>75.053122658619813</v>
      </c>
      <c r="C276" s="90">
        <f t="shared" si="65"/>
        <v>0</v>
      </c>
      <c r="D276" s="90">
        <f t="shared" si="66"/>
        <v>62</v>
      </c>
      <c r="E276" s="90">
        <f t="shared" si="67"/>
        <v>3</v>
      </c>
      <c r="F276" s="91">
        <f t="shared" si="63"/>
        <v>71</v>
      </c>
      <c r="G276" s="92">
        <f t="shared" si="68"/>
        <v>0.23111450252550558</v>
      </c>
      <c r="H276" s="91" t="s">
        <v>135</v>
      </c>
      <c r="I276" s="92">
        <f t="shared" si="69"/>
        <v>3</v>
      </c>
      <c r="J276" s="93">
        <f t="shared" si="64"/>
        <v>17</v>
      </c>
      <c r="K276" s="94">
        <f t="shared" si="70"/>
        <v>0.76808799417676743</v>
      </c>
      <c r="L276" s="95">
        <f t="shared" si="71"/>
        <v>75.053122658619813</v>
      </c>
      <c r="M276" s="95">
        <f t="shared" si="72"/>
        <v>180.58460864345105</v>
      </c>
      <c r="N276" s="95">
        <f t="shared" si="73"/>
        <v>29.466625580315942</v>
      </c>
      <c r="O276" s="95">
        <f t="shared" si="74"/>
        <v>210.58751048637771</v>
      </c>
      <c r="P276" s="96">
        <f t="shared" si="75"/>
        <v>148.53447725244823</v>
      </c>
    </row>
    <row r="277" spans="1:16">
      <c r="A277" s="88" t="str">
        <f t="shared" si="62"/>
        <v>Sakhir</v>
      </c>
      <c r="B277" s="89">
        <f t="shared" si="61"/>
        <v>75.053122658619813</v>
      </c>
      <c r="C277" s="90">
        <f t="shared" si="65"/>
        <v>0</v>
      </c>
      <c r="D277" s="90">
        <f t="shared" si="66"/>
        <v>62</v>
      </c>
      <c r="E277" s="90">
        <f t="shared" si="67"/>
        <v>3</v>
      </c>
      <c r="F277" s="91">
        <f t="shared" si="63"/>
        <v>72</v>
      </c>
      <c r="G277" s="92">
        <f t="shared" si="68"/>
        <v>0.23111450252550558</v>
      </c>
      <c r="H277" s="91" t="s">
        <v>135</v>
      </c>
      <c r="I277" s="92">
        <f t="shared" si="69"/>
        <v>3</v>
      </c>
      <c r="J277" s="93">
        <f t="shared" si="64"/>
        <v>17</v>
      </c>
      <c r="K277" s="94">
        <f t="shared" si="70"/>
        <v>0.76808799417676743</v>
      </c>
      <c r="L277" s="95">
        <f t="shared" si="71"/>
        <v>75.053122658619813</v>
      </c>
      <c r="M277" s="95">
        <f t="shared" si="72"/>
        <v>180.58460864345105</v>
      </c>
      <c r="N277" s="95">
        <f t="shared" si="73"/>
        <v>29.697740082841449</v>
      </c>
      <c r="O277" s="95">
        <f t="shared" si="74"/>
        <v>210.58751048637771</v>
      </c>
      <c r="P277" s="96">
        <f t="shared" si="75"/>
        <v>148.04777897520677</v>
      </c>
    </row>
    <row r="278" spans="1:16">
      <c r="A278" s="88" t="str">
        <f t="shared" si="62"/>
        <v>Sakhir</v>
      </c>
      <c r="B278" s="89">
        <f t="shared" si="61"/>
        <v>75.053122658619813</v>
      </c>
      <c r="C278" s="90">
        <f t="shared" si="65"/>
        <v>0</v>
      </c>
      <c r="D278" s="90">
        <f t="shared" si="66"/>
        <v>62</v>
      </c>
      <c r="E278" s="90">
        <f t="shared" si="67"/>
        <v>3</v>
      </c>
      <c r="F278" s="91">
        <f t="shared" si="63"/>
        <v>73</v>
      </c>
      <c r="G278" s="92">
        <f t="shared" si="68"/>
        <v>0.23111450252550558</v>
      </c>
      <c r="H278" s="91" t="s">
        <v>135</v>
      </c>
      <c r="I278" s="92">
        <f t="shared" si="69"/>
        <v>3</v>
      </c>
      <c r="J278" s="93">
        <f t="shared" si="64"/>
        <v>17</v>
      </c>
      <c r="K278" s="94">
        <f t="shared" si="70"/>
        <v>0.76808799417676743</v>
      </c>
      <c r="L278" s="95">
        <f t="shared" si="71"/>
        <v>75.053122658619813</v>
      </c>
      <c r="M278" s="95">
        <f t="shared" si="72"/>
        <v>180.58460864345105</v>
      </c>
      <c r="N278" s="95">
        <f t="shared" si="73"/>
        <v>29.928854585366956</v>
      </c>
      <c r="O278" s="95">
        <f t="shared" si="74"/>
        <v>210.58751048637771</v>
      </c>
      <c r="P278" s="96">
        <f t="shared" si="75"/>
        <v>147.56108069796534</v>
      </c>
    </row>
    <row r="279" spans="1:16">
      <c r="A279" s="88" t="str">
        <f t="shared" si="62"/>
        <v>Sakhir</v>
      </c>
      <c r="B279" s="89">
        <f t="shared" si="61"/>
        <v>75.053122658619813</v>
      </c>
      <c r="C279" s="90">
        <f t="shared" si="65"/>
        <v>0</v>
      </c>
      <c r="D279" s="90">
        <f t="shared" si="66"/>
        <v>62</v>
      </c>
      <c r="E279" s="90">
        <f t="shared" si="67"/>
        <v>3</v>
      </c>
      <c r="F279" s="91">
        <f t="shared" si="63"/>
        <v>74</v>
      </c>
      <c r="G279" s="92">
        <f t="shared" si="68"/>
        <v>0.23111450252550558</v>
      </c>
      <c r="H279" s="91" t="s">
        <v>135</v>
      </c>
      <c r="I279" s="92">
        <f t="shared" si="69"/>
        <v>3</v>
      </c>
      <c r="J279" s="93">
        <f t="shared" si="64"/>
        <v>17</v>
      </c>
      <c r="K279" s="94">
        <f t="shared" si="70"/>
        <v>0.76808799417676743</v>
      </c>
      <c r="L279" s="95">
        <f t="shared" si="71"/>
        <v>75.053122658619813</v>
      </c>
      <c r="M279" s="95">
        <f t="shared" si="72"/>
        <v>180.58460864345105</v>
      </c>
      <c r="N279" s="95">
        <f t="shared" si="73"/>
        <v>30.159969087892456</v>
      </c>
      <c r="O279" s="95">
        <f t="shared" si="74"/>
        <v>210.58751048637771</v>
      </c>
      <c r="P279" s="96">
        <f t="shared" si="75"/>
        <v>147.07438242072391</v>
      </c>
    </row>
    <row r="280" spans="1:16">
      <c r="A280" s="88" t="str">
        <f t="shared" si="62"/>
        <v>Sakhir</v>
      </c>
      <c r="B280" s="89">
        <f t="shared" si="61"/>
        <v>75.053122658619813</v>
      </c>
      <c r="C280" s="90">
        <f t="shared" si="65"/>
        <v>0</v>
      </c>
      <c r="D280" s="90">
        <f t="shared" si="66"/>
        <v>62</v>
      </c>
      <c r="E280" s="90">
        <f t="shared" si="67"/>
        <v>3</v>
      </c>
      <c r="F280" s="91">
        <f t="shared" si="63"/>
        <v>75</v>
      </c>
      <c r="G280" s="92">
        <f t="shared" si="68"/>
        <v>0.23111450252550558</v>
      </c>
      <c r="H280" s="91" t="s">
        <v>135</v>
      </c>
      <c r="I280" s="92">
        <f t="shared" si="69"/>
        <v>3</v>
      </c>
      <c r="J280" s="93">
        <f t="shared" si="64"/>
        <v>17</v>
      </c>
      <c r="K280" s="94">
        <f t="shared" si="70"/>
        <v>0.76808799417676743</v>
      </c>
      <c r="L280" s="95">
        <f t="shared" si="71"/>
        <v>75.053122658619813</v>
      </c>
      <c r="M280" s="95">
        <f t="shared" si="72"/>
        <v>180.58460864345105</v>
      </c>
      <c r="N280" s="95">
        <f t="shared" si="73"/>
        <v>30.391083590417963</v>
      </c>
      <c r="O280" s="95">
        <f t="shared" si="74"/>
        <v>210.58751048637771</v>
      </c>
      <c r="P280" s="96">
        <f t="shared" si="75"/>
        <v>146.58768414348248</v>
      </c>
    </row>
    <row r="281" spans="1:16">
      <c r="A281" s="88" t="str">
        <f t="shared" si="62"/>
        <v>Sakhir</v>
      </c>
      <c r="B281" s="89">
        <f t="shared" si="61"/>
        <v>75.053122658619813</v>
      </c>
      <c r="C281" s="90">
        <f t="shared" si="65"/>
        <v>0</v>
      </c>
      <c r="D281" s="90">
        <f t="shared" si="66"/>
        <v>62</v>
      </c>
      <c r="E281" s="90">
        <f t="shared" si="67"/>
        <v>3</v>
      </c>
      <c r="F281" s="91">
        <f t="shared" si="63"/>
        <v>76</v>
      </c>
      <c r="G281" s="92">
        <f t="shared" si="68"/>
        <v>0.23111450252550558</v>
      </c>
      <c r="H281" s="91" t="s">
        <v>135</v>
      </c>
      <c r="I281" s="92">
        <f t="shared" si="69"/>
        <v>3</v>
      </c>
      <c r="J281" s="93">
        <f t="shared" si="64"/>
        <v>17</v>
      </c>
      <c r="K281" s="94">
        <f t="shared" si="70"/>
        <v>0.76808799417676743</v>
      </c>
      <c r="L281" s="95">
        <f t="shared" si="71"/>
        <v>75.053122658619813</v>
      </c>
      <c r="M281" s="95">
        <f t="shared" si="72"/>
        <v>180.58460864345105</v>
      </c>
      <c r="N281" s="95">
        <f t="shared" si="73"/>
        <v>30.622198092943471</v>
      </c>
      <c r="O281" s="95">
        <f t="shared" si="74"/>
        <v>210.58751048637771</v>
      </c>
      <c r="P281" s="96">
        <f t="shared" si="75"/>
        <v>146.10098586624102</v>
      </c>
    </row>
    <row r="282" spans="1:16">
      <c r="A282" s="88" t="str">
        <f t="shared" si="62"/>
        <v>Sakhir</v>
      </c>
      <c r="B282" s="89">
        <f t="shared" si="61"/>
        <v>75.053122658619813</v>
      </c>
      <c r="C282" s="90">
        <f t="shared" si="65"/>
        <v>0</v>
      </c>
      <c r="D282" s="90">
        <f t="shared" si="66"/>
        <v>62</v>
      </c>
      <c r="E282" s="90">
        <f t="shared" si="67"/>
        <v>3</v>
      </c>
      <c r="F282" s="91">
        <f t="shared" si="63"/>
        <v>77</v>
      </c>
      <c r="G282" s="92">
        <f t="shared" si="68"/>
        <v>0.23111450252550558</v>
      </c>
      <c r="H282" s="91" t="s">
        <v>135</v>
      </c>
      <c r="I282" s="92">
        <f t="shared" si="69"/>
        <v>3</v>
      </c>
      <c r="J282" s="93">
        <f t="shared" si="64"/>
        <v>17</v>
      </c>
      <c r="K282" s="94">
        <f t="shared" si="70"/>
        <v>0.76808799417676743</v>
      </c>
      <c r="L282" s="95">
        <f t="shared" si="71"/>
        <v>75.053122658619813</v>
      </c>
      <c r="M282" s="95">
        <f t="shared" si="72"/>
        <v>180.58460864345105</v>
      </c>
      <c r="N282" s="95">
        <f t="shared" si="73"/>
        <v>30.853312595468978</v>
      </c>
      <c r="O282" s="95">
        <f t="shared" si="74"/>
        <v>210.58751048637771</v>
      </c>
      <c r="P282" s="96">
        <f t="shared" si="75"/>
        <v>145.61428758899959</v>
      </c>
    </row>
    <row r="283" spans="1:16">
      <c r="A283" s="88" t="str">
        <f t="shared" si="62"/>
        <v>Sakhir</v>
      </c>
      <c r="B283" s="89">
        <f t="shared" si="61"/>
        <v>75.053122658619813</v>
      </c>
      <c r="C283" s="90">
        <f t="shared" si="65"/>
        <v>0</v>
      </c>
      <c r="D283" s="90">
        <f t="shared" si="66"/>
        <v>62</v>
      </c>
      <c r="E283" s="90">
        <f t="shared" si="67"/>
        <v>3</v>
      </c>
      <c r="F283" s="91">
        <f t="shared" si="63"/>
        <v>78</v>
      </c>
      <c r="G283" s="92">
        <f t="shared" si="68"/>
        <v>0.23111450252550558</v>
      </c>
      <c r="H283" s="91" t="s">
        <v>135</v>
      </c>
      <c r="I283" s="92">
        <f t="shared" si="69"/>
        <v>3</v>
      </c>
      <c r="J283" s="93">
        <f t="shared" si="64"/>
        <v>17</v>
      </c>
      <c r="K283" s="94">
        <f t="shared" si="70"/>
        <v>0.76808799417676743</v>
      </c>
      <c r="L283" s="95">
        <f t="shared" si="71"/>
        <v>75.053122658619813</v>
      </c>
      <c r="M283" s="95">
        <f t="shared" si="72"/>
        <v>180.58460864345105</v>
      </c>
      <c r="N283" s="95">
        <f t="shared" si="73"/>
        <v>31.084427097994478</v>
      </c>
      <c r="O283" s="95">
        <f t="shared" si="74"/>
        <v>210.58751048637771</v>
      </c>
      <c r="P283" s="96">
        <f t="shared" si="75"/>
        <v>145.12758931175816</v>
      </c>
    </row>
    <row r="284" spans="1:16">
      <c r="A284" s="88" t="str">
        <f t="shared" si="62"/>
        <v>Sakhir</v>
      </c>
      <c r="B284" s="89">
        <f t="shared" si="61"/>
        <v>75.053122658619813</v>
      </c>
      <c r="C284" s="90">
        <f t="shared" si="65"/>
        <v>0</v>
      </c>
      <c r="D284" s="90">
        <f t="shared" si="66"/>
        <v>62</v>
      </c>
      <c r="E284" s="90">
        <f t="shared" si="67"/>
        <v>3</v>
      </c>
      <c r="F284" s="91">
        <f t="shared" si="63"/>
        <v>79</v>
      </c>
      <c r="G284" s="92">
        <f t="shared" si="68"/>
        <v>0.23111450252550558</v>
      </c>
      <c r="H284" s="91" t="s">
        <v>135</v>
      </c>
      <c r="I284" s="92">
        <f t="shared" si="69"/>
        <v>3</v>
      </c>
      <c r="J284" s="93">
        <f t="shared" si="64"/>
        <v>17</v>
      </c>
      <c r="K284" s="94">
        <f t="shared" si="70"/>
        <v>0.76808799417676743</v>
      </c>
      <c r="L284" s="95">
        <f t="shared" si="71"/>
        <v>75.053122658619813</v>
      </c>
      <c r="M284" s="95">
        <f t="shared" si="72"/>
        <v>180.58460864345105</v>
      </c>
      <c r="N284" s="95">
        <f t="shared" si="73"/>
        <v>31.315541600519985</v>
      </c>
      <c r="O284" s="95">
        <f t="shared" si="74"/>
        <v>210.58751048637771</v>
      </c>
      <c r="P284" s="96">
        <f t="shared" si="75"/>
        <v>144.6408910345167</v>
      </c>
    </row>
    <row r="285" spans="1:16">
      <c r="A285" s="88" t="str">
        <f t="shared" si="62"/>
        <v>Sakhir</v>
      </c>
      <c r="B285" s="89">
        <f t="shared" si="61"/>
        <v>75.053122658619813</v>
      </c>
      <c r="C285" s="90">
        <f t="shared" si="65"/>
        <v>0</v>
      </c>
      <c r="D285" s="90">
        <f t="shared" si="66"/>
        <v>62</v>
      </c>
      <c r="E285" s="90">
        <f t="shared" si="67"/>
        <v>3</v>
      </c>
      <c r="F285" s="91">
        <f t="shared" si="63"/>
        <v>80</v>
      </c>
      <c r="G285" s="92">
        <f t="shared" si="68"/>
        <v>0.23111450252550558</v>
      </c>
      <c r="H285" s="91" t="s">
        <v>135</v>
      </c>
      <c r="I285" s="92">
        <f t="shared" si="69"/>
        <v>3</v>
      </c>
      <c r="J285" s="93">
        <f t="shared" si="64"/>
        <v>17</v>
      </c>
      <c r="K285" s="94">
        <f t="shared" si="70"/>
        <v>0.76808799417676743</v>
      </c>
      <c r="L285" s="95">
        <f t="shared" si="71"/>
        <v>75.053122658619813</v>
      </c>
      <c r="M285" s="95">
        <f t="shared" si="72"/>
        <v>180.58460864345105</v>
      </c>
      <c r="N285" s="95">
        <f t="shared" si="73"/>
        <v>31.546656103045493</v>
      </c>
      <c r="O285" s="95">
        <f t="shared" si="74"/>
        <v>210.58751048637771</v>
      </c>
      <c r="P285" s="96">
        <f t="shared" si="75"/>
        <v>144.15419275727527</v>
      </c>
    </row>
    <row r="286" spans="1:16">
      <c r="A286" s="88" t="str">
        <f t="shared" si="62"/>
        <v>Sakhir</v>
      </c>
      <c r="B286" s="89">
        <f t="shared" si="61"/>
        <v>75.053122658619813</v>
      </c>
      <c r="C286" s="90">
        <f t="shared" si="65"/>
        <v>0</v>
      </c>
      <c r="D286" s="90">
        <f t="shared" si="66"/>
        <v>62</v>
      </c>
      <c r="E286" s="90">
        <f t="shared" si="67"/>
        <v>3</v>
      </c>
      <c r="F286" s="91">
        <f t="shared" si="63"/>
        <v>81</v>
      </c>
      <c r="G286" s="92">
        <f t="shared" si="68"/>
        <v>0.23111450252550558</v>
      </c>
      <c r="H286" s="91" t="s">
        <v>135</v>
      </c>
      <c r="I286" s="92">
        <f t="shared" si="69"/>
        <v>3</v>
      </c>
      <c r="J286" s="93">
        <f t="shared" si="64"/>
        <v>17</v>
      </c>
      <c r="K286" s="94">
        <f t="shared" si="70"/>
        <v>0.76808799417676743</v>
      </c>
      <c r="L286" s="95">
        <f t="shared" si="71"/>
        <v>75.053122658619813</v>
      </c>
      <c r="M286" s="95">
        <f t="shared" si="72"/>
        <v>180.58460864345105</v>
      </c>
      <c r="N286" s="95">
        <f t="shared" si="73"/>
        <v>31.777770605571</v>
      </c>
      <c r="O286" s="95">
        <f t="shared" si="74"/>
        <v>210.58751048637771</v>
      </c>
      <c r="P286" s="96">
        <f t="shared" si="75"/>
        <v>143.66749448003384</v>
      </c>
    </row>
    <row r="287" spans="1:16">
      <c r="A287" s="88" t="str">
        <f t="shared" si="62"/>
        <v>Sakhir</v>
      </c>
      <c r="B287" s="89">
        <f t="shared" si="61"/>
        <v>75.053122658619813</v>
      </c>
      <c r="C287" s="90">
        <f t="shared" si="65"/>
        <v>0</v>
      </c>
      <c r="D287" s="90">
        <f t="shared" si="66"/>
        <v>62</v>
      </c>
      <c r="E287" s="90">
        <f t="shared" si="67"/>
        <v>3</v>
      </c>
      <c r="F287" s="91">
        <f t="shared" si="63"/>
        <v>82</v>
      </c>
      <c r="G287" s="92">
        <f t="shared" si="68"/>
        <v>0.23111450252550558</v>
      </c>
      <c r="H287" s="91" t="s">
        <v>135</v>
      </c>
      <c r="I287" s="92">
        <f t="shared" si="69"/>
        <v>3</v>
      </c>
      <c r="J287" s="93">
        <f t="shared" si="64"/>
        <v>17</v>
      </c>
      <c r="K287" s="94">
        <f t="shared" si="70"/>
        <v>0.76808799417676743</v>
      </c>
      <c r="L287" s="95">
        <f t="shared" si="71"/>
        <v>75.053122658619813</v>
      </c>
      <c r="M287" s="95">
        <f t="shared" si="72"/>
        <v>180.58460864345105</v>
      </c>
      <c r="N287" s="95">
        <f t="shared" si="73"/>
        <v>32.008885108096507</v>
      </c>
      <c r="O287" s="95">
        <f t="shared" si="74"/>
        <v>210.58751048637771</v>
      </c>
      <c r="P287" s="96">
        <f t="shared" si="75"/>
        <v>143.18079620279238</v>
      </c>
    </row>
    <row r="288" spans="1:16">
      <c r="A288" s="88" t="str">
        <f t="shared" si="62"/>
        <v>Sakhir</v>
      </c>
      <c r="B288" s="89">
        <f t="shared" si="61"/>
        <v>75.053122658619813</v>
      </c>
      <c r="C288" s="90">
        <f t="shared" si="65"/>
        <v>0</v>
      </c>
      <c r="D288" s="90">
        <f t="shared" si="66"/>
        <v>62</v>
      </c>
      <c r="E288" s="90">
        <f t="shared" si="67"/>
        <v>3</v>
      </c>
      <c r="F288" s="91">
        <f t="shared" si="63"/>
        <v>83</v>
      </c>
      <c r="G288" s="92">
        <f t="shared" si="68"/>
        <v>0.23111450252550558</v>
      </c>
      <c r="H288" s="91" t="s">
        <v>135</v>
      </c>
      <c r="I288" s="92">
        <f t="shared" si="69"/>
        <v>3</v>
      </c>
      <c r="J288" s="93">
        <f t="shared" si="64"/>
        <v>17</v>
      </c>
      <c r="K288" s="94">
        <f t="shared" si="70"/>
        <v>0.76808799417676743</v>
      </c>
      <c r="L288" s="95">
        <f t="shared" si="71"/>
        <v>75.053122658619813</v>
      </c>
      <c r="M288" s="95">
        <f t="shared" si="72"/>
        <v>180.58460864345105</v>
      </c>
      <c r="N288" s="95">
        <f t="shared" si="73"/>
        <v>32.239999610622007</v>
      </c>
      <c r="O288" s="95">
        <f t="shared" si="74"/>
        <v>210.58751048637771</v>
      </c>
      <c r="P288" s="96">
        <f t="shared" si="75"/>
        <v>142.69409792555095</v>
      </c>
    </row>
    <row r="289" spans="1:16">
      <c r="A289" s="88" t="str">
        <f t="shared" si="62"/>
        <v>Sakhir</v>
      </c>
      <c r="B289" s="89">
        <f t="shared" si="61"/>
        <v>75.053122658619813</v>
      </c>
      <c r="C289" s="90">
        <f t="shared" si="65"/>
        <v>0</v>
      </c>
      <c r="D289" s="90">
        <f t="shared" si="66"/>
        <v>62</v>
      </c>
      <c r="E289" s="90">
        <f t="shared" si="67"/>
        <v>3</v>
      </c>
      <c r="F289" s="91">
        <f t="shared" si="63"/>
        <v>84</v>
      </c>
      <c r="G289" s="92">
        <f t="shared" si="68"/>
        <v>0.23111450252550558</v>
      </c>
      <c r="H289" s="91" t="s">
        <v>135</v>
      </c>
      <c r="I289" s="92">
        <f t="shared" si="69"/>
        <v>3</v>
      </c>
      <c r="J289" s="93">
        <f t="shared" si="64"/>
        <v>17</v>
      </c>
      <c r="K289" s="94">
        <f t="shared" si="70"/>
        <v>0.76808799417676743</v>
      </c>
      <c r="L289" s="95">
        <f t="shared" si="71"/>
        <v>75.053122658619813</v>
      </c>
      <c r="M289" s="95">
        <f t="shared" si="72"/>
        <v>180.58460864345105</v>
      </c>
      <c r="N289" s="95">
        <f t="shared" si="73"/>
        <v>32.471114113147515</v>
      </c>
      <c r="O289" s="95">
        <f t="shared" si="74"/>
        <v>210.58751048637771</v>
      </c>
      <c r="P289" s="96">
        <f t="shared" si="75"/>
        <v>142.20739964830952</v>
      </c>
    </row>
    <row r="290" spans="1:16">
      <c r="A290" s="88" t="str">
        <f t="shared" si="62"/>
        <v>Sakhir</v>
      </c>
      <c r="B290" s="89">
        <f t="shared" si="61"/>
        <v>75.053122658619813</v>
      </c>
      <c r="C290" s="90">
        <f t="shared" si="65"/>
        <v>0</v>
      </c>
      <c r="D290" s="90">
        <f t="shared" si="66"/>
        <v>62</v>
      </c>
      <c r="E290" s="90">
        <f t="shared" si="67"/>
        <v>3</v>
      </c>
      <c r="F290" s="91">
        <f t="shared" si="63"/>
        <v>85</v>
      </c>
      <c r="G290" s="92">
        <f t="shared" si="68"/>
        <v>0.23111450252550558</v>
      </c>
      <c r="H290" s="91" t="s">
        <v>135</v>
      </c>
      <c r="I290" s="92">
        <f t="shared" si="69"/>
        <v>3</v>
      </c>
      <c r="J290" s="93">
        <f t="shared" si="64"/>
        <v>17</v>
      </c>
      <c r="K290" s="94">
        <f t="shared" si="70"/>
        <v>0.76808799417676743</v>
      </c>
      <c r="L290" s="95">
        <f t="shared" si="71"/>
        <v>75.053122658619813</v>
      </c>
      <c r="M290" s="95">
        <f t="shared" si="72"/>
        <v>180.58460864345105</v>
      </c>
      <c r="N290" s="95">
        <f t="shared" si="73"/>
        <v>32.702228615673022</v>
      </c>
      <c r="O290" s="95">
        <f t="shared" si="74"/>
        <v>210.58751048637771</v>
      </c>
      <c r="P290" s="96">
        <f t="shared" si="75"/>
        <v>141.72070137106806</v>
      </c>
    </row>
    <row r="291" spans="1:16">
      <c r="A291" s="88" t="str">
        <f t="shared" si="62"/>
        <v>Sakhir</v>
      </c>
      <c r="B291" s="89">
        <f t="shared" si="61"/>
        <v>75.053122658619813</v>
      </c>
      <c r="C291" s="90">
        <f t="shared" si="65"/>
        <v>0</v>
      </c>
      <c r="D291" s="90">
        <f t="shared" si="66"/>
        <v>62</v>
      </c>
      <c r="E291" s="90">
        <f t="shared" si="67"/>
        <v>3</v>
      </c>
      <c r="F291" s="91">
        <f t="shared" si="63"/>
        <v>86</v>
      </c>
      <c r="G291" s="92">
        <f t="shared" si="68"/>
        <v>0.23111450252550558</v>
      </c>
      <c r="H291" s="91" t="s">
        <v>135</v>
      </c>
      <c r="I291" s="92">
        <f t="shared" si="69"/>
        <v>3</v>
      </c>
      <c r="J291" s="93">
        <f t="shared" si="64"/>
        <v>17</v>
      </c>
      <c r="K291" s="94">
        <f t="shared" si="70"/>
        <v>0.76808799417676743</v>
      </c>
      <c r="L291" s="95">
        <f t="shared" si="71"/>
        <v>75.053122658619813</v>
      </c>
      <c r="M291" s="95">
        <f t="shared" si="72"/>
        <v>180.58460864345105</v>
      </c>
      <c r="N291" s="95">
        <f t="shared" si="73"/>
        <v>32.933343118198529</v>
      </c>
      <c r="O291" s="95">
        <f t="shared" si="74"/>
        <v>210.58751048637771</v>
      </c>
      <c r="P291" s="96">
        <f t="shared" si="75"/>
        <v>141.23400309382663</v>
      </c>
    </row>
    <row r="292" spans="1:16">
      <c r="A292" s="88" t="str">
        <f t="shared" si="62"/>
        <v>Sakhir</v>
      </c>
      <c r="B292" s="89">
        <f t="shared" si="61"/>
        <v>75.053122658619813</v>
      </c>
      <c r="C292" s="90">
        <f t="shared" si="65"/>
        <v>0</v>
      </c>
      <c r="D292" s="90">
        <f t="shared" si="66"/>
        <v>62</v>
      </c>
      <c r="E292" s="90">
        <f t="shared" si="67"/>
        <v>3</v>
      </c>
      <c r="F292" s="91">
        <f t="shared" si="63"/>
        <v>87</v>
      </c>
      <c r="G292" s="92">
        <f t="shared" si="68"/>
        <v>0.23111450252550558</v>
      </c>
      <c r="H292" s="91" t="s">
        <v>135</v>
      </c>
      <c r="I292" s="92">
        <f t="shared" si="69"/>
        <v>3</v>
      </c>
      <c r="J292" s="93">
        <f t="shared" si="64"/>
        <v>17</v>
      </c>
      <c r="K292" s="94">
        <f t="shared" si="70"/>
        <v>0.76808799417676743</v>
      </c>
      <c r="L292" s="95">
        <f t="shared" si="71"/>
        <v>75.053122658619813</v>
      </c>
      <c r="M292" s="95">
        <f t="shared" si="72"/>
        <v>180.58460864345105</v>
      </c>
      <c r="N292" s="95">
        <f t="shared" si="73"/>
        <v>33.164457620724029</v>
      </c>
      <c r="O292" s="95">
        <f t="shared" si="74"/>
        <v>210.58751048637771</v>
      </c>
      <c r="P292" s="96">
        <f t="shared" si="75"/>
        <v>140.7473048165852</v>
      </c>
    </row>
    <row r="293" spans="1:16">
      <c r="A293" s="88" t="str">
        <f t="shared" si="62"/>
        <v>Sakhir</v>
      </c>
      <c r="B293" s="89">
        <f t="shared" si="61"/>
        <v>75.053122658619813</v>
      </c>
      <c r="C293" s="90">
        <f t="shared" si="65"/>
        <v>0</v>
      </c>
      <c r="D293" s="90">
        <f t="shared" si="66"/>
        <v>62</v>
      </c>
      <c r="E293" s="90">
        <f t="shared" si="67"/>
        <v>3</v>
      </c>
      <c r="F293" s="91">
        <f t="shared" si="63"/>
        <v>88</v>
      </c>
      <c r="G293" s="92">
        <f t="shared" si="68"/>
        <v>0.23111450252550558</v>
      </c>
      <c r="H293" s="91" t="s">
        <v>135</v>
      </c>
      <c r="I293" s="92">
        <f t="shared" si="69"/>
        <v>3</v>
      </c>
      <c r="J293" s="93">
        <f t="shared" si="64"/>
        <v>17</v>
      </c>
      <c r="K293" s="94">
        <f t="shared" si="70"/>
        <v>0.76808799417676743</v>
      </c>
      <c r="L293" s="95">
        <f t="shared" si="71"/>
        <v>75.053122658619813</v>
      </c>
      <c r="M293" s="95">
        <f t="shared" si="72"/>
        <v>180.58460864345105</v>
      </c>
      <c r="N293" s="95">
        <f t="shared" si="73"/>
        <v>33.395572123249536</v>
      </c>
      <c r="O293" s="95">
        <f t="shared" si="74"/>
        <v>210.58751048637771</v>
      </c>
      <c r="P293" s="96">
        <f t="shared" si="75"/>
        <v>140.26060653934377</v>
      </c>
    </row>
    <row r="294" spans="1:16">
      <c r="A294" s="88" t="str">
        <f t="shared" si="62"/>
        <v>Sakhir</v>
      </c>
      <c r="B294" s="89">
        <f t="shared" si="61"/>
        <v>75.053122658619813</v>
      </c>
      <c r="C294" s="90">
        <f t="shared" si="65"/>
        <v>0</v>
      </c>
      <c r="D294" s="90">
        <f t="shared" si="66"/>
        <v>62</v>
      </c>
      <c r="E294" s="90">
        <f t="shared" si="67"/>
        <v>3</v>
      </c>
      <c r="F294" s="91">
        <f t="shared" si="63"/>
        <v>89</v>
      </c>
      <c r="G294" s="92">
        <f t="shared" si="68"/>
        <v>0.23111450252550558</v>
      </c>
      <c r="H294" s="91" t="s">
        <v>135</v>
      </c>
      <c r="I294" s="92">
        <f t="shared" si="69"/>
        <v>3</v>
      </c>
      <c r="J294" s="93">
        <f t="shared" si="64"/>
        <v>17</v>
      </c>
      <c r="K294" s="94">
        <f t="shared" si="70"/>
        <v>0.76808799417676743</v>
      </c>
      <c r="L294" s="95">
        <f t="shared" si="71"/>
        <v>75.053122658619813</v>
      </c>
      <c r="M294" s="95">
        <f t="shared" si="72"/>
        <v>180.58460864345105</v>
      </c>
      <c r="N294" s="95">
        <f t="shared" si="73"/>
        <v>33.626686625775044</v>
      </c>
      <c r="O294" s="95">
        <f t="shared" si="74"/>
        <v>210.58751048637771</v>
      </c>
      <c r="P294" s="96">
        <f t="shared" si="75"/>
        <v>139.77390826210234</v>
      </c>
    </row>
    <row r="295" spans="1:16">
      <c r="A295" s="88" t="str">
        <f t="shared" si="62"/>
        <v>Sakhir</v>
      </c>
      <c r="B295" s="89">
        <f t="shared" si="61"/>
        <v>75.053122658619813</v>
      </c>
      <c r="C295" s="90">
        <f t="shared" si="65"/>
        <v>0</v>
      </c>
      <c r="D295" s="90">
        <f t="shared" si="66"/>
        <v>62</v>
      </c>
      <c r="E295" s="90">
        <f t="shared" si="67"/>
        <v>3</v>
      </c>
      <c r="F295" s="91">
        <f t="shared" si="63"/>
        <v>90</v>
      </c>
      <c r="G295" s="92">
        <f t="shared" si="68"/>
        <v>0.23111450252550558</v>
      </c>
      <c r="H295" s="91" t="s">
        <v>135</v>
      </c>
      <c r="I295" s="92">
        <f t="shared" si="69"/>
        <v>3</v>
      </c>
      <c r="J295" s="93">
        <f t="shared" si="64"/>
        <v>17</v>
      </c>
      <c r="K295" s="94">
        <f t="shared" si="70"/>
        <v>0.76808799417676743</v>
      </c>
      <c r="L295" s="95">
        <f t="shared" si="71"/>
        <v>75.053122658619813</v>
      </c>
      <c r="M295" s="95">
        <f t="shared" si="72"/>
        <v>180.58460864345105</v>
      </c>
      <c r="N295" s="95">
        <f t="shared" si="73"/>
        <v>33.857801128300551</v>
      </c>
      <c r="O295" s="95">
        <f t="shared" si="74"/>
        <v>210.58751048637771</v>
      </c>
      <c r="P295" s="96">
        <f t="shared" si="75"/>
        <v>139.28720998486088</v>
      </c>
    </row>
    <row r="296" spans="1:16">
      <c r="A296" s="88" t="str">
        <f t="shared" si="62"/>
        <v>Sakhir</v>
      </c>
      <c r="B296" s="89">
        <f t="shared" si="61"/>
        <v>75.053122658619813</v>
      </c>
      <c r="C296" s="90">
        <f t="shared" si="65"/>
        <v>0</v>
      </c>
      <c r="D296" s="90">
        <f t="shared" si="66"/>
        <v>62</v>
      </c>
      <c r="E296" s="90">
        <f t="shared" si="67"/>
        <v>3</v>
      </c>
      <c r="F296" s="91">
        <f t="shared" si="63"/>
        <v>91</v>
      </c>
      <c r="G296" s="92">
        <f t="shared" si="68"/>
        <v>0.23111450252550558</v>
      </c>
      <c r="H296" s="91" t="s">
        <v>135</v>
      </c>
      <c r="I296" s="92">
        <f t="shared" si="69"/>
        <v>3</v>
      </c>
      <c r="J296" s="93">
        <f t="shared" si="64"/>
        <v>17</v>
      </c>
      <c r="K296" s="94">
        <f t="shared" si="70"/>
        <v>0.76808799417676743</v>
      </c>
      <c r="L296" s="95">
        <f t="shared" si="71"/>
        <v>75.053122658619813</v>
      </c>
      <c r="M296" s="95">
        <f t="shared" si="72"/>
        <v>180.58460864345105</v>
      </c>
      <c r="N296" s="95">
        <f t="shared" si="73"/>
        <v>34.088915630826051</v>
      </c>
      <c r="O296" s="95">
        <f t="shared" si="74"/>
        <v>210.58751048637771</v>
      </c>
      <c r="P296" s="96">
        <f t="shared" si="75"/>
        <v>138.80051170761945</v>
      </c>
    </row>
    <row r="297" spans="1:16">
      <c r="A297" s="88" t="str">
        <f t="shared" si="62"/>
        <v>Sakhir</v>
      </c>
      <c r="B297" s="89">
        <f t="shared" si="61"/>
        <v>75.053122658619813</v>
      </c>
      <c r="C297" s="90">
        <f t="shared" si="65"/>
        <v>0</v>
      </c>
      <c r="D297" s="90">
        <f t="shared" si="66"/>
        <v>62</v>
      </c>
      <c r="E297" s="90">
        <f t="shared" si="67"/>
        <v>3</v>
      </c>
      <c r="F297" s="91">
        <f t="shared" si="63"/>
        <v>92</v>
      </c>
      <c r="G297" s="92">
        <f t="shared" si="68"/>
        <v>0.23111450252550558</v>
      </c>
      <c r="H297" s="91" t="s">
        <v>135</v>
      </c>
      <c r="I297" s="92">
        <f t="shared" si="69"/>
        <v>3</v>
      </c>
      <c r="J297" s="93">
        <f t="shared" si="64"/>
        <v>17</v>
      </c>
      <c r="K297" s="94">
        <f t="shared" si="70"/>
        <v>0.76808799417676743</v>
      </c>
      <c r="L297" s="95">
        <f t="shared" si="71"/>
        <v>75.053122658619813</v>
      </c>
      <c r="M297" s="95">
        <f t="shared" si="72"/>
        <v>180.58460864345105</v>
      </c>
      <c r="N297" s="95">
        <f t="shared" si="73"/>
        <v>34.320030133351558</v>
      </c>
      <c r="O297" s="95">
        <f t="shared" si="74"/>
        <v>210.58751048637771</v>
      </c>
      <c r="P297" s="96">
        <f t="shared" si="75"/>
        <v>138.31381343037799</v>
      </c>
    </row>
    <row r="298" spans="1:16">
      <c r="A298" s="88" t="str">
        <f t="shared" si="62"/>
        <v>Sakhir</v>
      </c>
      <c r="B298" s="89">
        <f t="shared" si="61"/>
        <v>75.053122658619813</v>
      </c>
      <c r="C298" s="90">
        <f t="shared" si="65"/>
        <v>0</v>
      </c>
      <c r="D298" s="90">
        <f t="shared" si="66"/>
        <v>62</v>
      </c>
      <c r="E298" s="90">
        <f t="shared" si="67"/>
        <v>3</v>
      </c>
      <c r="F298" s="91">
        <f t="shared" si="63"/>
        <v>93</v>
      </c>
      <c r="G298" s="92">
        <f t="shared" si="68"/>
        <v>0.23111450252550558</v>
      </c>
      <c r="H298" s="91" t="s">
        <v>135</v>
      </c>
      <c r="I298" s="92">
        <f t="shared" si="69"/>
        <v>3</v>
      </c>
      <c r="J298" s="93">
        <f t="shared" si="64"/>
        <v>17</v>
      </c>
      <c r="K298" s="94">
        <f t="shared" si="70"/>
        <v>0.76808799417676743</v>
      </c>
      <c r="L298" s="95">
        <f t="shared" si="71"/>
        <v>75.053122658619813</v>
      </c>
      <c r="M298" s="95">
        <f t="shared" si="72"/>
        <v>180.58460864345105</v>
      </c>
      <c r="N298" s="95">
        <f t="shared" si="73"/>
        <v>34.551144635877066</v>
      </c>
      <c r="O298" s="95">
        <f t="shared" si="74"/>
        <v>210.58751048637771</v>
      </c>
      <c r="P298" s="96">
        <f t="shared" si="75"/>
        <v>137.82711515313656</v>
      </c>
    </row>
    <row r="299" spans="1:16">
      <c r="A299" s="88" t="str">
        <f t="shared" si="62"/>
        <v>Sakhir</v>
      </c>
      <c r="B299" s="89">
        <f t="shared" si="61"/>
        <v>75.053122658619813</v>
      </c>
      <c r="C299" s="90">
        <f t="shared" si="65"/>
        <v>0</v>
      </c>
      <c r="D299" s="90">
        <f t="shared" si="66"/>
        <v>62</v>
      </c>
      <c r="E299" s="90">
        <f t="shared" si="67"/>
        <v>3</v>
      </c>
      <c r="F299" s="91">
        <f t="shared" si="63"/>
        <v>94</v>
      </c>
      <c r="G299" s="92">
        <f t="shared" si="68"/>
        <v>0.23111450252550558</v>
      </c>
      <c r="H299" s="91" t="s">
        <v>135</v>
      </c>
      <c r="I299" s="92">
        <f t="shared" si="69"/>
        <v>3</v>
      </c>
      <c r="J299" s="93">
        <f t="shared" si="64"/>
        <v>17</v>
      </c>
      <c r="K299" s="94">
        <f t="shared" si="70"/>
        <v>0.76808799417676743</v>
      </c>
      <c r="L299" s="95">
        <f t="shared" si="71"/>
        <v>75.053122658619813</v>
      </c>
      <c r="M299" s="95">
        <f t="shared" si="72"/>
        <v>180.58460864345105</v>
      </c>
      <c r="N299" s="95">
        <f t="shared" si="73"/>
        <v>34.782259138402573</v>
      </c>
      <c r="O299" s="95">
        <f t="shared" si="74"/>
        <v>210.58751048637771</v>
      </c>
      <c r="P299" s="96">
        <f t="shared" si="75"/>
        <v>137.34041687589513</v>
      </c>
    </row>
    <row r="300" spans="1:16">
      <c r="A300" s="88" t="str">
        <f t="shared" si="62"/>
        <v>Sakhir</v>
      </c>
      <c r="B300" s="89">
        <f t="shared" si="61"/>
        <v>75.053122658619813</v>
      </c>
      <c r="C300" s="90">
        <f t="shared" si="65"/>
        <v>0</v>
      </c>
      <c r="D300" s="90">
        <f t="shared" si="66"/>
        <v>62</v>
      </c>
      <c r="E300" s="90">
        <f t="shared" si="67"/>
        <v>3</v>
      </c>
      <c r="F300" s="91">
        <f t="shared" si="63"/>
        <v>95</v>
      </c>
      <c r="G300" s="92">
        <f t="shared" si="68"/>
        <v>0.23111450252550558</v>
      </c>
      <c r="H300" s="91" t="s">
        <v>135</v>
      </c>
      <c r="I300" s="92">
        <f t="shared" si="69"/>
        <v>3</v>
      </c>
      <c r="J300" s="93">
        <f t="shared" si="64"/>
        <v>17</v>
      </c>
      <c r="K300" s="94">
        <f t="shared" si="70"/>
        <v>0.76808799417676743</v>
      </c>
      <c r="L300" s="95">
        <f t="shared" si="71"/>
        <v>75.053122658619813</v>
      </c>
      <c r="M300" s="95">
        <f t="shared" si="72"/>
        <v>180.58460864345105</v>
      </c>
      <c r="N300" s="95">
        <f t="shared" si="73"/>
        <v>35.013373640928073</v>
      </c>
      <c r="O300" s="95">
        <f t="shared" si="74"/>
        <v>210.58751048637771</v>
      </c>
      <c r="P300" s="96">
        <f t="shared" si="75"/>
        <v>136.8537185986537</v>
      </c>
    </row>
    <row r="301" spans="1:16">
      <c r="A301" s="88" t="str">
        <f t="shared" si="62"/>
        <v>Sakhir</v>
      </c>
      <c r="B301" s="89">
        <f t="shared" si="61"/>
        <v>75.053122658619813</v>
      </c>
      <c r="C301" s="90">
        <f t="shared" si="65"/>
        <v>0</v>
      </c>
      <c r="D301" s="90">
        <f t="shared" si="66"/>
        <v>62</v>
      </c>
      <c r="E301" s="90">
        <f t="shared" si="67"/>
        <v>3</v>
      </c>
      <c r="F301" s="91">
        <f t="shared" si="63"/>
        <v>96</v>
      </c>
      <c r="G301" s="92">
        <f t="shared" si="68"/>
        <v>0.23111450252550558</v>
      </c>
      <c r="H301" s="91" t="s">
        <v>135</v>
      </c>
      <c r="I301" s="92">
        <f t="shared" si="69"/>
        <v>3</v>
      </c>
      <c r="J301" s="93">
        <f t="shared" si="64"/>
        <v>17</v>
      </c>
      <c r="K301" s="94">
        <f t="shared" si="70"/>
        <v>0.76808799417676743</v>
      </c>
      <c r="L301" s="95">
        <f t="shared" si="71"/>
        <v>75.053122658619813</v>
      </c>
      <c r="M301" s="95">
        <f t="shared" si="72"/>
        <v>180.58460864345105</v>
      </c>
      <c r="N301" s="95">
        <f t="shared" si="73"/>
        <v>35.24448814345358</v>
      </c>
      <c r="O301" s="95">
        <f t="shared" si="74"/>
        <v>210.58751048637771</v>
      </c>
      <c r="P301" s="96">
        <f t="shared" si="75"/>
        <v>136.36702032141227</v>
      </c>
    </row>
    <row r="302" spans="1:16">
      <c r="A302" s="88" t="str">
        <f t="shared" si="62"/>
        <v>Sakhir</v>
      </c>
      <c r="B302" s="89">
        <f t="shared" si="61"/>
        <v>75.053122658619813</v>
      </c>
      <c r="C302" s="90">
        <f t="shared" si="65"/>
        <v>0</v>
      </c>
      <c r="D302" s="90">
        <f t="shared" si="66"/>
        <v>62</v>
      </c>
      <c r="E302" s="90">
        <f t="shared" si="67"/>
        <v>3</v>
      </c>
      <c r="F302" s="91">
        <f t="shared" si="63"/>
        <v>97</v>
      </c>
      <c r="G302" s="92">
        <f t="shared" si="68"/>
        <v>0.23111450252550558</v>
      </c>
      <c r="H302" s="91" t="s">
        <v>135</v>
      </c>
      <c r="I302" s="92">
        <f t="shared" si="69"/>
        <v>3</v>
      </c>
      <c r="J302" s="93">
        <f t="shared" si="64"/>
        <v>17</v>
      </c>
      <c r="K302" s="94">
        <f t="shared" si="70"/>
        <v>0.76808799417676743</v>
      </c>
      <c r="L302" s="95">
        <f t="shared" si="71"/>
        <v>75.053122658619813</v>
      </c>
      <c r="M302" s="95">
        <f t="shared" si="72"/>
        <v>180.58460864345105</v>
      </c>
      <c r="N302" s="95">
        <f t="shared" si="73"/>
        <v>35.475602645979087</v>
      </c>
      <c r="O302" s="95">
        <f t="shared" si="74"/>
        <v>210.58751048637771</v>
      </c>
      <c r="P302" s="96">
        <f t="shared" si="75"/>
        <v>135.88032204417081</v>
      </c>
    </row>
    <row r="303" spans="1:16">
      <c r="A303" s="88" t="str">
        <f t="shared" si="62"/>
        <v>Sakhir</v>
      </c>
      <c r="B303" s="89">
        <f t="shared" si="61"/>
        <v>75.053122658619813</v>
      </c>
      <c r="C303" s="90">
        <f t="shared" si="65"/>
        <v>0</v>
      </c>
      <c r="D303" s="90">
        <f t="shared" si="66"/>
        <v>62</v>
      </c>
      <c r="E303" s="90">
        <f t="shared" si="67"/>
        <v>3</v>
      </c>
      <c r="F303" s="91">
        <f t="shared" si="63"/>
        <v>98</v>
      </c>
      <c r="G303" s="92">
        <f t="shared" si="68"/>
        <v>0.23111450252550558</v>
      </c>
      <c r="H303" s="91" t="s">
        <v>135</v>
      </c>
      <c r="I303" s="92">
        <f t="shared" si="69"/>
        <v>3</v>
      </c>
      <c r="J303" s="93">
        <f t="shared" si="64"/>
        <v>17</v>
      </c>
      <c r="K303" s="94">
        <f t="shared" si="70"/>
        <v>0.76808799417676743</v>
      </c>
      <c r="L303" s="95">
        <f t="shared" si="71"/>
        <v>75.053122658619813</v>
      </c>
      <c r="M303" s="95">
        <f t="shared" si="72"/>
        <v>180.58460864345105</v>
      </c>
      <c r="N303" s="95">
        <f t="shared" si="73"/>
        <v>35.706717148504595</v>
      </c>
      <c r="O303" s="95">
        <f t="shared" si="74"/>
        <v>210.58751048637771</v>
      </c>
      <c r="P303" s="96">
        <f t="shared" si="75"/>
        <v>135.39362376692935</v>
      </c>
    </row>
    <row r="304" spans="1:16">
      <c r="A304" s="88" t="str">
        <f t="shared" si="62"/>
        <v>Sakhir</v>
      </c>
      <c r="B304" s="89">
        <f t="shared" si="61"/>
        <v>75.053122658619813</v>
      </c>
      <c r="C304" s="90">
        <f t="shared" si="65"/>
        <v>0</v>
      </c>
      <c r="D304" s="90">
        <f t="shared" si="66"/>
        <v>62</v>
      </c>
      <c r="E304" s="90">
        <f t="shared" si="67"/>
        <v>3</v>
      </c>
      <c r="F304" s="91">
        <f t="shared" si="63"/>
        <v>99</v>
      </c>
      <c r="G304" s="92">
        <f t="shared" si="68"/>
        <v>0.23111450252550558</v>
      </c>
      <c r="H304" s="91" t="s">
        <v>135</v>
      </c>
      <c r="I304" s="92">
        <f t="shared" si="69"/>
        <v>3</v>
      </c>
      <c r="J304" s="93">
        <f t="shared" si="64"/>
        <v>17</v>
      </c>
      <c r="K304" s="94">
        <f t="shared" si="70"/>
        <v>0.76808799417676743</v>
      </c>
      <c r="L304" s="95">
        <f t="shared" si="71"/>
        <v>75.053122658619813</v>
      </c>
      <c r="M304" s="95">
        <f t="shared" si="72"/>
        <v>180.58460864345105</v>
      </c>
      <c r="N304" s="95">
        <f t="shared" si="73"/>
        <v>35.937831651030102</v>
      </c>
      <c r="O304" s="95">
        <f t="shared" si="74"/>
        <v>210.58751048637771</v>
      </c>
      <c r="P304" s="96">
        <f t="shared" si="75"/>
        <v>134.90692548968792</v>
      </c>
    </row>
    <row r="305" spans="1:16">
      <c r="A305" s="88" t="str">
        <f t="shared" si="62"/>
        <v>Sakhir</v>
      </c>
      <c r="B305" s="89">
        <f t="shared" si="61"/>
        <v>75.053122658619813</v>
      </c>
      <c r="C305" s="90">
        <f t="shared" si="65"/>
        <v>0</v>
      </c>
      <c r="D305" s="90">
        <f t="shared" si="66"/>
        <v>62</v>
      </c>
      <c r="E305" s="90">
        <f t="shared" si="67"/>
        <v>3</v>
      </c>
      <c r="F305" s="91">
        <f t="shared" si="63"/>
        <v>100</v>
      </c>
      <c r="G305" s="92">
        <f t="shared" si="68"/>
        <v>0.23111450252550558</v>
      </c>
      <c r="H305" s="91" t="s">
        <v>135</v>
      </c>
      <c r="I305" s="92">
        <f t="shared" si="69"/>
        <v>3</v>
      </c>
      <c r="J305" s="93">
        <f t="shared" si="64"/>
        <v>17</v>
      </c>
      <c r="K305" s="94">
        <f t="shared" si="70"/>
        <v>0.76808799417676743</v>
      </c>
      <c r="L305" s="95">
        <f t="shared" si="71"/>
        <v>75.053122658619813</v>
      </c>
      <c r="M305" s="95">
        <f t="shared" si="72"/>
        <v>180.58460864345105</v>
      </c>
      <c r="N305" s="95">
        <f t="shared" si="73"/>
        <v>36.168946153555602</v>
      </c>
      <c r="O305" s="95">
        <f t="shared" si="74"/>
        <v>210.58751048637771</v>
      </c>
      <c r="P305" s="96">
        <f t="shared" si="75"/>
        <v>134.42022721244649</v>
      </c>
    </row>
    <row r="306" spans="1:16">
      <c r="A306" s="88" t="str">
        <f t="shared" si="62"/>
        <v>Sakhir</v>
      </c>
      <c r="B306" s="89">
        <f t="shared" si="61"/>
        <v>75.053122658619813</v>
      </c>
      <c r="C306" s="90">
        <f t="shared" si="65"/>
        <v>0</v>
      </c>
      <c r="D306" s="90">
        <f t="shared" si="66"/>
        <v>62</v>
      </c>
      <c r="E306" s="90">
        <f t="shared" si="67"/>
        <v>3</v>
      </c>
      <c r="F306" s="91">
        <v>0</v>
      </c>
      <c r="G306" s="92">
        <f t="shared" si="68"/>
        <v>0.25957855738757146</v>
      </c>
      <c r="H306" s="91" t="s">
        <v>152</v>
      </c>
      <c r="I306" s="92">
        <f t="shared" si="69"/>
        <v>4</v>
      </c>
      <c r="J306" s="93">
        <f t="shared" si="64"/>
        <v>17</v>
      </c>
      <c r="K306" s="94">
        <f t="shared" si="70"/>
        <v>0.50683041930034523</v>
      </c>
      <c r="L306" s="95">
        <f t="shared" si="71"/>
        <v>75.053122658619813</v>
      </c>
      <c r="M306" s="95">
        <f t="shared" si="72"/>
        <v>237.56271128235628</v>
      </c>
      <c r="N306" s="95">
        <f t="shared" si="73"/>
        <v>8.6161171281058682</v>
      </c>
      <c r="O306" s="95">
        <f t="shared" si="74"/>
        <v>253.35135574850949</v>
      </c>
      <c r="P306" s="96">
        <f t="shared" si="75"/>
        <v>231.52230619157373</v>
      </c>
    </row>
    <row r="307" spans="1:16">
      <c r="A307" s="88" t="str">
        <f t="shared" si="62"/>
        <v>Sakhir</v>
      </c>
      <c r="B307" s="89">
        <f t="shared" si="61"/>
        <v>75.053122658619813</v>
      </c>
      <c r="C307" s="90">
        <f t="shared" si="65"/>
        <v>0</v>
      </c>
      <c r="D307" s="90">
        <f t="shared" si="66"/>
        <v>62</v>
      </c>
      <c r="E307" s="90">
        <f t="shared" si="67"/>
        <v>3</v>
      </c>
      <c r="F307" s="91">
        <f t="shared" si="63"/>
        <v>1</v>
      </c>
      <c r="G307" s="92">
        <f t="shared" si="68"/>
        <v>0.25957855738757146</v>
      </c>
      <c r="H307" s="91" t="s">
        <v>152</v>
      </c>
      <c r="I307" s="92">
        <f t="shared" si="69"/>
        <v>4</v>
      </c>
      <c r="J307" s="93">
        <f t="shared" si="64"/>
        <v>17</v>
      </c>
      <c r="K307" s="94">
        <f t="shared" si="70"/>
        <v>0.50683041930034523</v>
      </c>
      <c r="L307" s="95">
        <f t="shared" si="71"/>
        <v>75.053122658619813</v>
      </c>
      <c r="M307" s="95">
        <f t="shared" si="72"/>
        <v>237.56271128235628</v>
      </c>
      <c r="N307" s="95">
        <f t="shared" si="73"/>
        <v>8.8756956854934401</v>
      </c>
      <c r="O307" s="95">
        <f t="shared" si="74"/>
        <v>253.35135574850949</v>
      </c>
      <c r="P307" s="96">
        <f t="shared" si="75"/>
        <v>230.86466039719988</v>
      </c>
    </row>
    <row r="308" spans="1:16">
      <c r="A308" s="88" t="str">
        <f t="shared" si="62"/>
        <v>Sakhir</v>
      </c>
      <c r="B308" s="89">
        <f t="shared" si="61"/>
        <v>75.053122658619813</v>
      </c>
      <c r="C308" s="90">
        <f t="shared" si="65"/>
        <v>0</v>
      </c>
      <c r="D308" s="90">
        <f t="shared" si="66"/>
        <v>62</v>
      </c>
      <c r="E308" s="90">
        <f t="shared" si="67"/>
        <v>3</v>
      </c>
      <c r="F308" s="91">
        <f t="shared" si="63"/>
        <v>2</v>
      </c>
      <c r="G308" s="92">
        <f t="shared" si="68"/>
        <v>0.25957855738757146</v>
      </c>
      <c r="H308" s="91" t="s">
        <v>152</v>
      </c>
      <c r="I308" s="92">
        <f t="shared" si="69"/>
        <v>4</v>
      </c>
      <c r="J308" s="93">
        <f t="shared" si="64"/>
        <v>17</v>
      </c>
      <c r="K308" s="94">
        <f t="shared" si="70"/>
        <v>0.50683041930034523</v>
      </c>
      <c r="L308" s="95">
        <f t="shared" si="71"/>
        <v>75.053122658619813</v>
      </c>
      <c r="M308" s="95">
        <f t="shared" si="72"/>
        <v>237.56271128235628</v>
      </c>
      <c r="N308" s="95">
        <f t="shared" si="73"/>
        <v>9.1352742428810103</v>
      </c>
      <c r="O308" s="95">
        <f t="shared" si="74"/>
        <v>253.35135574850949</v>
      </c>
      <c r="P308" s="96">
        <f t="shared" si="75"/>
        <v>230.20701460282606</v>
      </c>
    </row>
    <row r="309" spans="1:16">
      <c r="A309" s="88" t="str">
        <f t="shared" si="62"/>
        <v>Sakhir</v>
      </c>
      <c r="B309" s="89">
        <f t="shared" si="61"/>
        <v>75.053122658619813</v>
      </c>
      <c r="C309" s="90">
        <f t="shared" si="65"/>
        <v>0</v>
      </c>
      <c r="D309" s="90">
        <f t="shared" si="66"/>
        <v>62</v>
      </c>
      <c r="E309" s="90">
        <f t="shared" si="67"/>
        <v>3</v>
      </c>
      <c r="F309" s="91">
        <f t="shared" si="63"/>
        <v>3</v>
      </c>
      <c r="G309" s="92">
        <f t="shared" si="68"/>
        <v>0.25957855738757146</v>
      </c>
      <c r="H309" s="91" t="s">
        <v>152</v>
      </c>
      <c r="I309" s="92">
        <f t="shared" si="69"/>
        <v>4</v>
      </c>
      <c r="J309" s="93">
        <f t="shared" si="64"/>
        <v>17</v>
      </c>
      <c r="K309" s="94">
        <f t="shared" si="70"/>
        <v>0.50683041930034523</v>
      </c>
      <c r="L309" s="95">
        <f t="shared" si="71"/>
        <v>75.053122658619813</v>
      </c>
      <c r="M309" s="95">
        <f t="shared" si="72"/>
        <v>237.56271128235628</v>
      </c>
      <c r="N309" s="95">
        <f t="shared" si="73"/>
        <v>9.3948528002685823</v>
      </c>
      <c r="O309" s="95">
        <f t="shared" si="74"/>
        <v>253.35135574850949</v>
      </c>
      <c r="P309" s="96">
        <f t="shared" si="75"/>
        <v>229.54936880845224</v>
      </c>
    </row>
    <row r="310" spans="1:16">
      <c r="A310" s="88" t="str">
        <f t="shared" si="62"/>
        <v>Sakhir</v>
      </c>
      <c r="B310" s="89">
        <f t="shared" si="61"/>
        <v>75.053122658619813</v>
      </c>
      <c r="C310" s="90">
        <f t="shared" si="65"/>
        <v>0</v>
      </c>
      <c r="D310" s="90">
        <f t="shared" si="66"/>
        <v>62</v>
      </c>
      <c r="E310" s="90">
        <f t="shared" si="67"/>
        <v>3</v>
      </c>
      <c r="F310" s="91">
        <f t="shared" si="63"/>
        <v>4</v>
      </c>
      <c r="G310" s="92">
        <f t="shared" si="68"/>
        <v>0.25957855738757146</v>
      </c>
      <c r="H310" s="91" t="s">
        <v>152</v>
      </c>
      <c r="I310" s="92">
        <f t="shared" si="69"/>
        <v>4</v>
      </c>
      <c r="J310" s="93">
        <f t="shared" si="64"/>
        <v>17</v>
      </c>
      <c r="K310" s="94">
        <f t="shared" si="70"/>
        <v>0.50683041930034523</v>
      </c>
      <c r="L310" s="95">
        <f t="shared" si="71"/>
        <v>75.053122658619813</v>
      </c>
      <c r="M310" s="95">
        <f t="shared" si="72"/>
        <v>237.56271128235628</v>
      </c>
      <c r="N310" s="95">
        <f t="shared" si="73"/>
        <v>9.6544313576561542</v>
      </c>
      <c r="O310" s="95">
        <f t="shared" si="74"/>
        <v>253.35135574850949</v>
      </c>
      <c r="P310" s="96">
        <f t="shared" si="75"/>
        <v>228.89172301407839</v>
      </c>
    </row>
    <row r="311" spans="1:16">
      <c r="A311" s="88" t="str">
        <f t="shared" si="62"/>
        <v>Sakhir</v>
      </c>
      <c r="B311" s="89">
        <f t="shared" si="61"/>
        <v>75.053122658619813</v>
      </c>
      <c r="C311" s="90">
        <f t="shared" si="65"/>
        <v>0</v>
      </c>
      <c r="D311" s="90">
        <f t="shared" si="66"/>
        <v>62</v>
      </c>
      <c r="E311" s="90">
        <f t="shared" si="67"/>
        <v>3</v>
      </c>
      <c r="F311" s="91">
        <f t="shared" si="63"/>
        <v>5</v>
      </c>
      <c r="G311" s="92">
        <f t="shared" si="68"/>
        <v>0.25957855738757146</v>
      </c>
      <c r="H311" s="91" t="s">
        <v>152</v>
      </c>
      <c r="I311" s="92">
        <f t="shared" si="69"/>
        <v>4</v>
      </c>
      <c r="J311" s="93">
        <f t="shared" si="64"/>
        <v>17</v>
      </c>
      <c r="K311" s="94">
        <f t="shared" si="70"/>
        <v>0.50683041930034523</v>
      </c>
      <c r="L311" s="95">
        <f t="shared" si="71"/>
        <v>75.053122658619813</v>
      </c>
      <c r="M311" s="95">
        <f t="shared" si="72"/>
        <v>237.56271128235628</v>
      </c>
      <c r="N311" s="95">
        <f t="shared" si="73"/>
        <v>9.9140099150437262</v>
      </c>
      <c r="O311" s="95">
        <f t="shared" si="74"/>
        <v>253.35135574850949</v>
      </c>
      <c r="P311" s="96">
        <f t="shared" si="75"/>
        <v>228.23407721970455</v>
      </c>
    </row>
    <row r="312" spans="1:16">
      <c r="A312" s="88" t="str">
        <f t="shared" si="62"/>
        <v>Sakhir</v>
      </c>
      <c r="B312" s="89">
        <f t="shared" si="61"/>
        <v>75.053122658619813</v>
      </c>
      <c r="C312" s="90">
        <f t="shared" si="65"/>
        <v>0</v>
      </c>
      <c r="D312" s="90">
        <f t="shared" si="66"/>
        <v>62</v>
      </c>
      <c r="E312" s="90">
        <f t="shared" si="67"/>
        <v>3</v>
      </c>
      <c r="F312" s="91">
        <f t="shared" si="63"/>
        <v>6</v>
      </c>
      <c r="G312" s="92">
        <f t="shared" si="68"/>
        <v>0.25957855738757146</v>
      </c>
      <c r="H312" s="91" t="s">
        <v>152</v>
      </c>
      <c r="I312" s="92">
        <f t="shared" si="69"/>
        <v>4</v>
      </c>
      <c r="J312" s="93">
        <f t="shared" si="64"/>
        <v>17</v>
      </c>
      <c r="K312" s="94">
        <f t="shared" si="70"/>
        <v>0.50683041930034523</v>
      </c>
      <c r="L312" s="95">
        <f t="shared" si="71"/>
        <v>75.053122658619813</v>
      </c>
      <c r="M312" s="95">
        <f t="shared" si="72"/>
        <v>237.56271128235628</v>
      </c>
      <c r="N312" s="95">
        <f t="shared" si="73"/>
        <v>10.173588472431296</v>
      </c>
      <c r="O312" s="95">
        <f t="shared" si="74"/>
        <v>253.35135574850949</v>
      </c>
      <c r="P312" s="96">
        <f t="shared" si="75"/>
        <v>227.57643142533072</v>
      </c>
    </row>
    <row r="313" spans="1:16">
      <c r="A313" s="88" t="str">
        <f t="shared" si="62"/>
        <v>Sakhir</v>
      </c>
      <c r="B313" s="89">
        <f t="shared" si="61"/>
        <v>75.053122658619813</v>
      </c>
      <c r="C313" s="90">
        <f t="shared" si="65"/>
        <v>0</v>
      </c>
      <c r="D313" s="90">
        <f t="shared" si="66"/>
        <v>62</v>
      </c>
      <c r="E313" s="90">
        <f t="shared" si="67"/>
        <v>3</v>
      </c>
      <c r="F313" s="91">
        <f t="shared" si="63"/>
        <v>7</v>
      </c>
      <c r="G313" s="92">
        <f t="shared" si="68"/>
        <v>0.25957855738757146</v>
      </c>
      <c r="H313" s="91" t="s">
        <v>152</v>
      </c>
      <c r="I313" s="92">
        <f t="shared" si="69"/>
        <v>4</v>
      </c>
      <c r="J313" s="93">
        <f t="shared" si="64"/>
        <v>17</v>
      </c>
      <c r="K313" s="94">
        <f t="shared" si="70"/>
        <v>0.50683041930034523</v>
      </c>
      <c r="L313" s="95">
        <f t="shared" si="71"/>
        <v>75.053122658619813</v>
      </c>
      <c r="M313" s="95">
        <f t="shared" si="72"/>
        <v>237.56271128235628</v>
      </c>
      <c r="N313" s="95">
        <f t="shared" si="73"/>
        <v>10.433167029818868</v>
      </c>
      <c r="O313" s="95">
        <f t="shared" si="74"/>
        <v>253.35135574850949</v>
      </c>
      <c r="P313" s="96">
        <f t="shared" si="75"/>
        <v>226.91878563095688</v>
      </c>
    </row>
    <row r="314" spans="1:16">
      <c r="A314" s="88" t="str">
        <f t="shared" si="62"/>
        <v>Sakhir</v>
      </c>
      <c r="B314" s="89">
        <f t="shared" si="61"/>
        <v>75.053122658619813</v>
      </c>
      <c r="C314" s="90">
        <f t="shared" si="65"/>
        <v>0</v>
      </c>
      <c r="D314" s="90">
        <f t="shared" si="66"/>
        <v>62</v>
      </c>
      <c r="E314" s="90">
        <f t="shared" si="67"/>
        <v>3</v>
      </c>
      <c r="F314" s="91">
        <f t="shared" si="63"/>
        <v>8</v>
      </c>
      <c r="G314" s="92">
        <f t="shared" si="68"/>
        <v>0.25957855738757146</v>
      </c>
      <c r="H314" s="91" t="s">
        <v>152</v>
      </c>
      <c r="I314" s="92">
        <f t="shared" si="69"/>
        <v>4</v>
      </c>
      <c r="J314" s="93">
        <f t="shared" si="64"/>
        <v>17</v>
      </c>
      <c r="K314" s="94">
        <f t="shared" si="70"/>
        <v>0.50683041930034523</v>
      </c>
      <c r="L314" s="95">
        <f t="shared" si="71"/>
        <v>75.053122658619813</v>
      </c>
      <c r="M314" s="95">
        <f t="shared" si="72"/>
        <v>237.56271128235628</v>
      </c>
      <c r="N314" s="95">
        <f t="shared" si="73"/>
        <v>10.69274558720644</v>
      </c>
      <c r="O314" s="95">
        <f t="shared" si="74"/>
        <v>253.35135574850949</v>
      </c>
      <c r="P314" s="96">
        <f t="shared" si="75"/>
        <v>226.26113983658306</v>
      </c>
    </row>
    <row r="315" spans="1:16">
      <c r="A315" s="88" t="str">
        <f t="shared" si="62"/>
        <v>Sakhir</v>
      </c>
      <c r="B315" s="89">
        <f t="shared" si="61"/>
        <v>75.053122658619813</v>
      </c>
      <c r="C315" s="90">
        <f t="shared" si="65"/>
        <v>0</v>
      </c>
      <c r="D315" s="90">
        <f t="shared" si="66"/>
        <v>62</v>
      </c>
      <c r="E315" s="90">
        <f t="shared" si="67"/>
        <v>3</v>
      </c>
      <c r="F315" s="91">
        <f t="shared" si="63"/>
        <v>9</v>
      </c>
      <c r="G315" s="92">
        <f t="shared" si="68"/>
        <v>0.25957855738757146</v>
      </c>
      <c r="H315" s="91" t="s">
        <v>152</v>
      </c>
      <c r="I315" s="92">
        <f t="shared" si="69"/>
        <v>4</v>
      </c>
      <c r="J315" s="93">
        <f t="shared" si="64"/>
        <v>17</v>
      </c>
      <c r="K315" s="94">
        <f t="shared" si="70"/>
        <v>0.50683041930034523</v>
      </c>
      <c r="L315" s="95">
        <f t="shared" si="71"/>
        <v>75.053122658619813</v>
      </c>
      <c r="M315" s="95">
        <f t="shared" si="72"/>
        <v>237.56271128235628</v>
      </c>
      <c r="N315" s="95">
        <f t="shared" si="73"/>
        <v>10.952324144594012</v>
      </c>
      <c r="O315" s="95">
        <f t="shared" si="74"/>
        <v>253.35135574850949</v>
      </c>
      <c r="P315" s="96">
        <f t="shared" si="75"/>
        <v>225.60349404220921</v>
      </c>
    </row>
    <row r="316" spans="1:16">
      <c r="A316" s="88" t="str">
        <f t="shared" si="62"/>
        <v>Sakhir</v>
      </c>
      <c r="B316" s="89">
        <f t="shared" si="61"/>
        <v>75.053122658619813</v>
      </c>
      <c r="C316" s="90">
        <f t="shared" si="65"/>
        <v>0</v>
      </c>
      <c r="D316" s="90">
        <f t="shared" si="66"/>
        <v>62</v>
      </c>
      <c r="E316" s="90">
        <f t="shared" si="67"/>
        <v>3</v>
      </c>
      <c r="F316" s="91">
        <f t="shared" si="63"/>
        <v>10</v>
      </c>
      <c r="G316" s="92">
        <f t="shared" si="68"/>
        <v>0.25957855738757146</v>
      </c>
      <c r="H316" s="91" t="s">
        <v>152</v>
      </c>
      <c r="I316" s="92">
        <f t="shared" si="69"/>
        <v>4</v>
      </c>
      <c r="J316" s="93">
        <f t="shared" si="64"/>
        <v>17</v>
      </c>
      <c r="K316" s="94">
        <f t="shared" si="70"/>
        <v>0.50683041930034523</v>
      </c>
      <c r="L316" s="95">
        <f t="shared" si="71"/>
        <v>75.053122658619813</v>
      </c>
      <c r="M316" s="95">
        <f t="shared" si="72"/>
        <v>237.56271128235628</v>
      </c>
      <c r="N316" s="95">
        <f t="shared" si="73"/>
        <v>11.211902701981582</v>
      </c>
      <c r="O316" s="95">
        <f t="shared" si="74"/>
        <v>253.35135574850949</v>
      </c>
      <c r="P316" s="96">
        <f t="shared" si="75"/>
        <v>224.94584824783539</v>
      </c>
    </row>
    <row r="317" spans="1:16">
      <c r="A317" s="88" t="str">
        <f t="shared" si="62"/>
        <v>Sakhir</v>
      </c>
      <c r="B317" s="89">
        <f t="shared" si="61"/>
        <v>75.053122658619813</v>
      </c>
      <c r="C317" s="90">
        <f t="shared" si="65"/>
        <v>0</v>
      </c>
      <c r="D317" s="90">
        <f t="shared" si="66"/>
        <v>62</v>
      </c>
      <c r="E317" s="90">
        <f t="shared" si="67"/>
        <v>3</v>
      </c>
      <c r="F317" s="91">
        <f t="shared" si="63"/>
        <v>11</v>
      </c>
      <c r="G317" s="92">
        <f t="shared" si="68"/>
        <v>0.25957855738757146</v>
      </c>
      <c r="H317" s="91" t="s">
        <v>152</v>
      </c>
      <c r="I317" s="92">
        <f t="shared" si="69"/>
        <v>4</v>
      </c>
      <c r="J317" s="93">
        <f t="shared" si="64"/>
        <v>17</v>
      </c>
      <c r="K317" s="94">
        <f t="shared" si="70"/>
        <v>0.50683041930034523</v>
      </c>
      <c r="L317" s="95">
        <f t="shared" si="71"/>
        <v>75.053122658619813</v>
      </c>
      <c r="M317" s="95">
        <f t="shared" si="72"/>
        <v>237.56271128235628</v>
      </c>
      <c r="N317" s="95">
        <f t="shared" si="73"/>
        <v>11.471481259369154</v>
      </c>
      <c r="O317" s="95">
        <f t="shared" si="74"/>
        <v>253.35135574850949</v>
      </c>
      <c r="P317" s="96">
        <f t="shared" si="75"/>
        <v>224.28820245346157</v>
      </c>
    </row>
    <row r="318" spans="1:16">
      <c r="A318" s="88" t="str">
        <f t="shared" si="62"/>
        <v>Sakhir</v>
      </c>
      <c r="B318" s="89">
        <f t="shared" si="61"/>
        <v>75.053122658619813</v>
      </c>
      <c r="C318" s="90">
        <f t="shared" si="65"/>
        <v>0</v>
      </c>
      <c r="D318" s="90">
        <f t="shared" si="66"/>
        <v>62</v>
      </c>
      <c r="E318" s="90">
        <f t="shared" si="67"/>
        <v>3</v>
      </c>
      <c r="F318" s="91">
        <f t="shared" si="63"/>
        <v>12</v>
      </c>
      <c r="G318" s="92">
        <f t="shared" si="68"/>
        <v>0.25957855738757146</v>
      </c>
      <c r="H318" s="91" t="s">
        <v>152</v>
      </c>
      <c r="I318" s="92">
        <f t="shared" si="69"/>
        <v>4</v>
      </c>
      <c r="J318" s="93">
        <f t="shared" si="64"/>
        <v>17</v>
      </c>
      <c r="K318" s="94">
        <f t="shared" si="70"/>
        <v>0.50683041930034523</v>
      </c>
      <c r="L318" s="95">
        <f t="shared" si="71"/>
        <v>75.053122658619813</v>
      </c>
      <c r="M318" s="95">
        <f t="shared" si="72"/>
        <v>237.56271128235628</v>
      </c>
      <c r="N318" s="95">
        <f t="shared" si="73"/>
        <v>11.731059816756726</v>
      </c>
      <c r="O318" s="95">
        <f t="shared" si="74"/>
        <v>253.35135574850949</v>
      </c>
      <c r="P318" s="96">
        <f t="shared" si="75"/>
        <v>223.63055665908772</v>
      </c>
    </row>
    <row r="319" spans="1:16">
      <c r="A319" s="88" t="str">
        <f t="shared" si="62"/>
        <v>Sakhir</v>
      </c>
      <c r="B319" s="89">
        <f t="shared" si="61"/>
        <v>75.053122658619813</v>
      </c>
      <c r="C319" s="90">
        <f t="shared" si="65"/>
        <v>0</v>
      </c>
      <c r="D319" s="90">
        <f t="shared" si="66"/>
        <v>62</v>
      </c>
      <c r="E319" s="90">
        <f t="shared" si="67"/>
        <v>3</v>
      </c>
      <c r="F319" s="91">
        <f t="shared" si="63"/>
        <v>13</v>
      </c>
      <c r="G319" s="92">
        <f t="shared" si="68"/>
        <v>0.25957855738757146</v>
      </c>
      <c r="H319" s="91" t="s">
        <v>152</v>
      </c>
      <c r="I319" s="92">
        <f t="shared" si="69"/>
        <v>4</v>
      </c>
      <c r="J319" s="93">
        <f t="shared" si="64"/>
        <v>17</v>
      </c>
      <c r="K319" s="94">
        <f t="shared" si="70"/>
        <v>0.50683041930034523</v>
      </c>
      <c r="L319" s="95">
        <f t="shared" si="71"/>
        <v>75.053122658619813</v>
      </c>
      <c r="M319" s="95">
        <f t="shared" si="72"/>
        <v>237.56271128235628</v>
      </c>
      <c r="N319" s="95">
        <f t="shared" si="73"/>
        <v>11.990638374144297</v>
      </c>
      <c r="O319" s="95">
        <f t="shared" si="74"/>
        <v>253.35135574850949</v>
      </c>
      <c r="P319" s="96">
        <f t="shared" si="75"/>
        <v>222.97291086471387</v>
      </c>
    </row>
    <row r="320" spans="1:16">
      <c r="A320" s="88" t="str">
        <f t="shared" si="62"/>
        <v>Sakhir</v>
      </c>
      <c r="B320" s="89">
        <f t="shared" si="61"/>
        <v>75.053122658619813</v>
      </c>
      <c r="C320" s="90">
        <f t="shared" si="65"/>
        <v>0</v>
      </c>
      <c r="D320" s="90">
        <f t="shared" si="66"/>
        <v>62</v>
      </c>
      <c r="E320" s="90">
        <f t="shared" si="67"/>
        <v>3</v>
      </c>
      <c r="F320" s="91">
        <f t="shared" si="63"/>
        <v>14</v>
      </c>
      <c r="G320" s="92">
        <f t="shared" si="68"/>
        <v>0.25957855738757146</v>
      </c>
      <c r="H320" s="91" t="s">
        <v>152</v>
      </c>
      <c r="I320" s="92">
        <f t="shared" si="69"/>
        <v>4</v>
      </c>
      <c r="J320" s="93">
        <f t="shared" si="64"/>
        <v>17</v>
      </c>
      <c r="K320" s="94">
        <f t="shared" si="70"/>
        <v>0.50683041930034523</v>
      </c>
      <c r="L320" s="95">
        <f t="shared" si="71"/>
        <v>75.053122658619813</v>
      </c>
      <c r="M320" s="95">
        <f t="shared" si="72"/>
        <v>237.56271128235628</v>
      </c>
      <c r="N320" s="95">
        <f t="shared" si="73"/>
        <v>12.250216931531869</v>
      </c>
      <c r="O320" s="95">
        <f t="shared" si="74"/>
        <v>253.35135574850949</v>
      </c>
      <c r="P320" s="96">
        <f t="shared" si="75"/>
        <v>222.31526507034005</v>
      </c>
    </row>
    <row r="321" spans="1:16">
      <c r="A321" s="88" t="str">
        <f t="shared" si="62"/>
        <v>Sakhir</v>
      </c>
      <c r="B321" s="89">
        <f t="shared" si="61"/>
        <v>75.053122658619813</v>
      </c>
      <c r="C321" s="90">
        <f t="shared" si="65"/>
        <v>0</v>
      </c>
      <c r="D321" s="90">
        <f t="shared" si="66"/>
        <v>62</v>
      </c>
      <c r="E321" s="90">
        <f t="shared" si="67"/>
        <v>3</v>
      </c>
      <c r="F321" s="91">
        <f t="shared" si="63"/>
        <v>15</v>
      </c>
      <c r="G321" s="92">
        <f t="shared" si="68"/>
        <v>0.25957855738757146</v>
      </c>
      <c r="H321" s="91" t="s">
        <v>152</v>
      </c>
      <c r="I321" s="92">
        <f t="shared" si="69"/>
        <v>4</v>
      </c>
      <c r="J321" s="93">
        <f t="shared" si="64"/>
        <v>17</v>
      </c>
      <c r="K321" s="94">
        <f t="shared" si="70"/>
        <v>0.50683041930034523</v>
      </c>
      <c r="L321" s="95">
        <f t="shared" si="71"/>
        <v>75.053122658619813</v>
      </c>
      <c r="M321" s="95">
        <f t="shared" si="72"/>
        <v>237.56271128235628</v>
      </c>
      <c r="N321" s="95">
        <f t="shared" si="73"/>
        <v>12.50979548891944</v>
      </c>
      <c r="O321" s="95">
        <f t="shared" si="74"/>
        <v>253.35135574850949</v>
      </c>
      <c r="P321" s="96">
        <f t="shared" si="75"/>
        <v>221.6576192759662</v>
      </c>
    </row>
    <row r="322" spans="1:16">
      <c r="A322" s="88" t="str">
        <f t="shared" si="62"/>
        <v>Sakhir</v>
      </c>
      <c r="B322" s="89">
        <f t="shared" si="61"/>
        <v>75.053122658619813</v>
      </c>
      <c r="C322" s="90">
        <f t="shared" si="65"/>
        <v>0</v>
      </c>
      <c r="D322" s="90">
        <f t="shared" si="66"/>
        <v>62</v>
      </c>
      <c r="E322" s="90">
        <f t="shared" si="67"/>
        <v>3</v>
      </c>
      <c r="F322" s="91">
        <f t="shared" si="63"/>
        <v>16</v>
      </c>
      <c r="G322" s="92">
        <f t="shared" si="68"/>
        <v>0.25957855738757146</v>
      </c>
      <c r="H322" s="91" t="s">
        <v>152</v>
      </c>
      <c r="I322" s="92">
        <f t="shared" si="69"/>
        <v>4</v>
      </c>
      <c r="J322" s="93">
        <f t="shared" si="64"/>
        <v>17</v>
      </c>
      <c r="K322" s="94">
        <f t="shared" si="70"/>
        <v>0.50683041930034523</v>
      </c>
      <c r="L322" s="95">
        <f t="shared" si="71"/>
        <v>75.053122658619813</v>
      </c>
      <c r="M322" s="95">
        <f t="shared" si="72"/>
        <v>237.56271128235628</v>
      </c>
      <c r="N322" s="95">
        <f t="shared" si="73"/>
        <v>12.769374046307011</v>
      </c>
      <c r="O322" s="95">
        <f t="shared" si="74"/>
        <v>253.35135574850949</v>
      </c>
      <c r="P322" s="96">
        <f t="shared" si="75"/>
        <v>220.99997348159238</v>
      </c>
    </row>
    <row r="323" spans="1:16">
      <c r="A323" s="88" t="str">
        <f t="shared" si="62"/>
        <v>Sakhir</v>
      </c>
      <c r="B323" s="89">
        <f t="shared" ref="B323:B386" si="76">VLOOKUP(A323,$R$3:$S$60,2,0)</f>
        <v>75.053122658619813</v>
      </c>
      <c r="C323" s="90">
        <f t="shared" si="65"/>
        <v>0</v>
      </c>
      <c r="D323" s="90">
        <f t="shared" si="66"/>
        <v>62</v>
      </c>
      <c r="E323" s="90">
        <f t="shared" si="67"/>
        <v>3</v>
      </c>
      <c r="F323" s="91">
        <f t="shared" si="63"/>
        <v>17</v>
      </c>
      <c r="G323" s="92">
        <f t="shared" si="68"/>
        <v>0.25957855738757146</v>
      </c>
      <c r="H323" s="91" t="s">
        <v>152</v>
      </c>
      <c r="I323" s="92">
        <f t="shared" si="69"/>
        <v>4</v>
      </c>
      <c r="J323" s="93">
        <f t="shared" si="64"/>
        <v>17</v>
      </c>
      <c r="K323" s="94">
        <f t="shared" si="70"/>
        <v>0.50683041930034523</v>
      </c>
      <c r="L323" s="95">
        <f t="shared" si="71"/>
        <v>75.053122658619813</v>
      </c>
      <c r="M323" s="95">
        <f t="shared" si="72"/>
        <v>237.56271128235628</v>
      </c>
      <c r="N323" s="95">
        <f t="shared" si="73"/>
        <v>13.028952603694583</v>
      </c>
      <c r="O323" s="95">
        <f t="shared" si="74"/>
        <v>253.35135574850949</v>
      </c>
      <c r="P323" s="96">
        <f t="shared" si="75"/>
        <v>220.34232768721853</v>
      </c>
    </row>
    <row r="324" spans="1:16">
      <c r="A324" s="88" t="str">
        <f t="shared" si="62"/>
        <v>Sakhir</v>
      </c>
      <c r="B324" s="89">
        <f t="shared" si="76"/>
        <v>75.053122658619813</v>
      </c>
      <c r="C324" s="90">
        <f t="shared" si="65"/>
        <v>0</v>
      </c>
      <c r="D324" s="90">
        <f t="shared" si="66"/>
        <v>62</v>
      </c>
      <c r="E324" s="90">
        <f t="shared" si="67"/>
        <v>3</v>
      </c>
      <c r="F324" s="91">
        <f t="shared" si="63"/>
        <v>18</v>
      </c>
      <c r="G324" s="92">
        <f t="shared" si="68"/>
        <v>0.25957855738757146</v>
      </c>
      <c r="H324" s="91" t="s">
        <v>152</v>
      </c>
      <c r="I324" s="92">
        <f t="shared" si="69"/>
        <v>4</v>
      </c>
      <c r="J324" s="93">
        <f t="shared" si="64"/>
        <v>17</v>
      </c>
      <c r="K324" s="94">
        <f t="shared" si="70"/>
        <v>0.50683041930034523</v>
      </c>
      <c r="L324" s="95">
        <f t="shared" si="71"/>
        <v>75.053122658619813</v>
      </c>
      <c r="M324" s="95">
        <f t="shared" si="72"/>
        <v>237.56271128235628</v>
      </c>
      <c r="N324" s="95">
        <f t="shared" si="73"/>
        <v>13.288531161082155</v>
      </c>
      <c r="O324" s="95">
        <f t="shared" si="74"/>
        <v>253.35135574850949</v>
      </c>
      <c r="P324" s="96">
        <f t="shared" si="75"/>
        <v>219.68468189284471</v>
      </c>
    </row>
    <row r="325" spans="1:16">
      <c r="A325" s="88" t="str">
        <f t="shared" ref="A325:A388" si="77">A324</f>
        <v>Sakhir</v>
      </c>
      <c r="B325" s="89">
        <f t="shared" si="76"/>
        <v>75.053122658619813</v>
      </c>
      <c r="C325" s="90">
        <f t="shared" si="65"/>
        <v>0</v>
      </c>
      <c r="D325" s="90">
        <f t="shared" si="66"/>
        <v>62</v>
      </c>
      <c r="E325" s="90">
        <f t="shared" si="67"/>
        <v>3</v>
      </c>
      <c r="F325" s="91">
        <f t="shared" ref="F325:F388" si="78">F324+1</f>
        <v>19</v>
      </c>
      <c r="G325" s="92">
        <f t="shared" si="68"/>
        <v>0.25957855738757146</v>
      </c>
      <c r="H325" s="91" t="s">
        <v>152</v>
      </c>
      <c r="I325" s="92">
        <f t="shared" si="69"/>
        <v>4</v>
      </c>
      <c r="J325" s="93">
        <f t="shared" ref="J325:J388" si="79">J324</f>
        <v>17</v>
      </c>
      <c r="K325" s="94">
        <f t="shared" si="70"/>
        <v>0.50683041930034523</v>
      </c>
      <c r="L325" s="95">
        <f t="shared" si="71"/>
        <v>75.053122658619813</v>
      </c>
      <c r="M325" s="95">
        <f t="shared" si="72"/>
        <v>237.56271128235628</v>
      </c>
      <c r="N325" s="95">
        <f t="shared" si="73"/>
        <v>13.548109718469725</v>
      </c>
      <c r="O325" s="95">
        <f t="shared" si="74"/>
        <v>253.35135574850949</v>
      </c>
      <c r="P325" s="96">
        <f t="shared" si="75"/>
        <v>219.02703609847089</v>
      </c>
    </row>
    <row r="326" spans="1:16">
      <c r="A326" s="88" t="str">
        <f t="shared" si="77"/>
        <v>Sakhir</v>
      </c>
      <c r="B326" s="89">
        <f t="shared" si="76"/>
        <v>75.053122658619813</v>
      </c>
      <c r="C326" s="90">
        <f t="shared" si="65"/>
        <v>0</v>
      </c>
      <c r="D326" s="90">
        <f t="shared" si="66"/>
        <v>62</v>
      </c>
      <c r="E326" s="90">
        <f t="shared" si="67"/>
        <v>3</v>
      </c>
      <c r="F326" s="91">
        <f t="shared" si="78"/>
        <v>20</v>
      </c>
      <c r="G326" s="92">
        <f t="shared" si="68"/>
        <v>0.25957855738757146</v>
      </c>
      <c r="H326" s="91" t="s">
        <v>152</v>
      </c>
      <c r="I326" s="92">
        <f t="shared" si="69"/>
        <v>4</v>
      </c>
      <c r="J326" s="93">
        <f t="shared" si="79"/>
        <v>17</v>
      </c>
      <c r="K326" s="94">
        <f t="shared" si="70"/>
        <v>0.50683041930034523</v>
      </c>
      <c r="L326" s="95">
        <f t="shared" si="71"/>
        <v>75.053122658619813</v>
      </c>
      <c r="M326" s="95">
        <f t="shared" si="72"/>
        <v>237.56271128235628</v>
      </c>
      <c r="N326" s="95">
        <f t="shared" si="73"/>
        <v>13.807688275857299</v>
      </c>
      <c r="O326" s="95">
        <f t="shared" si="74"/>
        <v>253.35135574850949</v>
      </c>
      <c r="P326" s="96">
        <f t="shared" si="75"/>
        <v>218.36939030409704</v>
      </c>
    </row>
    <row r="327" spans="1:16">
      <c r="A327" s="88" t="str">
        <f t="shared" si="77"/>
        <v>Sakhir</v>
      </c>
      <c r="B327" s="89">
        <f t="shared" si="76"/>
        <v>75.053122658619813</v>
      </c>
      <c r="C327" s="90">
        <f t="shared" ref="C327:C390" si="80">C326</f>
        <v>0</v>
      </c>
      <c r="D327" s="90">
        <f t="shared" ref="D327:D390" si="81">D326</f>
        <v>62</v>
      </c>
      <c r="E327" s="90">
        <f t="shared" ref="E327:E390" si="82">E326</f>
        <v>3</v>
      </c>
      <c r="F327" s="91">
        <f t="shared" si="78"/>
        <v>21</v>
      </c>
      <c r="G327" s="92">
        <f t="shared" ref="G327:G390" si="83">VLOOKUP(H327,$U$5:$X$8,3,0)</f>
        <v>0.25957855738757146</v>
      </c>
      <c r="H327" s="91" t="s">
        <v>152</v>
      </c>
      <c r="I327" s="92">
        <f t="shared" ref="I327:I390" si="84">VLOOKUP(H327,$U$5:$V$8,2,0)</f>
        <v>4</v>
      </c>
      <c r="J327" s="93">
        <f t="shared" si="79"/>
        <v>17</v>
      </c>
      <c r="K327" s="94">
        <f t="shared" ref="K327:K390" si="85">VLOOKUP(H327,$U$5:$X$8,4,0)</f>
        <v>0.50683041930034523</v>
      </c>
      <c r="L327" s="95">
        <f t="shared" ref="L327:L390" si="86">B327</f>
        <v>75.053122658619813</v>
      </c>
      <c r="M327" s="95">
        <f t="shared" ref="M327:M390" si="87">C327*$V$10+$V$11*D327+E327*$V$12+I327*$V$13</f>
        <v>237.56271128235628</v>
      </c>
      <c r="N327" s="95">
        <f t="shared" ref="N327:N390" si="88">G327*F327+J327*K327</f>
        <v>14.067266833244869</v>
      </c>
      <c r="O327" s="95">
        <f t="shared" ref="O327:O390" si="89">L327+((L327*M327)/100)</f>
        <v>253.35135574850949</v>
      </c>
      <c r="P327" s="96">
        <f t="shared" ref="P327:P390" si="90">O327-((O327*N327)/100)</f>
        <v>217.71174450972319</v>
      </c>
    </row>
    <row r="328" spans="1:16">
      <c r="A328" s="88" t="str">
        <f t="shared" si="77"/>
        <v>Sakhir</v>
      </c>
      <c r="B328" s="89">
        <f t="shared" si="76"/>
        <v>75.053122658619813</v>
      </c>
      <c r="C328" s="90">
        <f t="shared" si="80"/>
        <v>0</v>
      </c>
      <c r="D328" s="90">
        <f t="shared" si="81"/>
        <v>62</v>
      </c>
      <c r="E328" s="90">
        <f t="shared" si="82"/>
        <v>3</v>
      </c>
      <c r="F328" s="91">
        <f t="shared" si="78"/>
        <v>22</v>
      </c>
      <c r="G328" s="92">
        <f t="shared" si="83"/>
        <v>0.25957855738757146</v>
      </c>
      <c r="H328" s="91" t="s">
        <v>152</v>
      </c>
      <c r="I328" s="92">
        <f t="shared" si="84"/>
        <v>4</v>
      </c>
      <c r="J328" s="93">
        <f t="shared" si="79"/>
        <v>17</v>
      </c>
      <c r="K328" s="94">
        <f t="shared" si="85"/>
        <v>0.50683041930034523</v>
      </c>
      <c r="L328" s="95">
        <f t="shared" si="86"/>
        <v>75.053122658619813</v>
      </c>
      <c r="M328" s="95">
        <f t="shared" si="87"/>
        <v>237.56271128235628</v>
      </c>
      <c r="N328" s="95">
        <f t="shared" si="88"/>
        <v>14.326845390632441</v>
      </c>
      <c r="O328" s="95">
        <f t="shared" si="89"/>
        <v>253.35135574850949</v>
      </c>
      <c r="P328" s="96">
        <f t="shared" si="90"/>
        <v>217.05409871534937</v>
      </c>
    </row>
    <row r="329" spans="1:16">
      <c r="A329" s="88" t="str">
        <f t="shared" si="77"/>
        <v>Sakhir</v>
      </c>
      <c r="B329" s="89">
        <f t="shared" si="76"/>
        <v>75.053122658619813</v>
      </c>
      <c r="C329" s="90">
        <f t="shared" si="80"/>
        <v>0</v>
      </c>
      <c r="D329" s="90">
        <f t="shared" si="81"/>
        <v>62</v>
      </c>
      <c r="E329" s="90">
        <f t="shared" si="82"/>
        <v>3</v>
      </c>
      <c r="F329" s="91">
        <f t="shared" si="78"/>
        <v>23</v>
      </c>
      <c r="G329" s="92">
        <f t="shared" si="83"/>
        <v>0.25957855738757146</v>
      </c>
      <c r="H329" s="91" t="s">
        <v>152</v>
      </c>
      <c r="I329" s="92">
        <f t="shared" si="84"/>
        <v>4</v>
      </c>
      <c r="J329" s="93">
        <f t="shared" si="79"/>
        <v>17</v>
      </c>
      <c r="K329" s="94">
        <f t="shared" si="85"/>
        <v>0.50683041930034523</v>
      </c>
      <c r="L329" s="95">
        <f t="shared" si="86"/>
        <v>75.053122658619813</v>
      </c>
      <c r="M329" s="95">
        <f t="shared" si="87"/>
        <v>237.56271128235628</v>
      </c>
      <c r="N329" s="95">
        <f t="shared" si="88"/>
        <v>14.586423948020013</v>
      </c>
      <c r="O329" s="95">
        <f t="shared" si="89"/>
        <v>253.35135574850949</v>
      </c>
      <c r="P329" s="96">
        <f t="shared" si="90"/>
        <v>216.39645292097552</v>
      </c>
    </row>
    <row r="330" spans="1:16">
      <c r="A330" s="88" t="str">
        <f t="shared" si="77"/>
        <v>Sakhir</v>
      </c>
      <c r="B330" s="89">
        <f t="shared" si="76"/>
        <v>75.053122658619813</v>
      </c>
      <c r="C330" s="90">
        <f t="shared" si="80"/>
        <v>0</v>
      </c>
      <c r="D330" s="90">
        <f t="shared" si="81"/>
        <v>62</v>
      </c>
      <c r="E330" s="90">
        <f t="shared" si="82"/>
        <v>3</v>
      </c>
      <c r="F330" s="91">
        <f t="shared" si="78"/>
        <v>24</v>
      </c>
      <c r="G330" s="92">
        <f t="shared" si="83"/>
        <v>0.25957855738757146</v>
      </c>
      <c r="H330" s="91" t="s">
        <v>152</v>
      </c>
      <c r="I330" s="92">
        <f t="shared" si="84"/>
        <v>4</v>
      </c>
      <c r="J330" s="93">
        <f t="shared" si="79"/>
        <v>17</v>
      </c>
      <c r="K330" s="94">
        <f t="shared" si="85"/>
        <v>0.50683041930034523</v>
      </c>
      <c r="L330" s="95">
        <f t="shared" si="86"/>
        <v>75.053122658619813</v>
      </c>
      <c r="M330" s="95">
        <f t="shared" si="87"/>
        <v>237.56271128235628</v>
      </c>
      <c r="N330" s="95">
        <f t="shared" si="88"/>
        <v>14.846002505407583</v>
      </c>
      <c r="O330" s="95">
        <f t="shared" si="89"/>
        <v>253.35135574850949</v>
      </c>
      <c r="P330" s="96">
        <f t="shared" si="90"/>
        <v>215.7388071266017</v>
      </c>
    </row>
    <row r="331" spans="1:16">
      <c r="A331" s="88" t="str">
        <f t="shared" si="77"/>
        <v>Sakhir</v>
      </c>
      <c r="B331" s="89">
        <f t="shared" si="76"/>
        <v>75.053122658619813</v>
      </c>
      <c r="C331" s="90">
        <f t="shared" si="80"/>
        <v>0</v>
      </c>
      <c r="D331" s="90">
        <f t="shared" si="81"/>
        <v>62</v>
      </c>
      <c r="E331" s="90">
        <f t="shared" si="82"/>
        <v>3</v>
      </c>
      <c r="F331" s="91">
        <f t="shared" si="78"/>
        <v>25</v>
      </c>
      <c r="G331" s="92">
        <f t="shared" si="83"/>
        <v>0.25957855738757146</v>
      </c>
      <c r="H331" s="91" t="s">
        <v>152</v>
      </c>
      <c r="I331" s="92">
        <f t="shared" si="84"/>
        <v>4</v>
      </c>
      <c r="J331" s="93">
        <f t="shared" si="79"/>
        <v>17</v>
      </c>
      <c r="K331" s="94">
        <f t="shared" si="85"/>
        <v>0.50683041930034523</v>
      </c>
      <c r="L331" s="95">
        <f t="shared" si="86"/>
        <v>75.053122658619813</v>
      </c>
      <c r="M331" s="95">
        <f t="shared" si="87"/>
        <v>237.56271128235628</v>
      </c>
      <c r="N331" s="95">
        <f t="shared" si="88"/>
        <v>15.105581062795155</v>
      </c>
      <c r="O331" s="95">
        <f t="shared" si="89"/>
        <v>253.35135574850949</v>
      </c>
      <c r="P331" s="96">
        <f t="shared" si="90"/>
        <v>215.08116133222785</v>
      </c>
    </row>
    <row r="332" spans="1:16">
      <c r="A332" s="88" t="str">
        <f t="shared" si="77"/>
        <v>Sakhir</v>
      </c>
      <c r="B332" s="89">
        <f t="shared" si="76"/>
        <v>75.053122658619813</v>
      </c>
      <c r="C332" s="90">
        <f t="shared" si="80"/>
        <v>0</v>
      </c>
      <c r="D332" s="90">
        <f t="shared" si="81"/>
        <v>62</v>
      </c>
      <c r="E332" s="90">
        <f t="shared" si="82"/>
        <v>3</v>
      </c>
      <c r="F332" s="91">
        <f t="shared" si="78"/>
        <v>26</v>
      </c>
      <c r="G332" s="92">
        <f t="shared" si="83"/>
        <v>0.25957855738757146</v>
      </c>
      <c r="H332" s="91" t="s">
        <v>152</v>
      </c>
      <c r="I332" s="92">
        <f t="shared" si="84"/>
        <v>4</v>
      </c>
      <c r="J332" s="93">
        <f t="shared" si="79"/>
        <v>17</v>
      </c>
      <c r="K332" s="94">
        <f t="shared" si="85"/>
        <v>0.50683041930034523</v>
      </c>
      <c r="L332" s="95">
        <f t="shared" si="86"/>
        <v>75.053122658619813</v>
      </c>
      <c r="M332" s="95">
        <f t="shared" si="87"/>
        <v>237.56271128235628</v>
      </c>
      <c r="N332" s="95">
        <f t="shared" si="88"/>
        <v>15.365159620182727</v>
      </c>
      <c r="O332" s="95">
        <f t="shared" si="89"/>
        <v>253.35135574850949</v>
      </c>
      <c r="P332" s="96">
        <f t="shared" si="90"/>
        <v>214.42351553785403</v>
      </c>
    </row>
    <row r="333" spans="1:16">
      <c r="A333" s="88" t="str">
        <f t="shared" si="77"/>
        <v>Sakhir</v>
      </c>
      <c r="B333" s="89">
        <f t="shared" si="76"/>
        <v>75.053122658619813</v>
      </c>
      <c r="C333" s="90">
        <f t="shared" si="80"/>
        <v>0</v>
      </c>
      <c r="D333" s="90">
        <f t="shared" si="81"/>
        <v>62</v>
      </c>
      <c r="E333" s="90">
        <f t="shared" si="82"/>
        <v>3</v>
      </c>
      <c r="F333" s="91">
        <f t="shared" si="78"/>
        <v>27</v>
      </c>
      <c r="G333" s="92">
        <f t="shared" si="83"/>
        <v>0.25957855738757146</v>
      </c>
      <c r="H333" s="91" t="s">
        <v>152</v>
      </c>
      <c r="I333" s="92">
        <f t="shared" si="84"/>
        <v>4</v>
      </c>
      <c r="J333" s="93">
        <f t="shared" si="79"/>
        <v>17</v>
      </c>
      <c r="K333" s="94">
        <f t="shared" si="85"/>
        <v>0.50683041930034523</v>
      </c>
      <c r="L333" s="95">
        <f t="shared" si="86"/>
        <v>75.053122658619813</v>
      </c>
      <c r="M333" s="95">
        <f t="shared" si="87"/>
        <v>237.56271128235628</v>
      </c>
      <c r="N333" s="95">
        <f t="shared" si="88"/>
        <v>15.624738177570297</v>
      </c>
      <c r="O333" s="95">
        <f t="shared" si="89"/>
        <v>253.35135574850949</v>
      </c>
      <c r="P333" s="96">
        <f t="shared" si="90"/>
        <v>213.76586974348018</v>
      </c>
    </row>
    <row r="334" spans="1:16">
      <c r="A334" s="88" t="str">
        <f t="shared" si="77"/>
        <v>Sakhir</v>
      </c>
      <c r="B334" s="89">
        <f t="shared" si="76"/>
        <v>75.053122658619813</v>
      </c>
      <c r="C334" s="90">
        <f t="shared" si="80"/>
        <v>0</v>
      </c>
      <c r="D334" s="90">
        <f t="shared" si="81"/>
        <v>62</v>
      </c>
      <c r="E334" s="90">
        <f t="shared" si="82"/>
        <v>3</v>
      </c>
      <c r="F334" s="91">
        <f t="shared" si="78"/>
        <v>28</v>
      </c>
      <c r="G334" s="92">
        <f t="shared" si="83"/>
        <v>0.25957855738757146</v>
      </c>
      <c r="H334" s="91" t="s">
        <v>152</v>
      </c>
      <c r="I334" s="92">
        <f t="shared" si="84"/>
        <v>4</v>
      </c>
      <c r="J334" s="93">
        <f t="shared" si="79"/>
        <v>17</v>
      </c>
      <c r="K334" s="94">
        <f t="shared" si="85"/>
        <v>0.50683041930034523</v>
      </c>
      <c r="L334" s="95">
        <f t="shared" si="86"/>
        <v>75.053122658619813</v>
      </c>
      <c r="M334" s="95">
        <f t="shared" si="87"/>
        <v>237.56271128235628</v>
      </c>
      <c r="N334" s="95">
        <f t="shared" si="88"/>
        <v>15.884316734957869</v>
      </c>
      <c r="O334" s="95">
        <f t="shared" si="89"/>
        <v>253.35135574850949</v>
      </c>
      <c r="P334" s="96">
        <f t="shared" si="90"/>
        <v>213.10822394910636</v>
      </c>
    </row>
    <row r="335" spans="1:16">
      <c r="A335" s="88" t="str">
        <f t="shared" si="77"/>
        <v>Sakhir</v>
      </c>
      <c r="B335" s="89">
        <f t="shared" si="76"/>
        <v>75.053122658619813</v>
      </c>
      <c r="C335" s="90">
        <f t="shared" si="80"/>
        <v>0</v>
      </c>
      <c r="D335" s="90">
        <f t="shared" si="81"/>
        <v>62</v>
      </c>
      <c r="E335" s="90">
        <f t="shared" si="82"/>
        <v>3</v>
      </c>
      <c r="F335" s="91">
        <f t="shared" si="78"/>
        <v>29</v>
      </c>
      <c r="G335" s="92">
        <f t="shared" si="83"/>
        <v>0.25957855738757146</v>
      </c>
      <c r="H335" s="91" t="s">
        <v>152</v>
      </c>
      <c r="I335" s="92">
        <f t="shared" si="84"/>
        <v>4</v>
      </c>
      <c r="J335" s="93">
        <f t="shared" si="79"/>
        <v>17</v>
      </c>
      <c r="K335" s="94">
        <f t="shared" si="85"/>
        <v>0.50683041930034523</v>
      </c>
      <c r="L335" s="95">
        <f t="shared" si="86"/>
        <v>75.053122658619813</v>
      </c>
      <c r="M335" s="95">
        <f t="shared" si="87"/>
        <v>237.56271128235628</v>
      </c>
      <c r="N335" s="95">
        <f t="shared" si="88"/>
        <v>16.143895292345441</v>
      </c>
      <c r="O335" s="95">
        <f t="shared" si="89"/>
        <v>253.35135574850949</v>
      </c>
      <c r="P335" s="96">
        <f t="shared" si="90"/>
        <v>212.45057815473251</v>
      </c>
    </row>
    <row r="336" spans="1:16">
      <c r="A336" s="88" t="str">
        <f t="shared" si="77"/>
        <v>Sakhir</v>
      </c>
      <c r="B336" s="89">
        <f t="shared" si="76"/>
        <v>75.053122658619813</v>
      </c>
      <c r="C336" s="90">
        <f t="shared" si="80"/>
        <v>0</v>
      </c>
      <c r="D336" s="90">
        <f t="shared" si="81"/>
        <v>62</v>
      </c>
      <c r="E336" s="90">
        <f t="shared" si="82"/>
        <v>3</v>
      </c>
      <c r="F336" s="91">
        <f t="shared" si="78"/>
        <v>30</v>
      </c>
      <c r="G336" s="92">
        <f t="shared" si="83"/>
        <v>0.25957855738757146</v>
      </c>
      <c r="H336" s="91" t="s">
        <v>152</v>
      </c>
      <c r="I336" s="92">
        <f t="shared" si="84"/>
        <v>4</v>
      </c>
      <c r="J336" s="93">
        <f t="shared" si="79"/>
        <v>17</v>
      </c>
      <c r="K336" s="94">
        <f t="shared" si="85"/>
        <v>0.50683041930034523</v>
      </c>
      <c r="L336" s="95">
        <f t="shared" si="86"/>
        <v>75.053122658619813</v>
      </c>
      <c r="M336" s="95">
        <f t="shared" si="87"/>
        <v>237.56271128235628</v>
      </c>
      <c r="N336" s="95">
        <f t="shared" si="88"/>
        <v>16.403473849733011</v>
      </c>
      <c r="O336" s="95">
        <f t="shared" si="89"/>
        <v>253.35135574850949</v>
      </c>
      <c r="P336" s="96">
        <f t="shared" si="90"/>
        <v>211.79293236035869</v>
      </c>
    </row>
    <row r="337" spans="1:16">
      <c r="A337" s="88" t="str">
        <f t="shared" si="77"/>
        <v>Sakhir</v>
      </c>
      <c r="B337" s="89">
        <f t="shared" si="76"/>
        <v>75.053122658619813</v>
      </c>
      <c r="C337" s="90">
        <f t="shared" si="80"/>
        <v>0</v>
      </c>
      <c r="D337" s="90">
        <f t="shared" si="81"/>
        <v>62</v>
      </c>
      <c r="E337" s="90">
        <f t="shared" si="82"/>
        <v>3</v>
      </c>
      <c r="F337" s="91">
        <f t="shared" si="78"/>
        <v>31</v>
      </c>
      <c r="G337" s="92">
        <f t="shared" si="83"/>
        <v>0.25957855738757146</v>
      </c>
      <c r="H337" s="91" t="s">
        <v>152</v>
      </c>
      <c r="I337" s="92">
        <f t="shared" si="84"/>
        <v>4</v>
      </c>
      <c r="J337" s="93">
        <f t="shared" si="79"/>
        <v>17</v>
      </c>
      <c r="K337" s="94">
        <f t="shared" si="85"/>
        <v>0.50683041930034523</v>
      </c>
      <c r="L337" s="95">
        <f t="shared" si="86"/>
        <v>75.053122658619813</v>
      </c>
      <c r="M337" s="95">
        <f t="shared" si="87"/>
        <v>237.56271128235628</v>
      </c>
      <c r="N337" s="95">
        <f t="shared" si="88"/>
        <v>16.663052407120581</v>
      </c>
      <c r="O337" s="95">
        <f t="shared" si="89"/>
        <v>253.35135574850949</v>
      </c>
      <c r="P337" s="96">
        <f t="shared" si="90"/>
        <v>211.13528656598487</v>
      </c>
    </row>
    <row r="338" spans="1:16">
      <c r="A338" s="88" t="str">
        <f t="shared" si="77"/>
        <v>Sakhir</v>
      </c>
      <c r="B338" s="89">
        <f t="shared" si="76"/>
        <v>75.053122658619813</v>
      </c>
      <c r="C338" s="90">
        <f t="shared" si="80"/>
        <v>0</v>
      </c>
      <c r="D338" s="90">
        <f t="shared" si="81"/>
        <v>62</v>
      </c>
      <c r="E338" s="90">
        <f t="shared" si="82"/>
        <v>3</v>
      </c>
      <c r="F338" s="91">
        <f t="shared" si="78"/>
        <v>32</v>
      </c>
      <c r="G338" s="92">
        <f t="shared" si="83"/>
        <v>0.25957855738757146</v>
      </c>
      <c r="H338" s="91" t="s">
        <v>152</v>
      </c>
      <c r="I338" s="92">
        <f t="shared" si="84"/>
        <v>4</v>
      </c>
      <c r="J338" s="93">
        <f t="shared" si="79"/>
        <v>17</v>
      </c>
      <c r="K338" s="94">
        <f t="shared" si="85"/>
        <v>0.50683041930034523</v>
      </c>
      <c r="L338" s="95">
        <f t="shared" si="86"/>
        <v>75.053122658619813</v>
      </c>
      <c r="M338" s="95">
        <f t="shared" si="87"/>
        <v>237.56271128235628</v>
      </c>
      <c r="N338" s="95">
        <f t="shared" si="88"/>
        <v>16.922630964508155</v>
      </c>
      <c r="O338" s="95">
        <f t="shared" si="89"/>
        <v>253.35135574850949</v>
      </c>
      <c r="P338" s="96">
        <f t="shared" si="90"/>
        <v>210.47764077161099</v>
      </c>
    </row>
    <row r="339" spans="1:16">
      <c r="A339" s="88" t="str">
        <f t="shared" si="77"/>
        <v>Sakhir</v>
      </c>
      <c r="B339" s="89">
        <f t="shared" si="76"/>
        <v>75.053122658619813</v>
      </c>
      <c r="C339" s="90">
        <f t="shared" si="80"/>
        <v>0</v>
      </c>
      <c r="D339" s="90">
        <f t="shared" si="81"/>
        <v>62</v>
      </c>
      <c r="E339" s="90">
        <f t="shared" si="82"/>
        <v>3</v>
      </c>
      <c r="F339" s="91">
        <f t="shared" si="78"/>
        <v>33</v>
      </c>
      <c r="G339" s="92">
        <f t="shared" si="83"/>
        <v>0.25957855738757146</v>
      </c>
      <c r="H339" s="91" t="s">
        <v>152</v>
      </c>
      <c r="I339" s="92">
        <f t="shared" si="84"/>
        <v>4</v>
      </c>
      <c r="J339" s="93">
        <f t="shared" si="79"/>
        <v>17</v>
      </c>
      <c r="K339" s="94">
        <f t="shared" si="85"/>
        <v>0.50683041930034523</v>
      </c>
      <c r="L339" s="95">
        <f t="shared" si="86"/>
        <v>75.053122658619813</v>
      </c>
      <c r="M339" s="95">
        <f t="shared" si="87"/>
        <v>237.56271128235628</v>
      </c>
      <c r="N339" s="95">
        <f t="shared" si="88"/>
        <v>17.182209521895729</v>
      </c>
      <c r="O339" s="95">
        <f t="shared" si="89"/>
        <v>253.35135574850949</v>
      </c>
      <c r="P339" s="96">
        <f t="shared" si="90"/>
        <v>209.81999497723717</v>
      </c>
    </row>
    <row r="340" spans="1:16">
      <c r="A340" s="88" t="str">
        <f t="shared" si="77"/>
        <v>Sakhir</v>
      </c>
      <c r="B340" s="89">
        <f t="shared" si="76"/>
        <v>75.053122658619813</v>
      </c>
      <c r="C340" s="90">
        <f t="shared" si="80"/>
        <v>0</v>
      </c>
      <c r="D340" s="90">
        <f t="shared" si="81"/>
        <v>62</v>
      </c>
      <c r="E340" s="90">
        <f t="shared" si="82"/>
        <v>3</v>
      </c>
      <c r="F340" s="91">
        <f t="shared" si="78"/>
        <v>34</v>
      </c>
      <c r="G340" s="92">
        <f t="shared" si="83"/>
        <v>0.25957855738757146</v>
      </c>
      <c r="H340" s="91" t="s">
        <v>152</v>
      </c>
      <c r="I340" s="92">
        <f t="shared" si="84"/>
        <v>4</v>
      </c>
      <c r="J340" s="93">
        <f t="shared" si="79"/>
        <v>17</v>
      </c>
      <c r="K340" s="94">
        <f t="shared" si="85"/>
        <v>0.50683041930034523</v>
      </c>
      <c r="L340" s="95">
        <f t="shared" si="86"/>
        <v>75.053122658619813</v>
      </c>
      <c r="M340" s="95">
        <f t="shared" si="87"/>
        <v>237.56271128235628</v>
      </c>
      <c r="N340" s="95">
        <f t="shared" si="88"/>
        <v>17.441788079283299</v>
      </c>
      <c r="O340" s="95">
        <f t="shared" si="89"/>
        <v>253.35135574850949</v>
      </c>
      <c r="P340" s="96">
        <f t="shared" si="90"/>
        <v>209.16234918286335</v>
      </c>
    </row>
    <row r="341" spans="1:16">
      <c r="A341" s="88" t="str">
        <f t="shared" si="77"/>
        <v>Sakhir</v>
      </c>
      <c r="B341" s="89">
        <f t="shared" si="76"/>
        <v>75.053122658619813</v>
      </c>
      <c r="C341" s="90">
        <f t="shared" si="80"/>
        <v>0</v>
      </c>
      <c r="D341" s="90">
        <f t="shared" si="81"/>
        <v>62</v>
      </c>
      <c r="E341" s="90">
        <f t="shared" si="82"/>
        <v>3</v>
      </c>
      <c r="F341" s="91">
        <f t="shared" si="78"/>
        <v>35</v>
      </c>
      <c r="G341" s="92">
        <f t="shared" si="83"/>
        <v>0.25957855738757146</v>
      </c>
      <c r="H341" s="91" t="s">
        <v>152</v>
      </c>
      <c r="I341" s="92">
        <f t="shared" si="84"/>
        <v>4</v>
      </c>
      <c r="J341" s="93">
        <f t="shared" si="79"/>
        <v>17</v>
      </c>
      <c r="K341" s="94">
        <f t="shared" si="85"/>
        <v>0.50683041930034523</v>
      </c>
      <c r="L341" s="95">
        <f t="shared" si="86"/>
        <v>75.053122658619813</v>
      </c>
      <c r="M341" s="95">
        <f t="shared" si="87"/>
        <v>237.56271128235628</v>
      </c>
      <c r="N341" s="95">
        <f t="shared" si="88"/>
        <v>17.701366636670869</v>
      </c>
      <c r="O341" s="95">
        <f t="shared" si="89"/>
        <v>253.35135574850949</v>
      </c>
      <c r="P341" s="96">
        <f t="shared" si="90"/>
        <v>208.5047033884895</v>
      </c>
    </row>
    <row r="342" spans="1:16">
      <c r="A342" s="88" t="str">
        <f t="shared" si="77"/>
        <v>Sakhir</v>
      </c>
      <c r="B342" s="89">
        <f t="shared" si="76"/>
        <v>75.053122658619813</v>
      </c>
      <c r="C342" s="90">
        <f t="shared" si="80"/>
        <v>0</v>
      </c>
      <c r="D342" s="90">
        <f t="shared" si="81"/>
        <v>62</v>
      </c>
      <c r="E342" s="90">
        <f t="shared" si="82"/>
        <v>3</v>
      </c>
      <c r="F342" s="91">
        <f t="shared" si="78"/>
        <v>36</v>
      </c>
      <c r="G342" s="92">
        <f t="shared" si="83"/>
        <v>0.25957855738757146</v>
      </c>
      <c r="H342" s="91" t="s">
        <v>152</v>
      </c>
      <c r="I342" s="92">
        <f t="shared" si="84"/>
        <v>4</v>
      </c>
      <c r="J342" s="93">
        <f t="shared" si="79"/>
        <v>17</v>
      </c>
      <c r="K342" s="94">
        <f t="shared" si="85"/>
        <v>0.50683041930034523</v>
      </c>
      <c r="L342" s="95">
        <f t="shared" si="86"/>
        <v>75.053122658619813</v>
      </c>
      <c r="M342" s="95">
        <f t="shared" si="87"/>
        <v>237.56271128235628</v>
      </c>
      <c r="N342" s="95">
        <f t="shared" si="88"/>
        <v>17.960945194058439</v>
      </c>
      <c r="O342" s="95">
        <f t="shared" si="89"/>
        <v>253.35135574850949</v>
      </c>
      <c r="P342" s="96">
        <f t="shared" si="90"/>
        <v>207.84705759411568</v>
      </c>
    </row>
    <row r="343" spans="1:16">
      <c r="A343" s="88" t="str">
        <f t="shared" si="77"/>
        <v>Sakhir</v>
      </c>
      <c r="B343" s="89">
        <f t="shared" si="76"/>
        <v>75.053122658619813</v>
      </c>
      <c r="C343" s="90">
        <f t="shared" si="80"/>
        <v>0</v>
      </c>
      <c r="D343" s="90">
        <f t="shared" si="81"/>
        <v>62</v>
      </c>
      <c r="E343" s="90">
        <f t="shared" si="82"/>
        <v>3</v>
      </c>
      <c r="F343" s="91">
        <f t="shared" si="78"/>
        <v>37</v>
      </c>
      <c r="G343" s="92">
        <f t="shared" si="83"/>
        <v>0.25957855738757146</v>
      </c>
      <c r="H343" s="91" t="s">
        <v>152</v>
      </c>
      <c r="I343" s="92">
        <f t="shared" si="84"/>
        <v>4</v>
      </c>
      <c r="J343" s="93">
        <f t="shared" si="79"/>
        <v>17</v>
      </c>
      <c r="K343" s="94">
        <f t="shared" si="85"/>
        <v>0.50683041930034523</v>
      </c>
      <c r="L343" s="95">
        <f t="shared" si="86"/>
        <v>75.053122658619813</v>
      </c>
      <c r="M343" s="95">
        <f t="shared" si="87"/>
        <v>237.56271128235628</v>
      </c>
      <c r="N343" s="95">
        <f t="shared" si="88"/>
        <v>18.220523751446013</v>
      </c>
      <c r="O343" s="95">
        <f t="shared" si="89"/>
        <v>253.35135574850949</v>
      </c>
      <c r="P343" s="96">
        <f t="shared" si="90"/>
        <v>207.18941179974183</v>
      </c>
    </row>
    <row r="344" spans="1:16">
      <c r="A344" s="88" t="str">
        <f t="shared" si="77"/>
        <v>Sakhir</v>
      </c>
      <c r="B344" s="89">
        <f t="shared" si="76"/>
        <v>75.053122658619813</v>
      </c>
      <c r="C344" s="90">
        <f t="shared" si="80"/>
        <v>0</v>
      </c>
      <c r="D344" s="90">
        <f t="shared" si="81"/>
        <v>62</v>
      </c>
      <c r="E344" s="90">
        <f t="shared" si="82"/>
        <v>3</v>
      </c>
      <c r="F344" s="91">
        <f t="shared" si="78"/>
        <v>38</v>
      </c>
      <c r="G344" s="92">
        <f t="shared" si="83"/>
        <v>0.25957855738757146</v>
      </c>
      <c r="H344" s="91" t="s">
        <v>152</v>
      </c>
      <c r="I344" s="92">
        <f t="shared" si="84"/>
        <v>4</v>
      </c>
      <c r="J344" s="93">
        <f t="shared" si="79"/>
        <v>17</v>
      </c>
      <c r="K344" s="94">
        <f t="shared" si="85"/>
        <v>0.50683041930034523</v>
      </c>
      <c r="L344" s="95">
        <f t="shared" si="86"/>
        <v>75.053122658619813</v>
      </c>
      <c r="M344" s="95">
        <f t="shared" si="87"/>
        <v>237.56271128235628</v>
      </c>
      <c r="N344" s="95">
        <f t="shared" si="88"/>
        <v>18.480102308833583</v>
      </c>
      <c r="O344" s="95">
        <f t="shared" si="89"/>
        <v>253.35135574850949</v>
      </c>
      <c r="P344" s="96">
        <f t="shared" si="90"/>
        <v>206.53176600536801</v>
      </c>
    </row>
    <row r="345" spans="1:16">
      <c r="A345" s="88" t="str">
        <f t="shared" si="77"/>
        <v>Sakhir</v>
      </c>
      <c r="B345" s="89">
        <f t="shared" si="76"/>
        <v>75.053122658619813</v>
      </c>
      <c r="C345" s="90">
        <f t="shared" si="80"/>
        <v>0</v>
      </c>
      <c r="D345" s="90">
        <f t="shared" si="81"/>
        <v>62</v>
      </c>
      <c r="E345" s="90">
        <f t="shared" si="82"/>
        <v>3</v>
      </c>
      <c r="F345" s="91">
        <f t="shared" si="78"/>
        <v>39</v>
      </c>
      <c r="G345" s="92">
        <f t="shared" si="83"/>
        <v>0.25957855738757146</v>
      </c>
      <c r="H345" s="91" t="s">
        <v>152</v>
      </c>
      <c r="I345" s="92">
        <f t="shared" si="84"/>
        <v>4</v>
      </c>
      <c r="J345" s="93">
        <f t="shared" si="79"/>
        <v>17</v>
      </c>
      <c r="K345" s="94">
        <f t="shared" si="85"/>
        <v>0.50683041930034523</v>
      </c>
      <c r="L345" s="95">
        <f t="shared" si="86"/>
        <v>75.053122658619813</v>
      </c>
      <c r="M345" s="95">
        <f t="shared" si="87"/>
        <v>237.56271128235628</v>
      </c>
      <c r="N345" s="95">
        <f t="shared" si="88"/>
        <v>18.739680866221157</v>
      </c>
      <c r="O345" s="95">
        <f t="shared" si="89"/>
        <v>253.35135574850949</v>
      </c>
      <c r="P345" s="96">
        <f t="shared" si="90"/>
        <v>205.87412021099416</v>
      </c>
    </row>
    <row r="346" spans="1:16">
      <c r="A346" s="88" t="str">
        <f t="shared" si="77"/>
        <v>Sakhir</v>
      </c>
      <c r="B346" s="89">
        <f t="shared" si="76"/>
        <v>75.053122658619813</v>
      </c>
      <c r="C346" s="90">
        <f t="shared" si="80"/>
        <v>0</v>
      </c>
      <c r="D346" s="90">
        <f t="shared" si="81"/>
        <v>62</v>
      </c>
      <c r="E346" s="90">
        <f t="shared" si="82"/>
        <v>3</v>
      </c>
      <c r="F346" s="91">
        <f t="shared" si="78"/>
        <v>40</v>
      </c>
      <c r="G346" s="92">
        <f t="shared" si="83"/>
        <v>0.25957855738757146</v>
      </c>
      <c r="H346" s="91" t="s">
        <v>152</v>
      </c>
      <c r="I346" s="92">
        <f t="shared" si="84"/>
        <v>4</v>
      </c>
      <c r="J346" s="93">
        <f t="shared" si="79"/>
        <v>17</v>
      </c>
      <c r="K346" s="94">
        <f t="shared" si="85"/>
        <v>0.50683041930034523</v>
      </c>
      <c r="L346" s="95">
        <f t="shared" si="86"/>
        <v>75.053122658619813</v>
      </c>
      <c r="M346" s="95">
        <f t="shared" si="87"/>
        <v>237.56271128235628</v>
      </c>
      <c r="N346" s="95">
        <f t="shared" si="88"/>
        <v>18.999259423608727</v>
      </c>
      <c r="O346" s="95">
        <f t="shared" si="89"/>
        <v>253.35135574850949</v>
      </c>
      <c r="P346" s="96">
        <f t="shared" si="90"/>
        <v>205.21647441662031</v>
      </c>
    </row>
    <row r="347" spans="1:16">
      <c r="A347" s="88" t="str">
        <f t="shared" si="77"/>
        <v>Sakhir</v>
      </c>
      <c r="B347" s="89">
        <f t="shared" si="76"/>
        <v>75.053122658619813</v>
      </c>
      <c r="C347" s="90">
        <f t="shared" si="80"/>
        <v>0</v>
      </c>
      <c r="D347" s="90">
        <f t="shared" si="81"/>
        <v>62</v>
      </c>
      <c r="E347" s="90">
        <f t="shared" si="82"/>
        <v>3</v>
      </c>
      <c r="F347" s="91">
        <f t="shared" si="78"/>
        <v>41</v>
      </c>
      <c r="G347" s="92">
        <f t="shared" si="83"/>
        <v>0.25957855738757146</v>
      </c>
      <c r="H347" s="91" t="s">
        <v>152</v>
      </c>
      <c r="I347" s="92">
        <f t="shared" si="84"/>
        <v>4</v>
      </c>
      <c r="J347" s="93">
        <f t="shared" si="79"/>
        <v>17</v>
      </c>
      <c r="K347" s="94">
        <f t="shared" si="85"/>
        <v>0.50683041930034523</v>
      </c>
      <c r="L347" s="95">
        <f t="shared" si="86"/>
        <v>75.053122658619813</v>
      </c>
      <c r="M347" s="95">
        <f t="shared" si="87"/>
        <v>237.56271128235628</v>
      </c>
      <c r="N347" s="95">
        <f t="shared" si="88"/>
        <v>19.258837980996297</v>
      </c>
      <c r="O347" s="95">
        <f t="shared" si="89"/>
        <v>253.35135574850949</v>
      </c>
      <c r="P347" s="96">
        <f t="shared" si="90"/>
        <v>204.55882862224649</v>
      </c>
    </row>
    <row r="348" spans="1:16">
      <c r="A348" s="88" t="str">
        <f t="shared" si="77"/>
        <v>Sakhir</v>
      </c>
      <c r="B348" s="89">
        <f t="shared" si="76"/>
        <v>75.053122658619813</v>
      </c>
      <c r="C348" s="90">
        <f t="shared" si="80"/>
        <v>0</v>
      </c>
      <c r="D348" s="90">
        <f t="shared" si="81"/>
        <v>62</v>
      </c>
      <c r="E348" s="90">
        <f t="shared" si="82"/>
        <v>3</v>
      </c>
      <c r="F348" s="91">
        <f t="shared" si="78"/>
        <v>42</v>
      </c>
      <c r="G348" s="92">
        <f t="shared" si="83"/>
        <v>0.25957855738757146</v>
      </c>
      <c r="H348" s="91" t="s">
        <v>152</v>
      </c>
      <c r="I348" s="92">
        <f t="shared" si="84"/>
        <v>4</v>
      </c>
      <c r="J348" s="93">
        <f t="shared" si="79"/>
        <v>17</v>
      </c>
      <c r="K348" s="94">
        <f t="shared" si="85"/>
        <v>0.50683041930034523</v>
      </c>
      <c r="L348" s="95">
        <f t="shared" si="86"/>
        <v>75.053122658619813</v>
      </c>
      <c r="M348" s="95">
        <f t="shared" si="87"/>
        <v>237.56271128235628</v>
      </c>
      <c r="N348" s="95">
        <f t="shared" si="88"/>
        <v>19.518416538383867</v>
      </c>
      <c r="O348" s="95">
        <f t="shared" si="89"/>
        <v>253.35135574850949</v>
      </c>
      <c r="P348" s="96">
        <f t="shared" si="90"/>
        <v>203.90118282787267</v>
      </c>
    </row>
    <row r="349" spans="1:16">
      <c r="A349" s="88" t="str">
        <f t="shared" si="77"/>
        <v>Sakhir</v>
      </c>
      <c r="B349" s="89">
        <f t="shared" si="76"/>
        <v>75.053122658619813</v>
      </c>
      <c r="C349" s="90">
        <f t="shared" si="80"/>
        <v>0</v>
      </c>
      <c r="D349" s="90">
        <f t="shared" si="81"/>
        <v>62</v>
      </c>
      <c r="E349" s="90">
        <f t="shared" si="82"/>
        <v>3</v>
      </c>
      <c r="F349" s="91">
        <f t="shared" si="78"/>
        <v>43</v>
      </c>
      <c r="G349" s="92">
        <f t="shared" si="83"/>
        <v>0.25957855738757146</v>
      </c>
      <c r="H349" s="91" t="s">
        <v>152</v>
      </c>
      <c r="I349" s="92">
        <f t="shared" si="84"/>
        <v>4</v>
      </c>
      <c r="J349" s="93">
        <f t="shared" si="79"/>
        <v>17</v>
      </c>
      <c r="K349" s="94">
        <f t="shared" si="85"/>
        <v>0.50683041930034523</v>
      </c>
      <c r="L349" s="95">
        <f t="shared" si="86"/>
        <v>75.053122658619813</v>
      </c>
      <c r="M349" s="95">
        <f t="shared" si="87"/>
        <v>237.56271128235628</v>
      </c>
      <c r="N349" s="95">
        <f t="shared" si="88"/>
        <v>19.777995095771441</v>
      </c>
      <c r="O349" s="95">
        <f t="shared" si="89"/>
        <v>253.35135574850949</v>
      </c>
      <c r="P349" s="96">
        <f t="shared" si="90"/>
        <v>203.24353703349882</v>
      </c>
    </row>
    <row r="350" spans="1:16">
      <c r="A350" s="88" t="str">
        <f t="shared" si="77"/>
        <v>Sakhir</v>
      </c>
      <c r="B350" s="89">
        <f t="shared" si="76"/>
        <v>75.053122658619813</v>
      </c>
      <c r="C350" s="90">
        <f t="shared" si="80"/>
        <v>0</v>
      </c>
      <c r="D350" s="90">
        <f t="shared" si="81"/>
        <v>62</v>
      </c>
      <c r="E350" s="90">
        <f t="shared" si="82"/>
        <v>3</v>
      </c>
      <c r="F350" s="91">
        <f t="shared" si="78"/>
        <v>44</v>
      </c>
      <c r="G350" s="92">
        <f t="shared" si="83"/>
        <v>0.25957855738757146</v>
      </c>
      <c r="H350" s="91" t="s">
        <v>152</v>
      </c>
      <c r="I350" s="92">
        <f t="shared" si="84"/>
        <v>4</v>
      </c>
      <c r="J350" s="93">
        <f t="shared" si="79"/>
        <v>17</v>
      </c>
      <c r="K350" s="94">
        <f t="shared" si="85"/>
        <v>0.50683041930034523</v>
      </c>
      <c r="L350" s="95">
        <f t="shared" si="86"/>
        <v>75.053122658619813</v>
      </c>
      <c r="M350" s="95">
        <f t="shared" si="87"/>
        <v>237.56271128235628</v>
      </c>
      <c r="N350" s="95">
        <f t="shared" si="88"/>
        <v>20.037573653159015</v>
      </c>
      <c r="O350" s="95">
        <f t="shared" si="89"/>
        <v>253.35135574850949</v>
      </c>
      <c r="P350" s="96">
        <f t="shared" si="90"/>
        <v>202.58589123912498</v>
      </c>
    </row>
    <row r="351" spans="1:16">
      <c r="A351" s="88" t="str">
        <f t="shared" si="77"/>
        <v>Sakhir</v>
      </c>
      <c r="B351" s="89">
        <f t="shared" si="76"/>
        <v>75.053122658619813</v>
      </c>
      <c r="C351" s="90">
        <f t="shared" si="80"/>
        <v>0</v>
      </c>
      <c r="D351" s="90">
        <f t="shared" si="81"/>
        <v>62</v>
      </c>
      <c r="E351" s="90">
        <f t="shared" si="82"/>
        <v>3</v>
      </c>
      <c r="F351" s="91">
        <f t="shared" si="78"/>
        <v>45</v>
      </c>
      <c r="G351" s="92">
        <f t="shared" si="83"/>
        <v>0.25957855738757146</v>
      </c>
      <c r="H351" s="91" t="s">
        <v>152</v>
      </c>
      <c r="I351" s="92">
        <f t="shared" si="84"/>
        <v>4</v>
      </c>
      <c r="J351" s="93">
        <f t="shared" si="79"/>
        <v>17</v>
      </c>
      <c r="K351" s="94">
        <f t="shared" si="85"/>
        <v>0.50683041930034523</v>
      </c>
      <c r="L351" s="95">
        <f t="shared" si="86"/>
        <v>75.053122658619813</v>
      </c>
      <c r="M351" s="95">
        <f t="shared" si="87"/>
        <v>237.56271128235628</v>
      </c>
      <c r="N351" s="95">
        <f t="shared" si="88"/>
        <v>20.297152210546585</v>
      </c>
      <c r="O351" s="95">
        <f t="shared" si="89"/>
        <v>253.35135574850949</v>
      </c>
      <c r="P351" s="96">
        <f t="shared" si="90"/>
        <v>201.92824544475116</v>
      </c>
    </row>
    <row r="352" spans="1:16">
      <c r="A352" s="88" t="str">
        <f t="shared" si="77"/>
        <v>Sakhir</v>
      </c>
      <c r="B352" s="89">
        <f t="shared" si="76"/>
        <v>75.053122658619813</v>
      </c>
      <c r="C352" s="90">
        <f t="shared" si="80"/>
        <v>0</v>
      </c>
      <c r="D352" s="90">
        <f t="shared" si="81"/>
        <v>62</v>
      </c>
      <c r="E352" s="90">
        <f t="shared" si="82"/>
        <v>3</v>
      </c>
      <c r="F352" s="91">
        <f t="shared" si="78"/>
        <v>46</v>
      </c>
      <c r="G352" s="92">
        <f t="shared" si="83"/>
        <v>0.25957855738757146</v>
      </c>
      <c r="H352" s="91" t="s">
        <v>152</v>
      </c>
      <c r="I352" s="92">
        <f t="shared" si="84"/>
        <v>4</v>
      </c>
      <c r="J352" s="93">
        <f t="shared" si="79"/>
        <v>17</v>
      </c>
      <c r="K352" s="94">
        <f t="shared" si="85"/>
        <v>0.50683041930034523</v>
      </c>
      <c r="L352" s="95">
        <f t="shared" si="86"/>
        <v>75.053122658619813</v>
      </c>
      <c r="M352" s="95">
        <f t="shared" si="87"/>
        <v>237.56271128235628</v>
      </c>
      <c r="N352" s="95">
        <f t="shared" si="88"/>
        <v>20.556730767934155</v>
      </c>
      <c r="O352" s="95">
        <f t="shared" si="89"/>
        <v>253.35135574850949</v>
      </c>
      <c r="P352" s="96">
        <f t="shared" si="90"/>
        <v>201.27059965037733</v>
      </c>
    </row>
    <row r="353" spans="1:16">
      <c r="A353" s="88" t="str">
        <f t="shared" si="77"/>
        <v>Sakhir</v>
      </c>
      <c r="B353" s="89">
        <f t="shared" si="76"/>
        <v>75.053122658619813</v>
      </c>
      <c r="C353" s="90">
        <f t="shared" si="80"/>
        <v>0</v>
      </c>
      <c r="D353" s="90">
        <f t="shared" si="81"/>
        <v>62</v>
      </c>
      <c r="E353" s="90">
        <f t="shared" si="82"/>
        <v>3</v>
      </c>
      <c r="F353" s="91">
        <f t="shared" si="78"/>
        <v>47</v>
      </c>
      <c r="G353" s="92">
        <f t="shared" si="83"/>
        <v>0.25957855738757146</v>
      </c>
      <c r="H353" s="91" t="s">
        <v>152</v>
      </c>
      <c r="I353" s="92">
        <f t="shared" si="84"/>
        <v>4</v>
      </c>
      <c r="J353" s="93">
        <f t="shared" si="79"/>
        <v>17</v>
      </c>
      <c r="K353" s="94">
        <f t="shared" si="85"/>
        <v>0.50683041930034523</v>
      </c>
      <c r="L353" s="95">
        <f t="shared" si="86"/>
        <v>75.053122658619813</v>
      </c>
      <c r="M353" s="95">
        <f t="shared" si="87"/>
        <v>237.56271128235628</v>
      </c>
      <c r="N353" s="95">
        <f t="shared" si="88"/>
        <v>20.816309325321726</v>
      </c>
      <c r="O353" s="95">
        <f t="shared" si="89"/>
        <v>253.35135574850949</v>
      </c>
      <c r="P353" s="96">
        <f t="shared" si="90"/>
        <v>200.61295385600349</v>
      </c>
    </row>
    <row r="354" spans="1:16">
      <c r="A354" s="88" t="str">
        <f t="shared" si="77"/>
        <v>Sakhir</v>
      </c>
      <c r="B354" s="89">
        <f t="shared" si="76"/>
        <v>75.053122658619813</v>
      </c>
      <c r="C354" s="90">
        <f t="shared" si="80"/>
        <v>0</v>
      </c>
      <c r="D354" s="90">
        <f t="shared" si="81"/>
        <v>62</v>
      </c>
      <c r="E354" s="90">
        <f t="shared" si="82"/>
        <v>3</v>
      </c>
      <c r="F354" s="91">
        <f t="shared" si="78"/>
        <v>48</v>
      </c>
      <c r="G354" s="92">
        <f t="shared" si="83"/>
        <v>0.25957855738757146</v>
      </c>
      <c r="H354" s="91" t="s">
        <v>152</v>
      </c>
      <c r="I354" s="92">
        <f t="shared" si="84"/>
        <v>4</v>
      </c>
      <c r="J354" s="93">
        <f t="shared" si="79"/>
        <v>17</v>
      </c>
      <c r="K354" s="94">
        <f t="shared" si="85"/>
        <v>0.50683041930034523</v>
      </c>
      <c r="L354" s="95">
        <f t="shared" si="86"/>
        <v>75.053122658619813</v>
      </c>
      <c r="M354" s="95">
        <f t="shared" si="87"/>
        <v>237.56271128235628</v>
      </c>
      <c r="N354" s="95">
        <f t="shared" si="88"/>
        <v>21.075887882709296</v>
      </c>
      <c r="O354" s="95">
        <f t="shared" si="89"/>
        <v>253.35135574850949</v>
      </c>
      <c r="P354" s="96">
        <f t="shared" si="90"/>
        <v>199.95530806162967</v>
      </c>
    </row>
    <row r="355" spans="1:16">
      <c r="A355" s="88" t="str">
        <f t="shared" si="77"/>
        <v>Sakhir</v>
      </c>
      <c r="B355" s="89">
        <f t="shared" si="76"/>
        <v>75.053122658619813</v>
      </c>
      <c r="C355" s="90">
        <f t="shared" si="80"/>
        <v>0</v>
      </c>
      <c r="D355" s="90">
        <f t="shared" si="81"/>
        <v>62</v>
      </c>
      <c r="E355" s="90">
        <f t="shared" si="82"/>
        <v>3</v>
      </c>
      <c r="F355" s="91">
        <f t="shared" si="78"/>
        <v>49</v>
      </c>
      <c r="G355" s="92">
        <f t="shared" si="83"/>
        <v>0.25957855738757146</v>
      </c>
      <c r="H355" s="91" t="s">
        <v>152</v>
      </c>
      <c r="I355" s="92">
        <f t="shared" si="84"/>
        <v>4</v>
      </c>
      <c r="J355" s="93">
        <f t="shared" si="79"/>
        <v>17</v>
      </c>
      <c r="K355" s="94">
        <f t="shared" si="85"/>
        <v>0.50683041930034523</v>
      </c>
      <c r="L355" s="95">
        <f t="shared" si="86"/>
        <v>75.053122658619813</v>
      </c>
      <c r="M355" s="95">
        <f t="shared" si="87"/>
        <v>237.56271128235628</v>
      </c>
      <c r="N355" s="95">
        <f t="shared" si="88"/>
        <v>21.335466440096869</v>
      </c>
      <c r="O355" s="95">
        <f t="shared" si="89"/>
        <v>253.35135574850949</v>
      </c>
      <c r="P355" s="96">
        <f t="shared" si="90"/>
        <v>199.29766226725582</v>
      </c>
    </row>
    <row r="356" spans="1:16">
      <c r="A356" s="88" t="str">
        <f t="shared" si="77"/>
        <v>Sakhir</v>
      </c>
      <c r="B356" s="89">
        <f t="shared" si="76"/>
        <v>75.053122658619813</v>
      </c>
      <c r="C356" s="90">
        <f t="shared" si="80"/>
        <v>0</v>
      </c>
      <c r="D356" s="90">
        <f t="shared" si="81"/>
        <v>62</v>
      </c>
      <c r="E356" s="90">
        <f t="shared" si="82"/>
        <v>3</v>
      </c>
      <c r="F356" s="91">
        <f t="shared" si="78"/>
        <v>50</v>
      </c>
      <c r="G356" s="92">
        <f t="shared" si="83"/>
        <v>0.25957855738757146</v>
      </c>
      <c r="H356" s="91" t="s">
        <v>152</v>
      </c>
      <c r="I356" s="92">
        <f t="shared" si="84"/>
        <v>4</v>
      </c>
      <c r="J356" s="93">
        <f t="shared" si="79"/>
        <v>17</v>
      </c>
      <c r="K356" s="94">
        <f t="shared" si="85"/>
        <v>0.50683041930034523</v>
      </c>
      <c r="L356" s="95">
        <f t="shared" si="86"/>
        <v>75.053122658619813</v>
      </c>
      <c r="M356" s="95">
        <f t="shared" si="87"/>
        <v>237.56271128235628</v>
      </c>
      <c r="N356" s="95">
        <f t="shared" si="88"/>
        <v>21.595044997484443</v>
      </c>
      <c r="O356" s="95">
        <f t="shared" si="89"/>
        <v>253.35135574850949</v>
      </c>
      <c r="P356" s="96">
        <f t="shared" si="90"/>
        <v>198.64001647288197</v>
      </c>
    </row>
    <row r="357" spans="1:16">
      <c r="A357" s="88" t="str">
        <f t="shared" si="77"/>
        <v>Sakhir</v>
      </c>
      <c r="B357" s="89">
        <f t="shared" si="76"/>
        <v>75.053122658619813</v>
      </c>
      <c r="C357" s="90">
        <f t="shared" si="80"/>
        <v>0</v>
      </c>
      <c r="D357" s="90">
        <f t="shared" si="81"/>
        <v>62</v>
      </c>
      <c r="E357" s="90">
        <f t="shared" si="82"/>
        <v>3</v>
      </c>
      <c r="F357" s="91">
        <f t="shared" si="78"/>
        <v>51</v>
      </c>
      <c r="G357" s="92">
        <f t="shared" si="83"/>
        <v>0.25957855738757146</v>
      </c>
      <c r="H357" s="91" t="s">
        <v>152</v>
      </c>
      <c r="I357" s="92">
        <f t="shared" si="84"/>
        <v>4</v>
      </c>
      <c r="J357" s="93">
        <f t="shared" si="79"/>
        <v>17</v>
      </c>
      <c r="K357" s="94">
        <f t="shared" si="85"/>
        <v>0.50683041930034523</v>
      </c>
      <c r="L357" s="95">
        <f t="shared" si="86"/>
        <v>75.053122658619813</v>
      </c>
      <c r="M357" s="95">
        <f t="shared" si="87"/>
        <v>237.56271128235628</v>
      </c>
      <c r="N357" s="95">
        <f t="shared" si="88"/>
        <v>21.854623554872013</v>
      </c>
      <c r="O357" s="95">
        <f t="shared" si="89"/>
        <v>253.35135574850949</v>
      </c>
      <c r="P357" s="96">
        <f t="shared" si="90"/>
        <v>197.98237067850815</v>
      </c>
    </row>
    <row r="358" spans="1:16">
      <c r="A358" s="88" t="str">
        <f t="shared" si="77"/>
        <v>Sakhir</v>
      </c>
      <c r="B358" s="89">
        <f t="shared" si="76"/>
        <v>75.053122658619813</v>
      </c>
      <c r="C358" s="90">
        <f t="shared" si="80"/>
        <v>0</v>
      </c>
      <c r="D358" s="90">
        <f t="shared" si="81"/>
        <v>62</v>
      </c>
      <c r="E358" s="90">
        <f t="shared" si="82"/>
        <v>3</v>
      </c>
      <c r="F358" s="91">
        <f t="shared" si="78"/>
        <v>52</v>
      </c>
      <c r="G358" s="92">
        <f t="shared" si="83"/>
        <v>0.25957855738757146</v>
      </c>
      <c r="H358" s="91" t="s">
        <v>152</v>
      </c>
      <c r="I358" s="92">
        <f t="shared" si="84"/>
        <v>4</v>
      </c>
      <c r="J358" s="93">
        <f t="shared" si="79"/>
        <v>17</v>
      </c>
      <c r="K358" s="94">
        <f t="shared" si="85"/>
        <v>0.50683041930034523</v>
      </c>
      <c r="L358" s="95">
        <f t="shared" si="86"/>
        <v>75.053122658619813</v>
      </c>
      <c r="M358" s="95">
        <f t="shared" si="87"/>
        <v>237.56271128235628</v>
      </c>
      <c r="N358" s="95">
        <f t="shared" si="88"/>
        <v>22.114202112259584</v>
      </c>
      <c r="O358" s="95">
        <f t="shared" si="89"/>
        <v>253.35135574850949</v>
      </c>
      <c r="P358" s="96">
        <f t="shared" si="90"/>
        <v>197.32472488413433</v>
      </c>
    </row>
    <row r="359" spans="1:16">
      <c r="A359" s="88" t="str">
        <f t="shared" si="77"/>
        <v>Sakhir</v>
      </c>
      <c r="B359" s="89">
        <f t="shared" si="76"/>
        <v>75.053122658619813</v>
      </c>
      <c r="C359" s="90">
        <f t="shared" si="80"/>
        <v>0</v>
      </c>
      <c r="D359" s="90">
        <f t="shared" si="81"/>
        <v>62</v>
      </c>
      <c r="E359" s="90">
        <f t="shared" si="82"/>
        <v>3</v>
      </c>
      <c r="F359" s="91">
        <f t="shared" si="78"/>
        <v>53</v>
      </c>
      <c r="G359" s="92">
        <f t="shared" si="83"/>
        <v>0.25957855738757146</v>
      </c>
      <c r="H359" s="91" t="s">
        <v>152</v>
      </c>
      <c r="I359" s="92">
        <f t="shared" si="84"/>
        <v>4</v>
      </c>
      <c r="J359" s="93">
        <f t="shared" si="79"/>
        <v>17</v>
      </c>
      <c r="K359" s="94">
        <f t="shared" si="85"/>
        <v>0.50683041930034523</v>
      </c>
      <c r="L359" s="95">
        <f t="shared" si="86"/>
        <v>75.053122658619813</v>
      </c>
      <c r="M359" s="95">
        <f t="shared" si="87"/>
        <v>237.56271128235628</v>
      </c>
      <c r="N359" s="95">
        <f t="shared" si="88"/>
        <v>22.373780669647154</v>
      </c>
      <c r="O359" s="95">
        <f t="shared" si="89"/>
        <v>253.35135574850949</v>
      </c>
      <c r="P359" s="96">
        <f t="shared" si="90"/>
        <v>196.66707908976048</v>
      </c>
    </row>
    <row r="360" spans="1:16">
      <c r="A360" s="88" t="str">
        <f t="shared" si="77"/>
        <v>Sakhir</v>
      </c>
      <c r="B360" s="89">
        <f t="shared" si="76"/>
        <v>75.053122658619813</v>
      </c>
      <c r="C360" s="90">
        <f t="shared" si="80"/>
        <v>0</v>
      </c>
      <c r="D360" s="90">
        <f t="shared" si="81"/>
        <v>62</v>
      </c>
      <c r="E360" s="90">
        <f t="shared" si="82"/>
        <v>3</v>
      </c>
      <c r="F360" s="91">
        <f t="shared" si="78"/>
        <v>54</v>
      </c>
      <c r="G360" s="92">
        <f t="shared" si="83"/>
        <v>0.25957855738757146</v>
      </c>
      <c r="H360" s="91" t="s">
        <v>152</v>
      </c>
      <c r="I360" s="92">
        <f t="shared" si="84"/>
        <v>4</v>
      </c>
      <c r="J360" s="93">
        <f t="shared" si="79"/>
        <v>17</v>
      </c>
      <c r="K360" s="94">
        <f t="shared" si="85"/>
        <v>0.50683041930034523</v>
      </c>
      <c r="L360" s="95">
        <f t="shared" si="86"/>
        <v>75.053122658619813</v>
      </c>
      <c r="M360" s="95">
        <f t="shared" si="87"/>
        <v>237.56271128235628</v>
      </c>
      <c r="N360" s="95">
        <f t="shared" si="88"/>
        <v>22.633359227034727</v>
      </c>
      <c r="O360" s="95">
        <f t="shared" si="89"/>
        <v>253.35135574850949</v>
      </c>
      <c r="P360" s="96">
        <f t="shared" si="90"/>
        <v>196.00943329538663</v>
      </c>
    </row>
    <row r="361" spans="1:16">
      <c r="A361" s="88" t="str">
        <f t="shared" si="77"/>
        <v>Sakhir</v>
      </c>
      <c r="B361" s="89">
        <f t="shared" si="76"/>
        <v>75.053122658619813</v>
      </c>
      <c r="C361" s="90">
        <f t="shared" si="80"/>
        <v>0</v>
      </c>
      <c r="D361" s="90">
        <f t="shared" si="81"/>
        <v>62</v>
      </c>
      <c r="E361" s="90">
        <f t="shared" si="82"/>
        <v>3</v>
      </c>
      <c r="F361" s="91">
        <f t="shared" si="78"/>
        <v>55</v>
      </c>
      <c r="G361" s="92">
        <f t="shared" si="83"/>
        <v>0.25957855738757146</v>
      </c>
      <c r="H361" s="91" t="s">
        <v>152</v>
      </c>
      <c r="I361" s="92">
        <f t="shared" si="84"/>
        <v>4</v>
      </c>
      <c r="J361" s="93">
        <f t="shared" si="79"/>
        <v>17</v>
      </c>
      <c r="K361" s="94">
        <f t="shared" si="85"/>
        <v>0.50683041930034523</v>
      </c>
      <c r="L361" s="95">
        <f t="shared" si="86"/>
        <v>75.053122658619813</v>
      </c>
      <c r="M361" s="95">
        <f t="shared" si="87"/>
        <v>237.56271128235628</v>
      </c>
      <c r="N361" s="95">
        <f t="shared" si="88"/>
        <v>22.892937784422301</v>
      </c>
      <c r="O361" s="95">
        <f t="shared" si="89"/>
        <v>253.35135574850949</v>
      </c>
      <c r="P361" s="96">
        <f t="shared" si="90"/>
        <v>195.35178750101281</v>
      </c>
    </row>
    <row r="362" spans="1:16">
      <c r="A362" s="88" t="str">
        <f t="shared" si="77"/>
        <v>Sakhir</v>
      </c>
      <c r="B362" s="89">
        <f t="shared" si="76"/>
        <v>75.053122658619813</v>
      </c>
      <c r="C362" s="90">
        <f t="shared" si="80"/>
        <v>0</v>
      </c>
      <c r="D362" s="90">
        <f t="shared" si="81"/>
        <v>62</v>
      </c>
      <c r="E362" s="90">
        <f t="shared" si="82"/>
        <v>3</v>
      </c>
      <c r="F362" s="91">
        <f t="shared" si="78"/>
        <v>56</v>
      </c>
      <c r="G362" s="92">
        <f t="shared" si="83"/>
        <v>0.25957855738757146</v>
      </c>
      <c r="H362" s="91" t="s">
        <v>152</v>
      </c>
      <c r="I362" s="92">
        <f t="shared" si="84"/>
        <v>4</v>
      </c>
      <c r="J362" s="93">
        <f t="shared" si="79"/>
        <v>17</v>
      </c>
      <c r="K362" s="94">
        <f t="shared" si="85"/>
        <v>0.50683041930034523</v>
      </c>
      <c r="L362" s="95">
        <f t="shared" si="86"/>
        <v>75.053122658619813</v>
      </c>
      <c r="M362" s="95">
        <f t="shared" si="87"/>
        <v>237.56271128235628</v>
      </c>
      <c r="N362" s="95">
        <f t="shared" si="88"/>
        <v>23.152516341809871</v>
      </c>
      <c r="O362" s="95">
        <f t="shared" si="89"/>
        <v>253.35135574850949</v>
      </c>
      <c r="P362" s="96">
        <f t="shared" si="90"/>
        <v>194.69414170663896</v>
      </c>
    </row>
    <row r="363" spans="1:16">
      <c r="A363" s="88" t="str">
        <f t="shared" si="77"/>
        <v>Sakhir</v>
      </c>
      <c r="B363" s="89">
        <f t="shared" si="76"/>
        <v>75.053122658619813</v>
      </c>
      <c r="C363" s="90">
        <f t="shared" si="80"/>
        <v>0</v>
      </c>
      <c r="D363" s="90">
        <f t="shared" si="81"/>
        <v>62</v>
      </c>
      <c r="E363" s="90">
        <f t="shared" si="82"/>
        <v>3</v>
      </c>
      <c r="F363" s="91">
        <f t="shared" si="78"/>
        <v>57</v>
      </c>
      <c r="G363" s="92">
        <f t="shared" si="83"/>
        <v>0.25957855738757146</v>
      </c>
      <c r="H363" s="91" t="s">
        <v>152</v>
      </c>
      <c r="I363" s="92">
        <f t="shared" si="84"/>
        <v>4</v>
      </c>
      <c r="J363" s="93">
        <f t="shared" si="79"/>
        <v>17</v>
      </c>
      <c r="K363" s="94">
        <f t="shared" si="85"/>
        <v>0.50683041930034523</v>
      </c>
      <c r="L363" s="95">
        <f t="shared" si="86"/>
        <v>75.053122658619813</v>
      </c>
      <c r="M363" s="95">
        <f t="shared" si="87"/>
        <v>237.56271128235628</v>
      </c>
      <c r="N363" s="95">
        <f t="shared" si="88"/>
        <v>23.412094899197442</v>
      </c>
      <c r="O363" s="95">
        <f t="shared" si="89"/>
        <v>253.35135574850949</v>
      </c>
      <c r="P363" s="96">
        <f t="shared" si="90"/>
        <v>194.03649591226514</v>
      </c>
    </row>
    <row r="364" spans="1:16">
      <c r="A364" s="88" t="str">
        <f t="shared" si="77"/>
        <v>Sakhir</v>
      </c>
      <c r="B364" s="89">
        <f t="shared" si="76"/>
        <v>75.053122658619813</v>
      </c>
      <c r="C364" s="90">
        <f t="shared" si="80"/>
        <v>0</v>
      </c>
      <c r="D364" s="90">
        <f t="shared" si="81"/>
        <v>62</v>
      </c>
      <c r="E364" s="90">
        <f t="shared" si="82"/>
        <v>3</v>
      </c>
      <c r="F364" s="91">
        <f t="shared" si="78"/>
        <v>58</v>
      </c>
      <c r="G364" s="92">
        <f t="shared" si="83"/>
        <v>0.25957855738757146</v>
      </c>
      <c r="H364" s="91" t="s">
        <v>152</v>
      </c>
      <c r="I364" s="92">
        <f t="shared" si="84"/>
        <v>4</v>
      </c>
      <c r="J364" s="93">
        <f t="shared" si="79"/>
        <v>17</v>
      </c>
      <c r="K364" s="94">
        <f t="shared" si="85"/>
        <v>0.50683041930034523</v>
      </c>
      <c r="L364" s="95">
        <f t="shared" si="86"/>
        <v>75.053122658619813</v>
      </c>
      <c r="M364" s="95">
        <f t="shared" si="87"/>
        <v>237.56271128235628</v>
      </c>
      <c r="N364" s="95">
        <f t="shared" si="88"/>
        <v>23.671673456585012</v>
      </c>
      <c r="O364" s="95">
        <f t="shared" si="89"/>
        <v>253.35135574850949</v>
      </c>
      <c r="P364" s="96">
        <f t="shared" si="90"/>
        <v>193.37885011789132</v>
      </c>
    </row>
    <row r="365" spans="1:16">
      <c r="A365" s="88" t="str">
        <f t="shared" si="77"/>
        <v>Sakhir</v>
      </c>
      <c r="B365" s="89">
        <f t="shared" si="76"/>
        <v>75.053122658619813</v>
      </c>
      <c r="C365" s="90">
        <f t="shared" si="80"/>
        <v>0</v>
      </c>
      <c r="D365" s="90">
        <f t="shared" si="81"/>
        <v>62</v>
      </c>
      <c r="E365" s="90">
        <f t="shared" si="82"/>
        <v>3</v>
      </c>
      <c r="F365" s="91">
        <f t="shared" si="78"/>
        <v>59</v>
      </c>
      <c r="G365" s="92">
        <f t="shared" si="83"/>
        <v>0.25957855738757146</v>
      </c>
      <c r="H365" s="91" t="s">
        <v>152</v>
      </c>
      <c r="I365" s="92">
        <f t="shared" si="84"/>
        <v>4</v>
      </c>
      <c r="J365" s="93">
        <f t="shared" si="79"/>
        <v>17</v>
      </c>
      <c r="K365" s="94">
        <f t="shared" si="85"/>
        <v>0.50683041930034523</v>
      </c>
      <c r="L365" s="95">
        <f t="shared" si="86"/>
        <v>75.053122658619813</v>
      </c>
      <c r="M365" s="95">
        <f t="shared" si="87"/>
        <v>237.56271128235628</v>
      </c>
      <c r="N365" s="95">
        <f t="shared" si="88"/>
        <v>23.931252013972582</v>
      </c>
      <c r="O365" s="95">
        <f t="shared" si="89"/>
        <v>253.35135574850949</v>
      </c>
      <c r="P365" s="96">
        <f t="shared" si="90"/>
        <v>192.72120432351747</v>
      </c>
    </row>
    <row r="366" spans="1:16">
      <c r="A366" s="88" t="str">
        <f t="shared" si="77"/>
        <v>Sakhir</v>
      </c>
      <c r="B366" s="89">
        <f t="shared" si="76"/>
        <v>75.053122658619813</v>
      </c>
      <c r="C366" s="90">
        <f t="shared" si="80"/>
        <v>0</v>
      </c>
      <c r="D366" s="90">
        <f t="shared" si="81"/>
        <v>62</v>
      </c>
      <c r="E366" s="90">
        <f t="shared" si="82"/>
        <v>3</v>
      </c>
      <c r="F366" s="91">
        <f t="shared" si="78"/>
        <v>60</v>
      </c>
      <c r="G366" s="92">
        <f t="shared" si="83"/>
        <v>0.25957855738757146</v>
      </c>
      <c r="H366" s="91" t="s">
        <v>152</v>
      </c>
      <c r="I366" s="92">
        <f t="shared" si="84"/>
        <v>4</v>
      </c>
      <c r="J366" s="93">
        <f t="shared" si="79"/>
        <v>17</v>
      </c>
      <c r="K366" s="94">
        <f t="shared" si="85"/>
        <v>0.50683041930034523</v>
      </c>
      <c r="L366" s="95">
        <f t="shared" si="86"/>
        <v>75.053122658619813</v>
      </c>
      <c r="M366" s="95">
        <f t="shared" si="87"/>
        <v>237.56271128235628</v>
      </c>
      <c r="N366" s="95">
        <f t="shared" si="88"/>
        <v>24.190830571360156</v>
      </c>
      <c r="O366" s="95">
        <f t="shared" si="89"/>
        <v>253.35135574850949</v>
      </c>
      <c r="P366" s="96">
        <f t="shared" si="90"/>
        <v>192.06355852914362</v>
      </c>
    </row>
    <row r="367" spans="1:16">
      <c r="A367" s="88" t="str">
        <f t="shared" si="77"/>
        <v>Sakhir</v>
      </c>
      <c r="B367" s="89">
        <f t="shared" si="76"/>
        <v>75.053122658619813</v>
      </c>
      <c r="C367" s="90">
        <f t="shared" si="80"/>
        <v>0</v>
      </c>
      <c r="D367" s="90">
        <f t="shared" si="81"/>
        <v>62</v>
      </c>
      <c r="E367" s="90">
        <f t="shared" si="82"/>
        <v>3</v>
      </c>
      <c r="F367" s="91">
        <f t="shared" si="78"/>
        <v>61</v>
      </c>
      <c r="G367" s="92">
        <f t="shared" si="83"/>
        <v>0.25957855738757146</v>
      </c>
      <c r="H367" s="91" t="s">
        <v>152</v>
      </c>
      <c r="I367" s="92">
        <f t="shared" si="84"/>
        <v>4</v>
      </c>
      <c r="J367" s="93">
        <f t="shared" si="79"/>
        <v>17</v>
      </c>
      <c r="K367" s="94">
        <f t="shared" si="85"/>
        <v>0.50683041930034523</v>
      </c>
      <c r="L367" s="95">
        <f t="shared" si="86"/>
        <v>75.053122658619813</v>
      </c>
      <c r="M367" s="95">
        <f t="shared" si="87"/>
        <v>237.56271128235628</v>
      </c>
      <c r="N367" s="95">
        <f t="shared" si="88"/>
        <v>24.450409128747729</v>
      </c>
      <c r="O367" s="95">
        <f t="shared" si="89"/>
        <v>253.35135574850949</v>
      </c>
      <c r="P367" s="96">
        <f t="shared" si="90"/>
        <v>191.4059127347698</v>
      </c>
    </row>
    <row r="368" spans="1:16">
      <c r="A368" s="88" t="str">
        <f t="shared" si="77"/>
        <v>Sakhir</v>
      </c>
      <c r="B368" s="89">
        <f t="shared" si="76"/>
        <v>75.053122658619813</v>
      </c>
      <c r="C368" s="90">
        <f t="shared" si="80"/>
        <v>0</v>
      </c>
      <c r="D368" s="90">
        <f t="shared" si="81"/>
        <v>62</v>
      </c>
      <c r="E368" s="90">
        <f t="shared" si="82"/>
        <v>3</v>
      </c>
      <c r="F368" s="91">
        <f t="shared" si="78"/>
        <v>62</v>
      </c>
      <c r="G368" s="92">
        <f t="shared" si="83"/>
        <v>0.25957855738757146</v>
      </c>
      <c r="H368" s="91" t="s">
        <v>152</v>
      </c>
      <c r="I368" s="92">
        <f t="shared" si="84"/>
        <v>4</v>
      </c>
      <c r="J368" s="93">
        <f t="shared" si="79"/>
        <v>17</v>
      </c>
      <c r="K368" s="94">
        <f t="shared" si="85"/>
        <v>0.50683041930034523</v>
      </c>
      <c r="L368" s="95">
        <f t="shared" si="86"/>
        <v>75.053122658619813</v>
      </c>
      <c r="M368" s="95">
        <f t="shared" si="87"/>
        <v>237.56271128235628</v>
      </c>
      <c r="N368" s="95">
        <f t="shared" si="88"/>
        <v>24.7099876861353</v>
      </c>
      <c r="O368" s="95">
        <f t="shared" si="89"/>
        <v>253.35135574850949</v>
      </c>
      <c r="P368" s="96">
        <f t="shared" si="90"/>
        <v>190.74826694039595</v>
      </c>
    </row>
    <row r="369" spans="1:16">
      <c r="A369" s="88" t="str">
        <f t="shared" si="77"/>
        <v>Sakhir</v>
      </c>
      <c r="B369" s="89">
        <f t="shared" si="76"/>
        <v>75.053122658619813</v>
      </c>
      <c r="C369" s="90">
        <f t="shared" si="80"/>
        <v>0</v>
      </c>
      <c r="D369" s="90">
        <f t="shared" si="81"/>
        <v>62</v>
      </c>
      <c r="E369" s="90">
        <f t="shared" si="82"/>
        <v>3</v>
      </c>
      <c r="F369" s="91">
        <f t="shared" si="78"/>
        <v>63</v>
      </c>
      <c r="G369" s="92">
        <f t="shared" si="83"/>
        <v>0.25957855738757146</v>
      </c>
      <c r="H369" s="91" t="s">
        <v>152</v>
      </c>
      <c r="I369" s="92">
        <f t="shared" si="84"/>
        <v>4</v>
      </c>
      <c r="J369" s="93">
        <f t="shared" si="79"/>
        <v>17</v>
      </c>
      <c r="K369" s="94">
        <f t="shared" si="85"/>
        <v>0.50683041930034523</v>
      </c>
      <c r="L369" s="95">
        <f t="shared" si="86"/>
        <v>75.053122658619813</v>
      </c>
      <c r="M369" s="95">
        <f t="shared" si="87"/>
        <v>237.56271128235628</v>
      </c>
      <c r="N369" s="95">
        <f t="shared" si="88"/>
        <v>24.96956624352287</v>
      </c>
      <c r="O369" s="95">
        <f t="shared" si="89"/>
        <v>253.35135574850949</v>
      </c>
      <c r="P369" s="96">
        <f t="shared" si="90"/>
        <v>190.09062114602213</v>
      </c>
    </row>
    <row r="370" spans="1:16">
      <c r="A370" s="88" t="str">
        <f t="shared" si="77"/>
        <v>Sakhir</v>
      </c>
      <c r="B370" s="89">
        <f t="shared" si="76"/>
        <v>75.053122658619813</v>
      </c>
      <c r="C370" s="90">
        <f t="shared" si="80"/>
        <v>0</v>
      </c>
      <c r="D370" s="90">
        <f t="shared" si="81"/>
        <v>62</v>
      </c>
      <c r="E370" s="90">
        <f t="shared" si="82"/>
        <v>3</v>
      </c>
      <c r="F370" s="91">
        <f t="shared" si="78"/>
        <v>64</v>
      </c>
      <c r="G370" s="92">
        <f t="shared" si="83"/>
        <v>0.25957855738757146</v>
      </c>
      <c r="H370" s="91" t="s">
        <v>152</v>
      </c>
      <c r="I370" s="92">
        <f t="shared" si="84"/>
        <v>4</v>
      </c>
      <c r="J370" s="93">
        <f t="shared" si="79"/>
        <v>17</v>
      </c>
      <c r="K370" s="94">
        <f t="shared" si="85"/>
        <v>0.50683041930034523</v>
      </c>
      <c r="L370" s="95">
        <f t="shared" si="86"/>
        <v>75.053122658619813</v>
      </c>
      <c r="M370" s="95">
        <f t="shared" si="87"/>
        <v>237.56271128235628</v>
      </c>
      <c r="N370" s="95">
        <f t="shared" si="88"/>
        <v>25.22914480091044</v>
      </c>
      <c r="O370" s="95">
        <f t="shared" si="89"/>
        <v>253.35135574850949</v>
      </c>
      <c r="P370" s="96">
        <f t="shared" si="90"/>
        <v>189.43297535164828</v>
      </c>
    </row>
    <row r="371" spans="1:16">
      <c r="A371" s="88" t="str">
        <f t="shared" si="77"/>
        <v>Sakhir</v>
      </c>
      <c r="B371" s="89">
        <f t="shared" si="76"/>
        <v>75.053122658619813</v>
      </c>
      <c r="C371" s="90">
        <f t="shared" si="80"/>
        <v>0</v>
      </c>
      <c r="D371" s="90">
        <f t="shared" si="81"/>
        <v>62</v>
      </c>
      <c r="E371" s="90">
        <f t="shared" si="82"/>
        <v>3</v>
      </c>
      <c r="F371" s="91">
        <f t="shared" si="78"/>
        <v>65</v>
      </c>
      <c r="G371" s="92">
        <f t="shared" si="83"/>
        <v>0.25957855738757146</v>
      </c>
      <c r="H371" s="91" t="s">
        <v>152</v>
      </c>
      <c r="I371" s="92">
        <f t="shared" si="84"/>
        <v>4</v>
      </c>
      <c r="J371" s="93">
        <f t="shared" si="79"/>
        <v>17</v>
      </c>
      <c r="K371" s="94">
        <f t="shared" si="85"/>
        <v>0.50683041930034523</v>
      </c>
      <c r="L371" s="95">
        <f t="shared" si="86"/>
        <v>75.053122658619813</v>
      </c>
      <c r="M371" s="95">
        <f t="shared" si="87"/>
        <v>237.56271128235628</v>
      </c>
      <c r="N371" s="95">
        <f t="shared" si="88"/>
        <v>25.48872335829801</v>
      </c>
      <c r="O371" s="95">
        <f t="shared" si="89"/>
        <v>253.35135574850949</v>
      </c>
      <c r="P371" s="96">
        <f t="shared" si="90"/>
        <v>188.77532955727446</v>
      </c>
    </row>
    <row r="372" spans="1:16">
      <c r="A372" s="88" t="str">
        <f t="shared" si="77"/>
        <v>Sakhir</v>
      </c>
      <c r="B372" s="89">
        <f t="shared" si="76"/>
        <v>75.053122658619813</v>
      </c>
      <c r="C372" s="90">
        <f t="shared" si="80"/>
        <v>0</v>
      </c>
      <c r="D372" s="90">
        <f t="shared" si="81"/>
        <v>62</v>
      </c>
      <c r="E372" s="90">
        <f t="shared" si="82"/>
        <v>3</v>
      </c>
      <c r="F372" s="91">
        <f t="shared" si="78"/>
        <v>66</v>
      </c>
      <c r="G372" s="92">
        <f t="shared" si="83"/>
        <v>0.25957855738757146</v>
      </c>
      <c r="H372" s="91" t="s">
        <v>152</v>
      </c>
      <c r="I372" s="92">
        <f t="shared" si="84"/>
        <v>4</v>
      </c>
      <c r="J372" s="93">
        <f t="shared" si="79"/>
        <v>17</v>
      </c>
      <c r="K372" s="94">
        <f t="shared" si="85"/>
        <v>0.50683041930034523</v>
      </c>
      <c r="L372" s="95">
        <f t="shared" si="86"/>
        <v>75.053122658619813</v>
      </c>
      <c r="M372" s="95">
        <f t="shared" si="87"/>
        <v>237.56271128235628</v>
      </c>
      <c r="N372" s="95">
        <f t="shared" si="88"/>
        <v>25.748301915685587</v>
      </c>
      <c r="O372" s="95">
        <f t="shared" si="89"/>
        <v>253.35135574850949</v>
      </c>
      <c r="P372" s="96">
        <f t="shared" si="90"/>
        <v>188.11768376290061</v>
      </c>
    </row>
    <row r="373" spans="1:16">
      <c r="A373" s="88" t="str">
        <f t="shared" si="77"/>
        <v>Sakhir</v>
      </c>
      <c r="B373" s="89">
        <f t="shared" si="76"/>
        <v>75.053122658619813</v>
      </c>
      <c r="C373" s="90">
        <f t="shared" si="80"/>
        <v>0</v>
      </c>
      <c r="D373" s="90">
        <f t="shared" si="81"/>
        <v>62</v>
      </c>
      <c r="E373" s="90">
        <f t="shared" si="82"/>
        <v>3</v>
      </c>
      <c r="F373" s="91">
        <f t="shared" si="78"/>
        <v>67</v>
      </c>
      <c r="G373" s="92">
        <f t="shared" si="83"/>
        <v>0.25957855738757146</v>
      </c>
      <c r="H373" s="91" t="s">
        <v>152</v>
      </c>
      <c r="I373" s="92">
        <f t="shared" si="84"/>
        <v>4</v>
      </c>
      <c r="J373" s="93">
        <f t="shared" si="79"/>
        <v>17</v>
      </c>
      <c r="K373" s="94">
        <f t="shared" si="85"/>
        <v>0.50683041930034523</v>
      </c>
      <c r="L373" s="95">
        <f t="shared" si="86"/>
        <v>75.053122658619813</v>
      </c>
      <c r="M373" s="95">
        <f t="shared" si="87"/>
        <v>237.56271128235628</v>
      </c>
      <c r="N373" s="95">
        <f t="shared" si="88"/>
        <v>26.007880473073158</v>
      </c>
      <c r="O373" s="95">
        <f t="shared" si="89"/>
        <v>253.35135574850949</v>
      </c>
      <c r="P373" s="96">
        <f t="shared" si="90"/>
        <v>187.46003796852676</v>
      </c>
    </row>
    <row r="374" spans="1:16">
      <c r="A374" s="88" t="str">
        <f t="shared" si="77"/>
        <v>Sakhir</v>
      </c>
      <c r="B374" s="89">
        <f t="shared" si="76"/>
        <v>75.053122658619813</v>
      </c>
      <c r="C374" s="90">
        <f t="shared" si="80"/>
        <v>0</v>
      </c>
      <c r="D374" s="90">
        <f t="shared" si="81"/>
        <v>62</v>
      </c>
      <c r="E374" s="90">
        <f t="shared" si="82"/>
        <v>3</v>
      </c>
      <c r="F374" s="91">
        <f t="shared" si="78"/>
        <v>68</v>
      </c>
      <c r="G374" s="92">
        <f t="shared" si="83"/>
        <v>0.25957855738757146</v>
      </c>
      <c r="H374" s="91" t="s">
        <v>152</v>
      </c>
      <c r="I374" s="92">
        <f t="shared" si="84"/>
        <v>4</v>
      </c>
      <c r="J374" s="93">
        <f t="shared" si="79"/>
        <v>17</v>
      </c>
      <c r="K374" s="94">
        <f t="shared" si="85"/>
        <v>0.50683041930034523</v>
      </c>
      <c r="L374" s="95">
        <f t="shared" si="86"/>
        <v>75.053122658619813</v>
      </c>
      <c r="M374" s="95">
        <f t="shared" si="87"/>
        <v>237.56271128235628</v>
      </c>
      <c r="N374" s="95">
        <f t="shared" si="88"/>
        <v>26.267459030460728</v>
      </c>
      <c r="O374" s="95">
        <f t="shared" si="89"/>
        <v>253.35135574850949</v>
      </c>
      <c r="P374" s="96">
        <f t="shared" si="90"/>
        <v>186.80239217415294</v>
      </c>
    </row>
    <row r="375" spans="1:16">
      <c r="A375" s="88" t="str">
        <f t="shared" si="77"/>
        <v>Sakhir</v>
      </c>
      <c r="B375" s="89">
        <f t="shared" si="76"/>
        <v>75.053122658619813</v>
      </c>
      <c r="C375" s="90">
        <f t="shared" si="80"/>
        <v>0</v>
      </c>
      <c r="D375" s="90">
        <f t="shared" si="81"/>
        <v>62</v>
      </c>
      <c r="E375" s="90">
        <f t="shared" si="82"/>
        <v>3</v>
      </c>
      <c r="F375" s="91">
        <f t="shared" si="78"/>
        <v>69</v>
      </c>
      <c r="G375" s="92">
        <f t="shared" si="83"/>
        <v>0.25957855738757146</v>
      </c>
      <c r="H375" s="91" t="s">
        <v>152</v>
      </c>
      <c r="I375" s="92">
        <f t="shared" si="84"/>
        <v>4</v>
      </c>
      <c r="J375" s="93">
        <f t="shared" si="79"/>
        <v>17</v>
      </c>
      <c r="K375" s="94">
        <f t="shared" si="85"/>
        <v>0.50683041930034523</v>
      </c>
      <c r="L375" s="95">
        <f t="shared" si="86"/>
        <v>75.053122658619813</v>
      </c>
      <c r="M375" s="95">
        <f t="shared" si="87"/>
        <v>237.56271128235628</v>
      </c>
      <c r="N375" s="95">
        <f t="shared" si="88"/>
        <v>26.527037587848298</v>
      </c>
      <c r="O375" s="95">
        <f t="shared" si="89"/>
        <v>253.35135574850949</v>
      </c>
      <c r="P375" s="96">
        <f t="shared" si="90"/>
        <v>186.14474637977912</v>
      </c>
    </row>
    <row r="376" spans="1:16">
      <c r="A376" s="88" t="str">
        <f t="shared" si="77"/>
        <v>Sakhir</v>
      </c>
      <c r="B376" s="89">
        <f t="shared" si="76"/>
        <v>75.053122658619813</v>
      </c>
      <c r="C376" s="90">
        <f t="shared" si="80"/>
        <v>0</v>
      </c>
      <c r="D376" s="90">
        <f t="shared" si="81"/>
        <v>62</v>
      </c>
      <c r="E376" s="90">
        <f t="shared" si="82"/>
        <v>3</v>
      </c>
      <c r="F376" s="91">
        <f t="shared" si="78"/>
        <v>70</v>
      </c>
      <c r="G376" s="92">
        <f t="shared" si="83"/>
        <v>0.25957855738757146</v>
      </c>
      <c r="H376" s="91" t="s">
        <v>152</v>
      </c>
      <c r="I376" s="92">
        <f t="shared" si="84"/>
        <v>4</v>
      </c>
      <c r="J376" s="93">
        <f t="shared" si="79"/>
        <v>17</v>
      </c>
      <c r="K376" s="94">
        <f t="shared" si="85"/>
        <v>0.50683041930034523</v>
      </c>
      <c r="L376" s="95">
        <f t="shared" si="86"/>
        <v>75.053122658619813</v>
      </c>
      <c r="M376" s="95">
        <f t="shared" si="87"/>
        <v>237.56271128235628</v>
      </c>
      <c r="N376" s="95">
        <f t="shared" si="88"/>
        <v>26.786616145235868</v>
      </c>
      <c r="O376" s="95">
        <f t="shared" si="89"/>
        <v>253.35135574850949</v>
      </c>
      <c r="P376" s="96">
        <f t="shared" si="90"/>
        <v>185.4871005854053</v>
      </c>
    </row>
    <row r="377" spans="1:16">
      <c r="A377" s="88" t="str">
        <f t="shared" si="77"/>
        <v>Sakhir</v>
      </c>
      <c r="B377" s="89">
        <f t="shared" si="76"/>
        <v>75.053122658619813</v>
      </c>
      <c r="C377" s="90">
        <f t="shared" si="80"/>
        <v>0</v>
      </c>
      <c r="D377" s="90">
        <f t="shared" si="81"/>
        <v>62</v>
      </c>
      <c r="E377" s="90">
        <f t="shared" si="82"/>
        <v>3</v>
      </c>
      <c r="F377" s="91">
        <f t="shared" si="78"/>
        <v>71</v>
      </c>
      <c r="G377" s="92">
        <f t="shared" si="83"/>
        <v>0.25957855738757146</v>
      </c>
      <c r="H377" s="91" t="s">
        <v>152</v>
      </c>
      <c r="I377" s="92">
        <f t="shared" si="84"/>
        <v>4</v>
      </c>
      <c r="J377" s="93">
        <f t="shared" si="79"/>
        <v>17</v>
      </c>
      <c r="K377" s="94">
        <f t="shared" si="85"/>
        <v>0.50683041930034523</v>
      </c>
      <c r="L377" s="95">
        <f t="shared" si="86"/>
        <v>75.053122658619813</v>
      </c>
      <c r="M377" s="95">
        <f t="shared" si="87"/>
        <v>237.56271128235628</v>
      </c>
      <c r="N377" s="95">
        <f t="shared" si="88"/>
        <v>27.046194702623445</v>
      </c>
      <c r="O377" s="95">
        <f t="shared" si="89"/>
        <v>253.35135574850949</v>
      </c>
      <c r="P377" s="96">
        <f t="shared" si="90"/>
        <v>184.82945479103142</v>
      </c>
    </row>
    <row r="378" spans="1:16">
      <c r="A378" s="88" t="str">
        <f t="shared" si="77"/>
        <v>Sakhir</v>
      </c>
      <c r="B378" s="89">
        <f t="shared" si="76"/>
        <v>75.053122658619813</v>
      </c>
      <c r="C378" s="90">
        <f t="shared" si="80"/>
        <v>0</v>
      </c>
      <c r="D378" s="90">
        <f t="shared" si="81"/>
        <v>62</v>
      </c>
      <c r="E378" s="90">
        <f t="shared" si="82"/>
        <v>3</v>
      </c>
      <c r="F378" s="91">
        <f t="shared" si="78"/>
        <v>72</v>
      </c>
      <c r="G378" s="92">
        <f t="shared" si="83"/>
        <v>0.25957855738757146</v>
      </c>
      <c r="H378" s="91" t="s">
        <v>152</v>
      </c>
      <c r="I378" s="92">
        <f t="shared" si="84"/>
        <v>4</v>
      </c>
      <c r="J378" s="93">
        <f t="shared" si="79"/>
        <v>17</v>
      </c>
      <c r="K378" s="94">
        <f t="shared" si="85"/>
        <v>0.50683041930034523</v>
      </c>
      <c r="L378" s="95">
        <f t="shared" si="86"/>
        <v>75.053122658619813</v>
      </c>
      <c r="M378" s="95">
        <f t="shared" si="87"/>
        <v>237.56271128235628</v>
      </c>
      <c r="N378" s="95">
        <f t="shared" si="88"/>
        <v>27.305773260011016</v>
      </c>
      <c r="O378" s="95">
        <f t="shared" si="89"/>
        <v>253.35135574850949</v>
      </c>
      <c r="P378" s="96">
        <f t="shared" si="90"/>
        <v>184.1718089966576</v>
      </c>
    </row>
    <row r="379" spans="1:16">
      <c r="A379" s="88" t="str">
        <f t="shared" si="77"/>
        <v>Sakhir</v>
      </c>
      <c r="B379" s="89">
        <f t="shared" si="76"/>
        <v>75.053122658619813</v>
      </c>
      <c r="C379" s="90">
        <f t="shared" si="80"/>
        <v>0</v>
      </c>
      <c r="D379" s="90">
        <f t="shared" si="81"/>
        <v>62</v>
      </c>
      <c r="E379" s="90">
        <f t="shared" si="82"/>
        <v>3</v>
      </c>
      <c r="F379" s="91">
        <f t="shared" si="78"/>
        <v>73</v>
      </c>
      <c r="G379" s="92">
        <f t="shared" si="83"/>
        <v>0.25957855738757146</v>
      </c>
      <c r="H379" s="91" t="s">
        <v>152</v>
      </c>
      <c r="I379" s="92">
        <f t="shared" si="84"/>
        <v>4</v>
      </c>
      <c r="J379" s="93">
        <f t="shared" si="79"/>
        <v>17</v>
      </c>
      <c r="K379" s="94">
        <f t="shared" si="85"/>
        <v>0.50683041930034523</v>
      </c>
      <c r="L379" s="95">
        <f t="shared" si="86"/>
        <v>75.053122658619813</v>
      </c>
      <c r="M379" s="95">
        <f t="shared" si="87"/>
        <v>237.56271128235628</v>
      </c>
      <c r="N379" s="95">
        <f t="shared" si="88"/>
        <v>27.565351817398586</v>
      </c>
      <c r="O379" s="95">
        <f t="shared" si="89"/>
        <v>253.35135574850949</v>
      </c>
      <c r="P379" s="96">
        <f t="shared" si="90"/>
        <v>183.51416320228378</v>
      </c>
    </row>
    <row r="380" spans="1:16">
      <c r="A380" s="88" t="str">
        <f t="shared" si="77"/>
        <v>Sakhir</v>
      </c>
      <c r="B380" s="89">
        <f t="shared" si="76"/>
        <v>75.053122658619813</v>
      </c>
      <c r="C380" s="90">
        <f t="shared" si="80"/>
        <v>0</v>
      </c>
      <c r="D380" s="90">
        <f t="shared" si="81"/>
        <v>62</v>
      </c>
      <c r="E380" s="90">
        <f t="shared" si="82"/>
        <v>3</v>
      </c>
      <c r="F380" s="91">
        <f t="shared" si="78"/>
        <v>74</v>
      </c>
      <c r="G380" s="92">
        <f t="shared" si="83"/>
        <v>0.25957855738757146</v>
      </c>
      <c r="H380" s="91" t="s">
        <v>152</v>
      </c>
      <c r="I380" s="92">
        <f t="shared" si="84"/>
        <v>4</v>
      </c>
      <c r="J380" s="93">
        <f t="shared" si="79"/>
        <v>17</v>
      </c>
      <c r="K380" s="94">
        <f t="shared" si="85"/>
        <v>0.50683041930034523</v>
      </c>
      <c r="L380" s="95">
        <f t="shared" si="86"/>
        <v>75.053122658619813</v>
      </c>
      <c r="M380" s="95">
        <f t="shared" si="87"/>
        <v>237.56271128235628</v>
      </c>
      <c r="N380" s="95">
        <f t="shared" si="88"/>
        <v>27.824930374786156</v>
      </c>
      <c r="O380" s="95">
        <f t="shared" si="89"/>
        <v>253.35135574850949</v>
      </c>
      <c r="P380" s="96">
        <f t="shared" si="90"/>
        <v>182.85651740790993</v>
      </c>
    </row>
    <row r="381" spans="1:16">
      <c r="A381" s="88" t="str">
        <f t="shared" si="77"/>
        <v>Sakhir</v>
      </c>
      <c r="B381" s="89">
        <f t="shared" si="76"/>
        <v>75.053122658619813</v>
      </c>
      <c r="C381" s="90">
        <f t="shared" si="80"/>
        <v>0</v>
      </c>
      <c r="D381" s="90">
        <f t="shared" si="81"/>
        <v>62</v>
      </c>
      <c r="E381" s="90">
        <f t="shared" si="82"/>
        <v>3</v>
      </c>
      <c r="F381" s="91">
        <f t="shared" si="78"/>
        <v>75</v>
      </c>
      <c r="G381" s="92">
        <f t="shared" si="83"/>
        <v>0.25957855738757146</v>
      </c>
      <c r="H381" s="91" t="s">
        <v>152</v>
      </c>
      <c r="I381" s="92">
        <f t="shared" si="84"/>
        <v>4</v>
      </c>
      <c r="J381" s="93">
        <f t="shared" si="79"/>
        <v>17</v>
      </c>
      <c r="K381" s="94">
        <f t="shared" si="85"/>
        <v>0.50683041930034523</v>
      </c>
      <c r="L381" s="95">
        <f t="shared" si="86"/>
        <v>75.053122658619813</v>
      </c>
      <c r="M381" s="95">
        <f t="shared" si="87"/>
        <v>237.56271128235628</v>
      </c>
      <c r="N381" s="95">
        <f t="shared" si="88"/>
        <v>28.084508932173726</v>
      </c>
      <c r="O381" s="95">
        <f t="shared" si="89"/>
        <v>253.35135574850949</v>
      </c>
      <c r="P381" s="96">
        <f t="shared" si="90"/>
        <v>182.19887161353611</v>
      </c>
    </row>
    <row r="382" spans="1:16">
      <c r="A382" s="88" t="str">
        <f t="shared" si="77"/>
        <v>Sakhir</v>
      </c>
      <c r="B382" s="89">
        <f t="shared" si="76"/>
        <v>75.053122658619813</v>
      </c>
      <c r="C382" s="90">
        <f t="shared" si="80"/>
        <v>0</v>
      </c>
      <c r="D382" s="90">
        <f t="shared" si="81"/>
        <v>62</v>
      </c>
      <c r="E382" s="90">
        <f t="shared" si="82"/>
        <v>3</v>
      </c>
      <c r="F382" s="91">
        <f t="shared" si="78"/>
        <v>76</v>
      </c>
      <c r="G382" s="92">
        <f t="shared" si="83"/>
        <v>0.25957855738757146</v>
      </c>
      <c r="H382" s="91" t="s">
        <v>152</v>
      </c>
      <c r="I382" s="92">
        <f t="shared" si="84"/>
        <v>4</v>
      </c>
      <c r="J382" s="93">
        <f t="shared" si="79"/>
        <v>17</v>
      </c>
      <c r="K382" s="94">
        <f t="shared" si="85"/>
        <v>0.50683041930034523</v>
      </c>
      <c r="L382" s="95">
        <f t="shared" si="86"/>
        <v>75.053122658619813</v>
      </c>
      <c r="M382" s="95">
        <f t="shared" si="87"/>
        <v>237.56271128235628</v>
      </c>
      <c r="N382" s="95">
        <f t="shared" si="88"/>
        <v>28.344087489561296</v>
      </c>
      <c r="O382" s="95">
        <f t="shared" si="89"/>
        <v>253.35135574850949</v>
      </c>
      <c r="P382" s="96">
        <f t="shared" si="90"/>
        <v>181.54122581916226</v>
      </c>
    </row>
    <row r="383" spans="1:16">
      <c r="A383" s="88" t="str">
        <f t="shared" si="77"/>
        <v>Sakhir</v>
      </c>
      <c r="B383" s="89">
        <f t="shared" si="76"/>
        <v>75.053122658619813</v>
      </c>
      <c r="C383" s="90">
        <f t="shared" si="80"/>
        <v>0</v>
      </c>
      <c r="D383" s="90">
        <f t="shared" si="81"/>
        <v>62</v>
      </c>
      <c r="E383" s="90">
        <f t="shared" si="82"/>
        <v>3</v>
      </c>
      <c r="F383" s="91">
        <f t="shared" si="78"/>
        <v>77</v>
      </c>
      <c r="G383" s="92">
        <f t="shared" si="83"/>
        <v>0.25957855738757146</v>
      </c>
      <c r="H383" s="91" t="s">
        <v>152</v>
      </c>
      <c r="I383" s="92">
        <f t="shared" si="84"/>
        <v>4</v>
      </c>
      <c r="J383" s="93">
        <f t="shared" si="79"/>
        <v>17</v>
      </c>
      <c r="K383" s="94">
        <f t="shared" si="85"/>
        <v>0.50683041930034523</v>
      </c>
      <c r="L383" s="95">
        <f t="shared" si="86"/>
        <v>75.053122658619813</v>
      </c>
      <c r="M383" s="95">
        <f t="shared" si="87"/>
        <v>237.56271128235628</v>
      </c>
      <c r="N383" s="95">
        <f t="shared" si="88"/>
        <v>28.603666046948874</v>
      </c>
      <c r="O383" s="95">
        <f t="shared" si="89"/>
        <v>253.35135574850949</v>
      </c>
      <c r="P383" s="96">
        <f t="shared" si="90"/>
        <v>180.88358002478844</v>
      </c>
    </row>
    <row r="384" spans="1:16">
      <c r="A384" s="88" t="str">
        <f t="shared" si="77"/>
        <v>Sakhir</v>
      </c>
      <c r="B384" s="89">
        <f t="shared" si="76"/>
        <v>75.053122658619813</v>
      </c>
      <c r="C384" s="90">
        <f t="shared" si="80"/>
        <v>0</v>
      </c>
      <c r="D384" s="90">
        <f t="shared" si="81"/>
        <v>62</v>
      </c>
      <c r="E384" s="90">
        <f t="shared" si="82"/>
        <v>3</v>
      </c>
      <c r="F384" s="91">
        <f t="shared" si="78"/>
        <v>78</v>
      </c>
      <c r="G384" s="92">
        <f t="shared" si="83"/>
        <v>0.25957855738757146</v>
      </c>
      <c r="H384" s="91" t="s">
        <v>152</v>
      </c>
      <c r="I384" s="92">
        <f t="shared" si="84"/>
        <v>4</v>
      </c>
      <c r="J384" s="93">
        <f t="shared" si="79"/>
        <v>17</v>
      </c>
      <c r="K384" s="94">
        <f t="shared" si="85"/>
        <v>0.50683041930034523</v>
      </c>
      <c r="L384" s="95">
        <f t="shared" si="86"/>
        <v>75.053122658619813</v>
      </c>
      <c r="M384" s="95">
        <f t="shared" si="87"/>
        <v>237.56271128235628</v>
      </c>
      <c r="N384" s="95">
        <f t="shared" si="88"/>
        <v>28.863244604336444</v>
      </c>
      <c r="O384" s="95">
        <f t="shared" si="89"/>
        <v>253.35135574850949</v>
      </c>
      <c r="P384" s="96">
        <f t="shared" si="90"/>
        <v>180.22593423041459</v>
      </c>
    </row>
    <row r="385" spans="1:16">
      <c r="A385" s="88" t="str">
        <f t="shared" si="77"/>
        <v>Sakhir</v>
      </c>
      <c r="B385" s="89">
        <f t="shared" si="76"/>
        <v>75.053122658619813</v>
      </c>
      <c r="C385" s="90">
        <f t="shared" si="80"/>
        <v>0</v>
      </c>
      <c r="D385" s="90">
        <f t="shared" si="81"/>
        <v>62</v>
      </c>
      <c r="E385" s="90">
        <f t="shared" si="82"/>
        <v>3</v>
      </c>
      <c r="F385" s="91">
        <f t="shared" si="78"/>
        <v>79</v>
      </c>
      <c r="G385" s="92">
        <f t="shared" si="83"/>
        <v>0.25957855738757146</v>
      </c>
      <c r="H385" s="91" t="s">
        <v>152</v>
      </c>
      <c r="I385" s="92">
        <f t="shared" si="84"/>
        <v>4</v>
      </c>
      <c r="J385" s="93">
        <f t="shared" si="79"/>
        <v>17</v>
      </c>
      <c r="K385" s="94">
        <f t="shared" si="85"/>
        <v>0.50683041930034523</v>
      </c>
      <c r="L385" s="95">
        <f t="shared" si="86"/>
        <v>75.053122658619813</v>
      </c>
      <c r="M385" s="95">
        <f t="shared" si="87"/>
        <v>237.56271128235628</v>
      </c>
      <c r="N385" s="95">
        <f t="shared" si="88"/>
        <v>29.122823161724014</v>
      </c>
      <c r="O385" s="95">
        <f t="shared" si="89"/>
        <v>253.35135574850949</v>
      </c>
      <c r="P385" s="96">
        <f t="shared" si="90"/>
        <v>179.56828843604075</v>
      </c>
    </row>
    <row r="386" spans="1:16">
      <c r="A386" s="88" t="str">
        <f t="shared" si="77"/>
        <v>Sakhir</v>
      </c>
      <c r="B386" s="89">
        <f t="shared" si="76"/>
        <v>75.053122658619813</v>
      </c>
      <c r="C386" s="90">
        <f t="shared" si="80"/>
        <v>0</v>
      </c>
      <c r="D386" s="90">
        <f t="shared" si="81"/>
        <v>62</v>
      </c>
      <c r="E386" s="90">
        <f t="shared" si="82"/>
        <v>3</v>
      </c>
      <c r="F386" s="91">
        <f t="shared" si="78"/>
        <v>80</v>
      </c>
      <c r="G386" s="92">
        <f t="shared" si="83"/>
        <v>0.25957855738757146</v>
      </c>
      <c r="H386" s="91" t="s">
        <v>152</v>
      </c>
      <c r="I386" s="92">
        <f t="shared" si="84"/>
        <v>4</v>
      </c>
      <c r="J386" s="93">
        <f t="shared" si="79"/>
        <v>17</v>
      </c>
      <c r="K386" s="94">
        <f t="shared" si="85"/>
        <v>0.50683041930034523</v>
      </c>
      <c r="L386" s="95">
        <f t="shared" si="86"/>
        <v>75.053122658619813</v>
      </c>
      <c r="M386" s="95">
        <f t="shared" si="87"/>
        <v>237.56271128235628</v>
      </c>
      <c r="N386" s="95">
        <f t="shared" si="88"/>
        <v>29.382401719111584</v>
      </c>
      <c r="O386" s="95">
        <f t="shared" si="89"/>
        <v>253.35135574850949</v>
      </c>
      <c r="P386" s="96">
        <f t="shared" si="90"/>
        <v>178.91064264166693</v>
      </c>
    </row>
    <row r="387" spans="1:16">
      <c r="A387" s="88" t="str">
        <f t="shared" si="77"/>
        <v>Sakhir</v>
      </c>
      <c r="B387" s="89">
        <f t="shared" ref="B387:B406" si="91">VLOOKUP(A387,$R$3:$S$60,2,0)</f>
        <v>75.053122658619813</v>
      </c>
      <c r="C387" s="90">
        <f t="shared" si="80"/>
        <v>0</v>
      </c>
      <c r="D387" s="90">
        <f t="shared" si="81"/>
        <v>62</v>
      </c>
      <c r="E387" s="90">
        <f t="shared" si="82"/>
        <v>3</v>
      </c>
      <c r="F387" s="91">
        <f t="shared" si="78"/>
        <v>81</v>
      </c>
      <c r="G387" s="92">
        <f t="shared" si="83"/>
        <v>0.25957855738757146</v>
      </c>
      <c r="H387" s="91" t="s">
        <v>152</v>
      </c>
      <c r="I387" s="92">
        <f t="shared" si="84"/>
        <v>4</v>
      </c>
      <c r="J387" s="93">
        <f t="shared" si="79"/>
        <v>17</v>
      </c>
      <c r="K387" s="94">
        <f t="shared" si="85"/>
        <v>0.50683041930034523</v>
      </c>
      <c r="L387" s="95">
        <f t="shared" si="86"/>
        <v>75.053122658619813</v>
      </c>
      <c r="M387" s="95">
        <f t="shared" si="87"/>
        <v>237.56271128235628</v>
      </c>
      <c r="N387" s="95">
        <f t="shared" si="88"/>
        <v>29.641980276499154</v>
      </c>
      <c r="O387" s="95">
        <f t="shared" si="89"/>
        <v>253.35135574850949</v>
      </c>
      <c r="P387" s="96">
        <f t="shared" si="90"/>
        <v>178.2529968472931</v>
      </c>
    </row>
    <row r="388" spans="1:16">
      <c r="A388" s="88" t="str">
        <f t="shared" si="77"/>
        <v>Sakhir</v>
      </c>
      <c r="B388" s="89">
        <f t="shared" si="91"/>
        <v>75.053122658619813</v>
      </c>
      <c r="C388" s="90">
        <f t="shared" si="80"/>
        <v>0</v>
      </c>
      <c r="D388" s="90">
        <f t="shared" si="81"/>
        <v>62</v>
      </c>
      <c r="E388" s="90">
        <f t="shared" si="82"/>
        <v>3</v>
      </c>
      <c r="F388" s="91">
        <f t="shared" si="78"/>
        <v>82</v>
      </c>
      <c r="G388" s="92">
        <f t="shared" si="83"/>
        <v>0.25957855738757146</v>
      </c>
      <c r="H388" s="91" t="s">
        <v>152</v>
      </c>
      <c r="I388" s="92">
        <f t="shared" si="84"/>
        <v>4</v>
      </c>
      <c r="J388" s="93">
        <f t="shared" si="79"/>
        <v>17</v>
      </c>
      <c r="K388" s="94">
        <f t="shared" si="85"/>
        <v>0.50683041930034523</v>
      </c>
      <c r="L388" s="95">
        <f t="shared" si="86"/>
        <v>75.053122658619813</v>
      </c>
      <c r="M388" s="95">
        <f t="shared" si="87"/>
        <v>237.56271128235628</v>
      </c>
      <c r="N388" s="95">
        <f t="shared" si="88"/>
        <v>29.901558833886725</v>
      </c>
      <c r="O388" s="95">
        <f t="shared" si="89"/>
        <v>253.35135574850949</v>
      </c>
      <c r="P388" s="96">
        <f t="shared" si="90"/>
        <v>177.59535105291928</v>
      </c>
    </row>
    <row r="389" spans="1:16">
      <c r="A389" s="88" t="str">
        <f t="shared" ref="A389:A406" si="92">A388</f>
        <v>Sakhir</v>
      </c>
      <c r="B389" s="89">
        <f t="shared" si="91"/>
        <v>75.053122658619813</v>
      </c>
      <c r="C389" s="90">
        <f t="shared" si="80"/>
        <v>0</v>
      </c>
      <c r="D389" s="90">
        <f t="shared" si="81"/>
        <v>62</v>
      </c>
      <c r="E389" s="90">
        <f t="shared" si="82"/>
        <v>3</v>
      </c>
      <c r="F389" s="91">
        <f t="shared" ref="F389:F406" si="93">F388+1</f>
        <v>83</v>
      </c>
      <c r="G389" s="92">
        <f t="shared" si="83"/>
        <v>0.25957855738757146</v>
      </c>
      <c r="H389" s="91" t="s">
        <v>152</v>
      </c>
      <c r="I389" s="92">
        <f t="shared" si="84"/>
        <v>4</v>
      </c>
      <c r="J389" s="93">
        <f t="shared" ref="J389:J406" si="94">J388</f>
        <v>17</v>
      </c>
      <c r="K389" s="94">
        <f t="shared" si="85"/>
        <v>0.50683041930034523</v>
      </c>
      <c r="L389" s="95">
        <f t="shared" si="86"/>
        <v>75.053122658619813</v>
      </c>
      <c r="M389" s="95">
        <f t="shared" si="87"/>
        <v>237.56271128235628</v>
      </c>
      <c r="N389" s="95">
        <f t="shared" si="88"/>
        <v>30.161137391274302</v>
      </c>
      <c r="O389" s="95">
        <f t="shared" si="89"/>
        <v>253.35135574850949</v>
      </c>
      <c r="P389" s="96">
        <f t="shared" si="90"/>
        <v>176.93770525854541</v>
      </c>
    </row>
    <row r="390" spans="1:16">
      <c r="A390" s="88" t="str">
        <f t="shared" si="92"/>
        <v>Sakhir</v>
      </c>
      <c r="B390" s="89">
        <f t="shared" si="91"/>
        <v>75.053122658619813</v>
      </c>
      <c r="C390" s="90">
        <f t="shared" si="80"/>
        <v>0</v>
      </c>
      <c r="D390" s="90">
        <f t="shared" si="81"/>
        <v>62</v>
      </c>
      <c r="E390" s="90">
        <f t="shared" si="82"/>
        <v>3</v>
      </c>
      <c r="F390" s="91">
        <f t="shared" si="93"/>
        <v>84</v>
      </c>
      <c r="G390" s="92">
        <f t="shared" si="83"/>
        <v>0.25957855738757146</v>
      </c>
      <c r="H390" s="91" t="s">
        <v>152</v>
      </c>
      <c r="I390" s="92">
        <f t="shared" si="84"/>
        <v>4</v>
      </c>
      <c r="J390" s="93">
        <f t="shared" si="94"/>
        <v>17</v>
      </c>
      <c r="K390" s="94">
        <f t="shared" si="85"/>
        <v>0.50683041930034523</v>
      </c>
      <c r="L390" s="95">
        <f t="shared" si="86"/>
        <v>75.053122658619813</v>
      </c>
      <c r="M390" s="95">
        <f t="shared" si="87"/>
        <v>237.56271128235628</v>
      </c>
      <c r="N390" s="95">
        <f t="shared" si="88"/>
        <v>30.420715948661872</v>
      </c>
      <c r="O390" s="95">
        <f t="shared" si="89"/>
        <v>253.35135574850949</v>
      </c>
      <c r="P390" s="96">
        <f t="shared" si="90"/>
        <v>176.28005946417159</v>
      </c>
    </row>
    <row r="391" spans="1:16">
      <c r="A391" s="88" t="str">
        <f t="shared" si="92"/>
        <v>Sakhir</v>
      </c>
      <c r="B391" s="89">
        <f t="shared" si="91"/>
        <v>75.053122658619813</v>
      </c>
      <c r="C391" s="90">
        <f t="shared" ref="C391:C406" si="95">C390</f>
        <v>0</v>
      </c>
      <c r="D391" s="90">
        <f t="shared" ref="D391:D406" si="96">D390</f>
        <v>62</v>
      </c>
      <c r="E391" s="90">
        <f t="shared" ref="E391:E406" si="97">E390</f>
        <v>3</v>
      </c>
      <c r="F391" s="91">
        <f t="shared" si="93"/>
        <v>85</v>
      </c>
      <c r="G391" s="92">
        <f t="shared" ref="G391:G406" si="98">VLOOKUP(H391,$U$5:$X$8,3,0)</f>
        <v>0.25957855738757146</v>
      </c>
      <c r="H391" s="91" t="s">
        <v>152</v>
      </c>
      <c r="I391" s="92">
        <f t="shared" ref="I391:I406" si="99">VLOOKUP(H391,$U$5:$V$8,2,0)</f>
        <v>4</v>
      </c>
      <c r="J391" s="93">
        <f t="shared" si="94"/>
        <v>17</v>
      </c>
      <c r="K391" s="94">
        <f t="shared" ref="K391:K406" si="100">VLOOKUP(H391,$U$5:$X$8,4,0)</f>
        <v>0.50683041930034523</v>
      </c>
      <c r="L391" s="95">
        <f t="shared" ref="L391:L406" si="101">B391</f>
        <v>75.053122658619813</v>
      </c>
      <c r="M391" s="95">
        <f t="shared" ref="M391:M406" si="102">C391*$V$10+$V$11*D391+E391*$V$12+I391*$V$13</f>
        <v>237.56271128235628</v>
      </c>
      <c r="N391" s="95">
        <f t="shared" ref="N391:N406" si="103">G391*F391+J391*K391</f>
        <v>30.680294506049442</v>
      </c>
      <c r="O391" s="95">
        <f t="shared" ref="O391:O406" si="104">L391+((L391*M391)/100)</f>
        <v>253.35135574850949</v>
      </c>
      <c r="P391" s="96">
        <f t="shared" ref="P391:P406" si="105">O391-((O391*N391)/100)</f>
        <v>175.62241366979777</v>
      </c>
    </row>
    <row r="392" spans="1:16">
      <c r="A392" s="88" t="str">
        <f t="shared" si="92"/>
        <v>Sakhir</v>
      </c>
      <c r="B392" s="89">
        <f t="shared" si="91"/>
        <v>75.053122658619813</v>
      </c>
      <c r="C392" s="90">
        <f t="shared" si="95"/>
        <v>0</v>
      </c>
      <c r="D392" s="90">
        <f t="shared" si="96"/>
        <v>62</v>
      </c>
      <c r="E392" s="90">
        <f t="shared" si="97"/>
        <v>3</v>
      </c>
      <c r="F392" s="91">
        <f t="shared" si="93"/>
        <v>86</v>
      </c>
      <c r="G392" s="92">
        <f t="shared" si="98"/>
        <v>0.25957855738757146</v>
      </c>
      <c r="H392" s="91" t="s">
        <v>152</v>
      </c>
      <c r="I392" s="92">
        <f t="shared" si="99"/>
        <v>4</v>
      </c>
      <c r="J392" s="93">
        <f t="shared" si="94"/>
        <v>17</v>
      </c>
      <c r="K392" s="94">
        <f t="shared" si="100"/>
        <v>0.50683041930034523</v>
      </c>
      <c r="L392" s="95">
        <f t="shared" si="101"/>
        <v>75.053122658619813</v>
      </c>
      <c r="M392" s="95">
        <f t="shared" si="102"/>
        <v>237.56271128235628</v>
      </c>
      <c r="N392" s="95">
        <f t="shared" si="103"/>
        <v>30.939873063437012</v>
      </c>
      <c r="O392" s="95">
        <f t="shared" si="104"/>
        <v>253.35135574850949</v>
      </c>
      <c r="P392" s="96">
        <f t="shared" si="105"/>
        <v>174.96476787542395</v>
      </c>
    </row>
    <row r="393" spans="1:16">
      <c r="A393" s="88" t="str">
        <f t="shared" si="92"/>
        <v>Sakhir</v>
      </c>
      <c r="B393" s="89">
        <f t="shared" si="91"/>
        <v>75.053122658619813</v>
      </c>
      <c r="C393" s="90">
        <f t="shared" si="95"/>
        <v>0</v>
      </c>
      <c r="D393" s="90">
        <f t="shared" si="96"/>
        <v>62</v>
      </c>
      <c r="E393" s="90">
        <f t="shared" si="97"/>
        <v>3</v>
      </c>
      <c r="F393" s="91">
        <f t="shared" si="93"/>
        <v>87</v>
      </c>
      <c r="G393" s="92">
        <f t="shared" si="98"/>
        <v>0.25957855738757146</v>
      </c>
      <c r="H393" s="91" t="s">
        <v>152</v>
      </c>
      <c r="I393" s="92">
        <f t="shared" si="99"/>
        <v>4</v>
      </c>
      <c r="J393" s="93">
        <f t="shared" si="94"/>
        <v>17</v>
      </c>
      <c r="K393" s="94">
        <f t="shared" si="100"/>
        <v>0.50683041930034523</v>
      </c>
      <c r="L393" s="95">
        <f t="shared" si="101"/>
        <v>75.053122658619813</v>
      </c>
      <c r="M393" s="95">
        <f t="shared" si="102"/>
        <v>237.56271128235628</v>
      </c>
      <c r="N393" s="95">
        <f t="shared" si="103"/>
        <v>31.199451620824583</v>
      </c>
      <c r="O393" s="95">
        <f t="shared" si="104"/>
        <v>253.35135574850949</v>
      </c>
      <c r="P393" s="96">
        <f t="shared" si="105"/>
        <v>174.30712208105007</v>
      </c>
    </row>
    <row r="394" spans="1:16">
      <c r="A394" s="88" t="str">
        <f t="shared" si="92"/>
        <v>Sakhir</v>
      </c>
      <c r="B394" s="89">
        <f t="shared" si="91"/>
        <v>75.053122658619813</v>
      </c>
      <c r="C394" s="90">
        <f t="shared" si="95"/>
        <v>0</v>
      </c>
      <c r="D394" s="90">
        <f t="shared" si="96"/>
        <v>62</v>
      </c>
      <c r="E394" s="90">
        <f t="shared" si="97"/>
        <v>3</v>
      </c>
      <c r="F394" s="91">
        <f t="shared" si="93"/>
        <v>88</v>
      </c>
      <c r="G394" s="92">
        <f t="shared" si="98"/>
        <v>0.25957855738757146</v>
      </c>
      <c r="H394" s="91" t="s">
        <v>152</v>
      </c>
      <c r="I394" s="92">
        <f t="shared" si="99"/>
        <v>4</v>
      </c>
      <c r="J394" s="93">
        <f t="shared" si="94"/>
        <v>17</v>
      </c>
      <c r="K394" s="94">
        <f t="shared" si="100"/>
        <v>0.50683041930034523</v>
      </c>
      <c r="L394" s="95">
        <f t="shared" si="101"/>
        <v>75.053122658619813</v>
      </c>
      <c r="M394" s="95">
        <f t="shared" si="102"/>
        <v>237.56271128235628</v>
      </c>
      <c r="N394" s="95">
        <f t="shared" si="103"/>
        <v>31.45903017821216</v>
      </c>
      <c r="O394" s="95">
        <f t="shared" si="104"/>
        <v>253.35135574850949</v>
      </c>
      <c r="P394" s="96">
        <f t="shared" si="105"/>
        <v>173.64947628667625</v>
      </c>
    </row>
    <row r="395" spans="1:16">
      <c r="A395" s="88" t="str">
        <f t="shared" si="92"/>
        <v>Sakhir</v>
      </c>
      <c r="B395" s="89">
        <f t="shared" si="91"/>
        <v>75.053122658619813</v>
      </c>
      <c r="C395" s="90">
        <f t="shared" si="95"/>
        <v>0</v>
      </c>
      <c r="D395" s="90">
        <f t="shared" si="96"/>
        <v>62</v>
      </c>
      <c r="E395" s="90">
        <f t="shared" si="97"/>
        <v>3</v>
      </c>
      <c r="F395" s="91">
        <f t="shared" si="93"/>
        <v>89</v>
      </c>
      <c r="G395" s="92">
        <f t="shared" si="98"/>
        <v>0.25957855738757146</v>
      </c>
      <c r="H395" s="91" t="s">
        <v>152</v>
      </c>
      <c r="I395" s="92">
        <f t="shared" si="99"/>
        <v>4</v>
      </c>
      <c r="J395" s="93">
        <f t="shared" si="94"/>
        <v>17</v>
      </c>
      <c r="K395" s="94">
        <f t="shared" si="100"/>
        <v>0.50683041930034523</v>
      </c>
      <c r="L395" s="95">
        <f t="shared" si="101"/>
        <v>75.053122658619813</v>
      </c>
      <c r="M395" s="95">
        <f t="shared" si="102"/>
        <v>237.56271128235628</v>
      </c>
      <c r="N395" s="95">
        <f t="shared" si="103"/>
        <v>31.71860873559973</v>
      </c>
      <c r="O395" s="95">
        <f t="shared" si="104"/>
        <v>253.35135574850949</v>
      </c>
      <c r="P395" s="96">
        <f t="shared" si="105"/>
        <v>172.99183049230243</v>
      </c>
    </row>
    <row r="396" spans="1:16">
      <c r="A396" s="88" t="str">
        <f t="shared" si="92"/>
        <v>Sakhir</v>
      </c>
      <c r="B396" s="89">
        <f t="shared" si="91"/>
        <v>75.053122658619813</v>
      </c>
      <c r="C396" s="90">
        <f t="shared" si="95"/>
        <v>0</v>
      </c>
      <c r="D396" s="90">
        <f t="shared" si="96"/>
        <v>62</v>
      </c>
      <c r="E396" s="90">
        <f t="shared" si="97"/>
        <v>3</v>
      </c>
      <c r="F396" s="91">
        <f t="shared" si="93"/>
        <v>90</v>
      </c>
      <c r="G396" s="92">
        <f t="shared" si="98"/>
        <v>0.25957855738757146</v>
      </c>
      <c r="H396" s="91" t="s">
        <v>152</v>
      </c>
      <c r="I396" s="92">
        <f t="shared" si="99"/>
        <v>4</v>
      </c>
      <c r="J396" s="93">
        <f t="shared" si="94"/>
        <v>17</v>
      </c>
      <c r="K396" s="94">
        <f t="shared" si="100"/>
        <v>0.50683041930034523</v>
      </c>
      <c r="L396" s="95">
        <f t="shared" si="101"/>
        <v>75.053122658619813</v>
      </c>
      <c r="M396" s="95">
        <f t="shared" si="102"/>
        <v>237.56271128235628</v>
      </c>
      <c r="N396" s="95">
        <f t="shared" si="103"/>
        <v>31.9781872929873</v>
      </c>
      <c r="O396" s="95">
        <f t="shared" si="104"/>
        <v>253.35135574850949</v>
      </c>
      <c r="P396" s="96">
        <f t="shared" si="105"/>
        <v>172.33418469792858</v>
      </c>
    </row>
    <row r="397" spans="1:16">
      <c r="A397" s="88" t="str">
        <f t="shared" si="92"/>
        <v>Sakhir</v>
      </c>
      <c r="B397" s="89">
        <f t="shared" si="91"/>
        <v>75.053122658619813</v>
      </c>
      <c r="C397" s="90">
        <f t="shared" si="95"/>
        <v>0</v>
      </c>
      <c r="D397" s="90">
        <f t="shared" si="96"/>
        <v>62</v>
      </c>
      <c r="E397" s="90">
        <f t="shared" si="97"/>
        <v>3</v>
      </c>
      <c r="F397" s="91">
        <f t="shared" si="93"/>
        <v>91</v>
      </c>
      <c r="G397" s="92">
        <f t="shared" si="98"/>
        <v>0.25957855738757146</v>
      </c>
      <c r="H397" s="91" t="s">
        <v>152</v>
      </c>
      <c r="I397" s="92">
        <f t="shared" si="99"/>
        <v>4</v>
      </c>
      <c r="J397" s="93">
        <f t="shared" si="94"/>
        <v>17</v>
      </c>
      <c r="K397" s="94">
        <f t="shared" si="100"/>
        <v>0.50683041930034523</v>
      </c>
      <c r="L397" s="95">
        <f t="shared" si="101"/>
        <v>75.053122658619813</v>
      </c>
      <c r="M397" s="95">
        <f t="shared" si="102"/>
        <v>237.56271128235628</v>
      </c>
      <c r="N397" s="95">
        <f t="shared" si="103"/>
        <v>32.237765850374871</v>
      </c>
      <c r="O397" s="95">
        <f t="shared" si="104"/>
        <v>253.35135574850949</v>
      </c>
      <c r="P397" s="96">
        <f t="shared" si="105"/>
        <v>171.67653890355473</v>
      </c>
    </row>
    <row r="398" spans="1:16">
      <c r="A398" s="88" t="str">
        <f t="shared" si="92"/>
        <v>Sakhir</v>
      </c>
      <c r="B398" s="89">
        <f t="shared" si="91"/>
        <v>75.053122658619813</v>
      </c>
      <c r="C398" s="90">
        <f t="shared" si="95"/>
        <v>0</v>
      </c>
      <c r="D398" s="90">
        <f t="shared" si="96"/>
        <v>62</v>
      </c>
      <c r="E398" s="90">
        <f t="shared" si="97"/>
        <v>3</v>
      </c>
      <c r="F398" s="91">
        <f t="shared" si="93"/>
        <v>92</v>
      </c>
      <c r="G398" s="92">
        <f t="shared" si="98"/>
        <v>0.25957855738757146</v>
      </c>
      <c r="H398" s="91" t="s">
        <v>152</v>
      </c>
      <c r="I398" s="92">
        <f t="shared" si="99"/>
        <v>4</v>
      </c>
      <c r="J398" s="93">
        <f t="shared" si="94"/>
        <v>17</v>
      </c>
      <c r="K398" s="94">
        <f t="shared" si="100"/>
        <v>0.50683041930034523</v>
      </c>
      <c r="L398" s="95">
        <f t="shared" si="101"/>
        <v>75.053122658619813</v>
      </c>
      <c r="M398" s="95">
        <f t="shared" si="102"/>
        <v>237.56271128235628</v>
      </c>
      <c r="N398" s="95">
        <f t="shared" si="103"/>
        <v>32.497344407762441</v>
      </c>
      <c r="O398" s="95">
        <f t="shared" si="104"/>
        <v>253.35135574850949</v>
      </c>
      <c r="P398" s="96">
        <f t="shared" si="105"/>
        <v>171.01889310918091</v>
      </c>
    </row>
    <row r="399" spans="1:16">
      <c r="A399" s="88" t="str">
        <f t="shared" si="92"/>
        <v>Sakhir</v>
      </c>
      <c r="B399" s="89">
        <f t="shared" si="91"/>
        <v>75.053122658619813</v>
      </c>
      <c r="C399" s="90">
        <f t="shared" si="95"/>
        <v>0</v>
      </c>
      <c r="D399" s="90">
        <f t="shared" si="96"/>
        <v>62</v>
      </c>
      <c r="E399" s="90">
        <f t="shared" si="97"/>
        <v>3</v>
      </c>
      <c r="F399" s="91">
        <f t="shared" si="93"/>
        <v>93</v>
      </c>
      <c r="G399" s="92">
        <f t="shared" si="98"/>
        <v>0.25957855738757146</v>
      </c>
      <c r="H399" s="91" t="s">
        <v>152</v>
      </c>
      <c r="I399" s="92">
        <f t="shared" si="99"/>
        <v>4</v>
      </c>
      <c r="J399" s="93">
        <f t="shared" si="94"/>
        <v>17</v>
      </c>
      <c r="K399" s="94">
        <f t="shared" si="100"/>
        <v>0.50683041930034523</v>
      </c>
      <c r="L399" s="95">
        <f t="shared" si="101"/>
        <v>75.053122658619813</v>
      </c>
      <c r="M399" s="95">
        <f t="shared" si="102"/>
        <v>237.56271128235628</v>
      </c>
      <c r="N399" s="95">
        <f t="shared" si="103"/>
        <v>32.756922965150011</v>
      </c>
      <c r="O399" s="95">
        <f t="shared" si="104"/>
        <v>253.35135574850949</v>
      </c>
      <c r="P399" s="96">
        <f t="shared" si="105"/>
        <v>170.36124731480709</v>
      </c>
    </row>
    <row r="400" spans="1:16">
      <c r="A400" s="88" t="str">
        <f t="shared" si="92"/>
        <v>Sakhir</v>
      </c>
      <c r="B400" s="89">
        <f t="shared" si="91"/>
        <v>75.053122658619813</v>
      </c>
      <c r="C400" s="90">
        <f t="shared" si="95"/>
        <v>0</v>
      </c>
      <c r="D400" s="90">
        <f t="shared" si="96"/>
        <v>62</v>
      </c>
      <c r="E400" s="90">
        <f t="shared" si="97"/>
        <v>3</v>
      </c>
      <c r="F400" s="91">
        <f t="shared" si="93"/>
        <v>94</v>
      </c>
      <c r="G400" s="92">
        <f t="shared" si="98"/>
        <v>0.25957855738757146</v>
      </c>
      <c r="H400" s="91" t="s">
        <v>152</v>
      </c>
      <c r="I400" s="92">
        <f t="shared" si="99"/>
        <v>4</v>
      </c>
      <c r="J400" s="93">
        <f t="shared" si="94"/>
        <v>17</v>
      </c>
      <c r="K400" s="94">
        <f t="shared" si="100"/>
        <v>0.50683041930034523</v>
      </c>
      <c r="L400" s="95">
        <f t="shared" si="101"/>
        <v>75.053122658619813</v>
      </c>
      <c r="M400" s="95">
        <f t="shared" si="102"/>
        <v>237.56271128235628</v>
      </c>
      <c r="N400" s="95">
        <f t="shared" si="103"/>
        <v>33.016501522537588</v>
      </c>
      <c r="O400" s="95">
        <f t="shared" si="104"/>
        <v>253.35135574850949</v>
      </c>
      <c r="P400" s="96">
        <f t="shared" si="105"/>
        <v>169.70360152043321</v>
      </c>
    </row>
    <row r="401" spans="1:16">
      <c r="A401" s="88" t="str">
        <f t="shared" si="92"/>
        <v>Sakhir</v>
      </c>
      <c r="B401" s="89">
        <f t="shared" si="91"/>
        <v>75.053122658619813</v>
      </c>
      <c r="C401" s="90">
        <f t="shared" si="95"/>
        <v>0</v>
      </c>
      <c r="D401" s="90">
        <f t="shared" si="96"/>
        <v>62</v>
      </c>
      <c r="E401" s="90">
        <f t="shared" si="97"/>
        <v>3</v>
      </c>
      <c r="F401" s="91">
        <f t="shared" si="93"/>
        <v>95</v>
      </c>
      <c r="G401" s="92">
        <f t="shared" si="98"/>
        <v>0.25957855738757146</v>
      </c>
      <c r="H401" s="91" t="s">
        <v>152</v>
      </c>
      <c r="I401" s="92">
        <f t="shared" si="99"/>
        <v>4</v>
      </c>
      <c r="J401" s="93">
        <f t="shared" si="94"/>
        <v>17</v>
      </c>
      <c r="K401" s="94">
        <f t="shared" si="100"/>
        <v>0.50683041930034523</v>
      </c>
      <c r="L401" s="95">
        <f t="shared" si="101"/>
        <v>75.053122658619813</v>
      </c>
      <c r="M401" s="95">
        <f t="shared" si="102"/>
        <v>237.56271128235628</v>
      </c>
      <c r="N401" s="95">
        <f t="shared" si="103"/>
        <v>33.276080079925158</v>
      </c>
      <c r="O401" s="95">
        <f t="shared" si="104"/>
        <v>253.35135574850949</v>
      </c>
      <c r="P401" s="96">
        <f t="shared" si="105"/>
        <v>169.04595572605939</v>
      </c>
    </row>
    <row r="402" spans="1:16">
      <c r="A402" s="88" t="str">
        <f t="shared" si="92"/>
        <v>Sakhir</v>
      </c>
      <c r="B402" s="89">
        <f t="shared" si="91"/>
        <v>75.053122658619813</v>
      </c>
      <c r="C402" s="90">
        <f t="shared" si="95"/>
        <v>0</v>
      </c>
      <c r="D402" s="90">
        <f t="shared" si="96"/>
        <v>62</v>
      </c>
      <c r="E402" s="90">
        <f t="shared" si="97"/>
        <v>3</v>
      </c>
      <c r="F402" s="91">
        <f t="shared" si="93"/>
        <v>96</v>
      </c>
      <c r="G402" s="92">
        <f t="shared" si="98"/>
        <v>0.25957855738757146</v>
      </c>
      <c r="H402" s="91" t="s">
        <v>152</v>
      </c>
      <c r="I402" s="92">
        <f t="shared" si="99"/>
        <v>4</v>
      </c>
      <c r="J402" s="93">
        <f t="shared" si="94"/>
        <v>17</v>
      </c>
      <c r="K402" s="94">
        <f t="shared" si="100"/>
        <v>0.50683041930034523</v>
      </c>
      <c r="L402" s="95">
        <f t="shared" si="101"/>
        <v>75.053122658619813</v>
      </c>
      <c r="M402" s="95">
        <f t="shared" si="102"/>
        <v>237.56271128235628</v>
      </c>
      <c r="N402" s="95">
        <f t="shared" si="103"/>
        <v>33.535658637312729</v>
      </c>
      <c r="O402" s="95">
        <f t="shared" si="104"/>
        <v>253.35135574850949</v>
      </c>
      <c r="P402" s="96">
        <f t="shared" si="105"/>
        <v>168.38830993168557</v>
      </c>
    </row>
    <row r="403" spans="1:16">
      <c r="A403" s="88" t="str">
        <f t="shared" si="92"/>
        <v>Sakhir</v>
      </c>
      <c r="B403" s="89">
        <f t="shared" si="91"/>
        <v>75.053122658619813</v>
      </c>
      <c r="C403" s="90">
        <f t="shared" si="95"/>
        <v>0</v>
      </c>
      <c r="D403" s="90">
        <f t="shared" si="96"/>
        <v>62</v>
      </c>
      <c r="E403" s="90">
        <f t="shared" si="97"/>
        <v>3</v>
      </c>
      <c r="F403" s="91">
        <f t="shared" si="93"/>
        <v>97</v>
      </c>
      <c r="G403" s="92">
        <f t="shared" si="98"/>
        <v>0.25957855738757146</v>
      </c>
      <c r="H403" s="91" t="s">
        <v>152</v>
      </c>
      <c r="I403" s="92">
        <f t="shared" si="99"/>
        <v>4</v>
      </c>
      <c r="J403" s="93">
        <f t="shared" si="94"/>
        <v>17</v>
      </c>
      <c r="K403" s="94">
        <f t="shared" si="100"/>
        <v>0.50683041930034523</v>
      </c>
      <c r="L403" s="95">
        <f t="shared" si="101"/>
        <v>75.053122658619813</v>
      </c>
      <c r="M403" s="95">
        <f t="shared" si="102"/>
        <v>237.56271128235628</v>
      </c>
      <c r="N403" s="95">
        <f t="shared" si="103"/>
        <v>33.795237194700299</v>
      </c>
      <c r="O403" s="95">
        <f t="shared" si="104"/>
        <v>253.35135574850949</v>
      </c>
      <c r="P403" s="96">
        <f t="shared" si="105"/>
        <v>167.73066413731175</v>
      </c>
    </row>
    <row r="404" spans="1:16">
      <c r="A404" s="88" t="str">
        <f t="shared" si="92"/>
        <v>Sakhir</v>
      </c>
      <c r="B404" s="89">
        <f t="shared" si="91"/>
        <v>75.053122658619813</v>
      </c>
      <c r="C404" s="90">
        <f t="shared" si="95"/>
        <v>0</v>
      </c>
      <c r="D404" s="90">
        <f t="shared" si="96"/>
        <v>62</v>
      </c>
      <c r="E404" s="90">
        <f t="shared" si="97"/>
        <v>3</v>
      </c>
      <c r="F404" s="91">
        <f t="shared" si="93"/>
        <v>98</v>
      </c>
      <c r="G404" s="92">
        <f t="shared" si="98"/>
        <v>0.25957855738757146</v>
      </c>
      <c r="H404" s="91" t="s">
        <v>152</v>
      </c>
      <c r="I404" s="92">
        <f t="shared" si="99"/>
        <v>4</v>
      </c>
      <c r="J404" s="93">
        <f t="shared" si="94"/>
        <v>17</v>
      </c>
      <c r="K404" s="94">
        <f t="shared" si="100"/>
        <v>0.50683041930034523</v>
      </c>
      <c r="L404" s="95">
        <f t="shared" si="101"/>
        <v>75.053122658619813</v>
      </c>
      <c r="M404" s="95">
        <f t="shared" si="102"/>
        <v>237.56271128235628</v>
      </c>
      <c r="N404" s="95">
        <f t="shared" si="103"/>
        <v>34.054815752087869</v>
      </c>
      <c r="O404" s="95">
        <f t="shared" si="104"/>
        <v>253.35135574850949</v>
      </c>
      <c r="P404" s="96">
        <f t="shared" si="105"/>
        <v>167.07301834293793</v>
      </c>
    </row>
    <row r="405" spans="1:16">
      <c r="A405" s="88" t="str">
        <f t="shared" si="92"/>
        <v>Sakhir</v>
      </c>
      <c r="B405" s="89">
        <f t="shared" si="91"/>
        <v>75.053122658619813</v>
      </c>
      <c r="C405" s="90">
        <f t="shared" si="95"/>
        <v>0</v>
      </c>
      <c r="D405" s="90">
        <f t="shared" si="96"/>
        <v>62</v>
      </c>
      <c r="E405" s="90">
        <f t="shared" si="97"/>
        <v>3</v>
      </c>
      <c r="F405" s="91">
        <f t="shared" si="93"/>
        <v>99</v>
      </c>
      <c r="G405" s="92">
        <f t="shared" si="98"/>
        <v>0.25957855738757146</v>
      </c>
      <c r="H405" s="91" t="s">
        <v>152</v>
      </c>
      <c r="I405" s="92">
        <f t="shared" si="99"/>
        <v>4</v>
      </c>
      <c r="J405" s="93">
        <f t="shared" si="94"/>
        <v>17</v>
      </c>
      <c r="K405" s="94">
        <f t="shared" si="100"/>
        <v>0.50683041930034523</v>
      </c>
      <c r="L405" s="95">
        <f t="shared" si="101"/>
        <v>75.053122658619813</v>
      </c>
      <c r="M405" s="95">
        <f t="shared" si="102"/>
        <v>237.56271128235628</v>
      </c>
      <c r="N405" s="95">
        <f t="shared" si="103"/>
        <v>34.314394309475446</v>
      </c>
      <c r="O405" s="95">
        <f t="shared" si="104"/>
        <v>253.35135574850949</v>
      </c>
      <c r="P405" s="96">
        <f t="shared" si="105"/>
        <v>166.41537254856405</v>
      </c>
    </row>
    <row r="406" spans="1:16">
      <c r="A406" s="88" t="str">
        <f t="shared" si="92"/>
        <v>Sakhir</v>
      </c>
      <c r="B406" s="89">
        <f t="shared" si="91"/>
        <v>75.053122658619813</v>
      </c>
      <c r="C406" s="90">
        <f t="shared" si="95"/>
        <v>0</v>
      </c>
      <c r="D406" s="90">
        <f t="shared" si="96"/>
        <v>62</v>
      </c>
      <c r="E406" s="90">
        <f t="shared" si="97"/>
        <v>3</v>
      </c>
      <c r="F406" s="91">
        <f t="shared" si="93"/>
        <v>100</v>
      </c>
      <c r="G406" s="92">
        <f t="shared" si="98"/>
        <v>0.25957855738757146</v>
      </c>
      <c r="H406" s="91" t="s">
        <v>152</v>
      </c>
      <c r="I406" s="92">
        <f t="shared" si="99"/>
        <v>4</v>
      </c>
      <c r="J406" s="93">
        <f t="shared" si="94"/>
        <v>17</v>
      </c>
      <c r="K406" s="94">
        <f t="shared" si="100"/>
        <v>0.50683041930034523</v>
      </c>
      <c r="L406" s="95">
        <f t="shared" si="101"/>
        <v>75.053122658619813</v>
      </c>
      <c r="M406" s="95">
        <f t="shared" si="102"/>
        <v>237.56271128235628</v>
      </c>
      <c r="N406" s="95">
        <f t="shared" si="103"/>
        <v>34.573972866863016</v>
      </c>
      <c r="O406" s="95">
        <f t="shared" si="104"/>
        <v>253.35135574850949</v>
      </c>
      <c r="P406" s="96">
        <f t="shared" si="105"/>
        <v>165.75772675419023</v>
      </c>
    </row>
  </sheetData>
  <mergeCells count="1">
    <mergeCell ref="A1:P1"/>
  </mergeCells>
  <dataValidations count="2">
    <dataValidation type="list" allowBlank="1" showInputMessage="1" showErrorMessage="1" sqref="A3:A406">
      <formula1>$R$3:$R$60</formula1>
    </dataValidation>
    <dataValidation type="list" allowBlank="1" showInputMessage="1" showErrorMessage="1" sqref="H3:H406">
      <formula1>$U$5:$U$8</formula1>
    </dataValidation>
  </dataValidations>
  <pageMargins left="0.7" right="0.7" top="0.75" bottom="0.75" header="0.3" footer="0.3"/>
  <legacyDrawing r:id="rId1"/>
  <picture r:id="rId2"/>
</worksheet>
</file>

<file path=xl/worksheets/sheet3.xml><?xml version="1.0" encoding="utf-8"?>
<worksheet xmlns="http://schemas.openxmlformats.org/spreadsheetml/2006/main" xmlns:r="http://schemas.openxmlformats.org/officeDocument/2006/relationships">
  <sheetPr>
    <outlinePr showOutlineSymbols="0"/>
  </sheetPr>
  <dimension ref="B1:B12"/>
  <sheetViews>
    <sheetView showGridLines="0" showZeros="0" tabSelected="1" showOutlineSymbols="0" workbookViewId="0">
      <selection activeCell="B8" sqref="B8"/>
    </sheetView>
  </sheetViews>
  <sheetFormatPr baseColWidth="10" defaultRowHeight="15"/>
  <cols>
    <col min="1" max="1" width="11.42578125" style="877"/>
    <col min="2" max="2" width="161.5703125" style="877" customWidth="1"/>
    <col min="3" max="16384" width="11.42578125" style="877"/>
  </cols>
  <sheetData>
    <row r="1" spans="2:2" ht="15.75" thickBot="1"/>
    <row r="2" spans="2:2" ht="24.95" customHeight="1" thickBot="1">
      <c r="B2" s="880" t="s">
        <v>519</v>
      </c>
    </row>
    <row r="3" spans="2:2" ht="15.75" thickBot="1"/>
    <row r="4" spans="2:2" s="878" customFormat="1" ht="125.1" customHeight="1" thickBot="1">
      <c r="B4" s="875" t="s">
        <v>517</v>
      </c>
    </row>
    <row r="5" spans="2:2" s="878" customFormat="1" ht="15" customHeight="1" thickBot="1">
      <c r="B5" s="883"/>
    </row>
    <row r="6" spans="2:2" s="878" customFormat="1" ht="35.1" customHeight="1" thickBot="1">
      <c r="B6" s="884"/>
    </row>
    <row r="7" spans="2:2" ht="15" customHeight="1" thickBot="1">
      <c r="B7" s="879"/>
    </row>
    <row r="8" spans="2:2" ht="24.95" customHeight="1" thickBot="1">
      <c r="B8" s="881" t="s">
        <v>516</v>
      </c>
    </row>
    <row r="9" spans="2:2" ht="19.5" thickBot="1">
      <c r="B9" s="879"/>
    </row>
    <row r="10" spans="2:2" ht="99.95" customHeight="1" thickBot="1">
      <c r="B10" s="876" t="s">
        <v>518</v>
      </c>
    </row>
    <row r="12" spans="2:2">
      <c r="B12" s="882"/>
    </row>
  </sheetData>
  <hyperlinks>
    <hyperlink ref="B8" r:id="rId1"/>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sheetPr codeName="Feuil1">
    <tabColor theme="1"/>
  </sheetPr>
  <dimension ref="A1:AI437"/>
  <sheetViews>
    <sheetView showGridLines="0" zoomScaleNormal="100" workbookViewId="0">
      <selection activeCell="A73" sqref="A73"/>
    </sheetView>
  </sheetViews>
  <sheetFormatPr baseColWidth="10" defaultColWidth="0" defaultRowHeight="15" zeroHeight="1"/>
  <cols>
    <col min="1" max="1" width="16.42578125" style="1" bestFit="1" customWidth="1"/>
    <col min="2" max="2" width="9.85546875" style="1" bestFit="1" customWidth="1"/>
    <col min="3" max="3" width="11.5703125" style="1" bestFit="1" customWidth="1"/>
    <col min="4" max="4" width="16.42578125" style="1" customWidth="1"/>
    <col min="5" max="5" width="11.28515625" style="1" customWidth="1"/>
    <col min="6" max="6" width="9.7109375" style="1" customWidth="1"/>
    <col min="7" max="7" width="10.140625" style="1" customWidth="1"/>
    <col min="8" max="9" width="10" style="1" customWidth="1"/>
    <col min="10" max="10" width="8.5703125" style="1" customWidth="1"/>
    <col min="11" max="11" width="9.28515625" style="1" customWidth="1"/>
    <col min="12" max="12" width="10.7109375" style="1" customWidth="1"/>
    <col min="13" max="13" width="10.5703125" style="1" customWidth="1"/>
    <col min="14" max="14" width="10.42578125" style="1" customWidth="1"/>
    <col min="15" max="15" width="11.5703125" style="1" customWidth="1"/>
    <col min="16" max="16" width="12.42578125" style="1" customWidth="1"/>
    <col min="17" max="17" width="11.42578125" style="1" customWidth="1"/>
    <col min="18" max="18" width="11.7109375" style="1" customWidth="1"/>
    <col min="19" max="19" width="9" style="1" customWidth="1"/>
    <col min="20" max="20" width="16" style="1" customWidth="1"/>
    <col min="21" max="21" width="10.85546875" style="1" hidden="1" customWidth="1"/>
    <col min="22" max="22" width="9.42578125" style="1" hidden="1" customWidth="1"/>
    <col min="23" max="23" width="8.5703125" style="1" hidden="1" customWidth="1"/>
    <col min="24" max="24" width="9.5703125" style="1" hidden="1" customWidth="1"/>
    <col min="25" max="25" width="10" style="1" hidden="1" customWidth="1"/>
    <col min="26" max="26" width="7.140625" style="1" hidden="1" customWidth="1"/>
    <col min="27" max="30" width="9.140625" style="1" hidden="1" customWidth="1"/>
    <col min="31" max="31" width="12.28515625" style="1" hidden="1" customWidth="1"/>
    <col min="32" max="32" width="9.140625" style="1" customWidth="1"/>
    <col min="33" max="34" width="9.140625" style="1" hidden="1" customWidth="1"/>
    <col min="35" max="35" width="11.140625" style="1" hidden="1" customWidth="1"/>
    <col min="36" max="16384" width="9.140625" style="1" hidden="1"/>
  </cols>
  <sheetData>
    <row r="1" spans="1:32" ht="15.75">
      <c r="A1" s="672" t="s">
        <v>71</v>
      </c>
      <c r="B1" s="673"/>
      <c r="C1" s="185" t="s">
        <v>202</v>
      </c>
      <c r="D1" s="60">
        <v>15</v>
      </c>
      <c r="E1" s="622" t="s">
        <v>207</v>
      </c>
      <c r="F1" s="623"/>
      <c r="G1" s="608" t="s">
        <v>70</v>
      </c>
      <c r="H1" s="609"/>
      <c r="I1" s="609"/>
      <c r="J1" s="610"/>
      <c r="K1" s="393"/>
      <c r="L1" s="393"/>
      <c r="M1" s="393"/>
      <c r="N1" s="608" t="s">
        <v>190</v>
      </c>
      <c r="O1" s="609"/>
      <c r="P1" s="609"/>
      <c r="Q1" s="609"/>
      <c r="R1" s="609"/>
      <c r="S1" s="609"/>
      <c r="T1" s="610"/>
      <c r="AF1" s="393"/>
    </row>
    <row r="2" spans="1:32" ht="18">
      <c r="A2" s="184" t="s">
        <v>69</v>
      </c>
      <c r="B2" s="293">
        <f>INFO!$D$78</f>
        <v>109.29919999999998</v>
      </c>
      <c r="C2" s="673" t="s">
        <v>203</v>
      </c>
      <c r="D2" s="673"/>
      <c r="E2" s="184" t="s">
        <v>69</v>
      </c>
      <c r="F2" s="293">
        <f>INFO!I78</f>
        <v>89.268540000000002</v>
      </c>
      <c r="G2" s="191" t="s">
        <v>68</v>
      </c>
      <c r="H2" s="624" t="s">
        <v>85</v>
      </c>
      <c r="I2" s="625"/>
      <c r="J2" s="626"/>
      <c r="K2" s="393"/>
      <c r="L2" s="393"/>
      <c r="M2" s="393"/>
      <c r="N2" s="650" t="s">
        <v>66</v>
      </c>
      <c r="O2" s="651"/>
      <c r="P2" s="80">
        <v>-150</v>
      </c>
      <c r="Q2" s="195"/>
      <c r="R2" s="196" t="s">
        <v>237</v>
      </c>
      <c r="S2" s="109">
        <f>INFO!A155*2</f>
        <v>-171.9234443172839</v>
      </c>
      <c r="T2" s="44" t="s">
        <v>65</v>
      </c>
      <c r="AF2" s="393"/>
    </row>
    <row r="3" spans="1:32">
      <c r="A3" s="184" t="s">
        <v>64</v>
      </c>
      <c r="B3" s="143">
        <v>239</v>
      </c>
      <c r="C3" s="186" t="s">
        <v>204</v>
      </c>
      <c r="D3" s="433" t="s">
        <v>206</v>
      </c>
      <c r="E3" s="184" t="s">
        <v>64</v>
      </c>
      <c r="F3" s="66">
        <f>SUM($B$3,IF($D$3="OUI",INFO!$M$70,0))</f>
        <v>239</v>
      </c>
      <c r="G3" s="674"/>
      <c r="H3" s="675"/>
      <c r="I3" s="187"/>
      <c r="J3" s="187"/>
      <c r="K3" s="393"/>
      <c r="L3" s="393"/>
      <c r="M3" s="393"/>
      <c r="N3" s="663" t="s">
        <v>63</v>
      </c>
      <c r="O3" s="661">
        <v>300</v>
      </c>
      <c r="P3" s="191" t="s">
        <v>21</v>
      </c>
      <c r="Q3" s="5">
        <f>IF(MROUND(AC13,1)&gt;999,999,MROUND(AC13,1))</f>
        <v>225</v>
      </c>
      <c r="R3" s="5">
        <f>IFERROR(IF(INFO!$F$148&gt;999,999,INFO!$F$148),0)</f>
        <v>214</v>
      </c>
      <c r="S3" s="646" t="s">
        <v>20</v>
      </c>
      <c r="T3" s="695">
        <f>AB13/2</f>
        <v>40</v>
      </c>
      <c r="AF3" s="393"/>
    </row>
    <row r="4" spans="1:32">
      <c r="A4" s="184" t="s">
        <v>62</v>
      </c>
      <c r="B4" s="143">
        <v>86</v>
      </c>
      <c r="C4" s="184" t="s">
        <v>205</v>
      </c>
      <c r="D4" s="433" t="s">
        <v>206</v>
      </c>
      <c r="E4" s="184" t="s">
        <v>62</v>
      </c>
      <c r="F4" s="66">
        <f>$B$4</f>
        <v>86</v>
      </c>
      <c r="G4" s="630" t="s">
        <v>61</v>
      </c>
      <c r="H4" s="631"/>
      <c r="I4" s="632" t="str">
        <f>VLOOKUP($H$2,INFO!$A$3:$P$65,3,0)</f>
        <v>Normal</v>
      </c>
      <c r="J4" s="633"/>
      <c r="K4" s="393"/>
      <c r="L4" s="393"/>
      <c r="M4" s="393"/>
      <c r="N4" s="664"/>
      <c r="O4" s="662"/>
      <c r="P4" s="191" t="s">
        <v>18</v>
      </c>
      <c r="Q4" s="5">
        <f>IF(MROUND(AC14,1)&gt;999,999,MROUND(AC14,1))</f>
        <v>375</v>
      </c>
      <c r="R4" s="5">
        <f>IFERROR(IF(INFO!$F$149&gt;999,999,INFO!$F$149),0)</f>
        <v>386</v>
      </c>
      <c r="S4" s="647"/>
      <c r="T4" s="696"/>
      <c r="AF4" s="393"/>
    </row>
    <row r="5" spans="1:32">
      <c r="A5" s="184" t="s">
        <v>60</v>
      </c>
      <c r="B5" s="143">
        <v>0</v>
      </c>
      <c r="C5" s="184" t="s">
        <v>208</v>
      </c>
      <c r="D5" s="433" t="s">
        <v>206</v>
      </c>
      <c r="E5" s="184" t="s">
        <v>60</v>
      </c>
      <c r="F5" s="66">
        <f>$B$5</f>
        <v>0</v>
      </c>
      <c r="G5" s="630" t="s">
        <v>59</v>
      </c>
      <c r="H5" s="631"/>
      <c r="I5" s="676">
        <f>VLOOKUP($H$2,INFO!$A$3:$P$65,8,0)</f>
        <v>57</v>
      </c>
      <c r="J5" s="677"/>
      <c r="K5" s="393"/>
      <c r="L5" s="393"/>
      <c r="M5" s="393"/>
      <c r="N5" s="688" t="s">
        <v>44</v>
      </c>
      <c r="O5" s="689"/>
      <c r="P5" s="191" t="s">
        <v>15</v>
      </c>
      <c r="Q5" s="62">
        <v>472</v>
      </c>
      <c r="R5" s="195"/>
      <c r="S5" s="197" t="s">
        <v>15</v>
      </c>
      <c r="T5" s="45">
        <f>AB15/2</f>
        <v>39</v>
      </c>
      <c r="AF5" s="393"/>
    </row>
    <row r="6" spans="1:32" ht="15" customHeight="1">
      <c r="A6" s="184" t="s">
        <v>58</v>
      </c>
      <c r="B6" s="143">
        <v>62</v>
      </c>
      <c r="C6" s="682">
        <v>27</v>
      </c>
      <c r="D6" s="683"/>
      <c r="E6" s="184" t="s">
        <v>58</v>
      </c>
      <c r="F6" s="66">
        <f>SUM((17-($D$1-1)),$B$6)</f>
        <v>65</v>
      </c>
      <c r="G6" s="630" t="s">
        <v>57</v>
      </c>
      <c r="H6" s="631"/>
      <c r="I6" s="678">
        <f>VLOOKUP($H$2,INFO!$A$3:$P$65,16,0)</f>
        <v>25.5</v>
      </c>
      <c r="J6" s="679"/>
      <c r="K6" s="393"/>
      <c r="L6" s="393"/>
      <c r="M6" s="393"/>
      <c r="N6" s="688"/>
      <c r="O6" s="689"/>
      <c r="P6" s="191" t="s">
        <v>14</v>
      </c>
      <c r="Q6" s="62">
        <v>773</v>
      </c>
      <c r="R6" s="195"/>
      <c r="S6" s="184" t="s">
        <v>42</v>
      </c>
      <c r="T6" s="45">
        <f>AB16/2</f>
        <v>39</v>
      </c>
      <c r="AF6" s="393"/>
    </row>
    <row r="7" spans="1:32" ht="15" customHeight="1">
      <c r="A7" s="184" t="s">
        <v>56</v>
      </c>
      <c r="B7" s="143">
        <v>167</v>
      </c>
      <c r="C7" s="684"/>
      <c r="D7" s="685"/>
      <c r="E7" s="184" t="s">
        <v>56</v>
      </c>
      <c r="F7" s="66">
        <f>SUM((17-($D$1-1)),$B$7)</f>
        <v>170</v>
      </c>
      <c r="G7" s="630" t="s">
        <v>55</v>
      </c>
      <c r="H7" s="631"/>
      <c r="I7" s="680">
        <f>VLOOKUP($H$2,INFO!$A$3:$P$65,7,0)</f>
        <v>5.4119999999999999</v>
      </c>
      <c r="J7" s="681"/>
      <c r="K7" s="393"/>
      <c r="L7" s="393"/>
      <c r="M7" s="393"/>
      <c r="N7" s="688"/>
      <c r="O7" s="689"/>
      <c r="P7" s="191" t="s">
        <v>11</v>
      </c>
      <c r="Q7" s="62">
        <v>608</v>
      </c>
      <c r="R7" s="195"/>
      <c r="S7" s="184" t="s">
        <v>11</v>
      </c>
      <c r="T7" s="45">
        <f>AB17/2</f>
        <v>39</v>
      </c>
      <c r="AF7" s="393"/>
    </row>
    <row r="8" spans="1:32" ht="15" customHeight="1">
      <c r="A8" s="184" t="s">
        <v>54</v>
      </c>
      <c r="B8" s="143">
        <v>0</v>
      </c>
      <c r="C8" s="684"/>
      <c r="D8" s="685"/>
      <c r="E8" s="184" t="s">
        <v>54</v>
      </c>
      <c r="F8" s="66">
        <f>SUM($B$8,(SUM(VLOOKUP($D$4,INFO!$L$75:$M$76,2,0),VLOOKUP($D$5,INFO!$L$72:$M$73,2,0))))</f>
        <v>0</v>
      </c>
      <c r="G8" s="630" t="s">
        <v>314</v>
      </c>
      <c r="H8" s="631"/>
      <c r="I8" s="632" t="str">
        <f>VLOOKUP($H$2,INFO!$A$3:$P$65,5,0)</f>
        <v>Tres haute</v>
      </c>
      <c r="J8" s="633"/>
      <c r="K8" s="393"/>
      <c r="L8" s="393"/>
      <c r="M8" s="393"/>
      <c r="N8" s="688"/>
      <c r="O8" s="689"/>
      <c r="P8" s="194" t="s">
        <v>10</v>
      </c>
      <c r="Q8" s="81">
        <v>304</v>
      </c>
      <c r="R8" s="195"/>
      <c r="S8" s="198" t="s">
        <v>10</v>
      </c>
      <c r="T8" s="71">
        <f>T7</f>
        <v>39</v>
      </c>
      <c r="AF8" s="393"/>
    </row>
    <row r="9" spans="1:32" ht="15.75" customHeight="1">
      <c r="A9" s="184" t="s">
        <v>53</v>
      </c>
      <c r="B9" s="143">
        <v>88</v>
      </c>
      <c r="C9" s="684"/>
      <c r="D9" s="685"/>
      <c r="E9" s="184" t="s">
        <v>53</v>
      </c>
      <c r="F9" s="66">
        <f>SUM($B$9,((17-($D$1-1))/5))</f>
        <v>88.6</v>
      </c>
      <c r="G9" s="190" t="s">
        <v>337</v>
      </c>
      <c r="H9" s="190" t="s">
        <v>271</v>
      </c>
      <c r="I9" s="190" t="s">
        <v>52</v>
      </c>
      <c r="J9" s="190" t="s">
        <v>488</v>
      </c>
      <c r="K9" s="393"/>
      <c r="L9" s="393"/>
      <c r="M9" s="393"/>
      <c r="N9" s="637" t="s">
        <v>246</v>
      </c>
      <c r="O9" s="638"/>
      <c r="P9" s="638"/>
      <c r="Q9" s="638"/>
      <c r="R9" s="638"/>
      <c r="S9" s="638"/>
      <c r="T9" s="639"/>
      <c r="AF9" s="393"/>
    </row>
    <row r="10" spans="1:32" ht="15" customHeight="1">
      <c r="A10" s="184" t="s">
        <v>50</v>
      </c>
      <c r="B10" s="143">
        <v>248</v>
      </c>
      <c r="C10" s="684"/>
      <c r="D10" s="685"/>
      <c r="E10" s="184" t="s">
        <v>50</v>
      </c>
      <c r="F10" s="143">
        <v>0</v>
      </c>
      <c r="G10" s="188" t="s">
        <v>44</v>
      </c>
      <c r="H10" s="292">
        <f>VLOOKUP($H$2,INFO!$A$3:$AD$64,30,1)*(50-I10)</f>
        <v>0.3402</v>
      </c>
      <c r="I10" s="61">
        <v>23</v>
      </c>
      <c r="J10" s="78" t="s">
        <v>513</v>
      </c>
      <c r="K10" s="393"/>
      <c r="L10" s="393"/>
      <c r="M10" s="393"/>
      <c r="N10" s="697" t="s">
        <v>48</v>
      </c>
      <c r="O10" s="697"/>
      <c r="P10" s="636" t="str">
        <f ca="1">IFERROR(SUMIF(W26:W27,"&lt;&gt;#N/A")/COUNTIF(W26:W27,"&lt;&gt;#N/A"),"")</f>
        <v/>
      </c>
      <c r="Q10" s="704"/>
      <c r="R10" s="705"/>
      <c r="S10" s="199"/>
      <c r="T10" s="205"/>
      <c r="AA10" s="3"/>
      <c r="AB10" s="3"/>
      <c r="AC10" s="3"/>
      <c r="AF10" s="393"/>
    </row>
    <row r="11" spans="1:32" ht="15" customHeight="1">
      <c r="A11" s="144"/>
      <c r="B11" s="145"/>
      <c r="C11" s="684"/>
      <c r="D11" s="685"/>
      <c r="E11" s="144"/>
      <c r="F11" s="146"/>
      <c r="G11" s="189" t="s">
        <v>32</v>
      </c>
      <c r="H11" s="292">
        <f>VLOOKUP($H$2,INFO!$A$3:$AD$64,30,1)*(50-I11)</f>
        <v>0.3906</v>
      </c>
      <c r="I11" s="61">
        <v>19</v>
      </c>
      <c r="J11" s="78" t="s">
        <v>513</v>
      </c>
      <c r="K11" s="393"/>
      <c r="L11" s="393"/>
      <c r="M11" s="393"/>
      <c r="N11" s="697"/>
      <c r="O11" s="697"/>
      <c r="P11" s="636"/>
      <c r="Q11" s="706"/>
      <c r="R11" s="707"/>
      <c r="S11" s="200"/>
      <c r="T11" s="204"/>
      <c r="AA11" s="3"/>
      <c r="AB11" s="3"/>
      <c r="AC11" s="3"/>
      <c r="AF11" s="393"/>
    </row>
    <row r="12" spans="1:32" ht="15" customHeight="1">
      <c r="A12" s="184" t="s">
        <v>49</v>
      </c>
      <c r="B12" s="143">
        <v>72</v>
      </c>
      <c r="C12" s="684"/>
      <c r="D12" s="685"/>
      <c r="E12" s="184" t="s">
        <v>49</v>
      </c>
      <c r="F12" s="66">
        <f>IF($D$4="OUI",SUM($B$12,INFO!$M$78),$B$12)</f>
        <v>72</v>
      </c>
      <c r="G12" s="188" t="s">
        <v>25</v>
      </c>
      <c r="H12" s="292">
        <f>VLOOKUP($H$2,INFO!$A$3:$AD$64,30,1)*(50-I12)</f>
        <v>0.4158</v>
      </c>
      <c r="I12" s="62">
        <v>17</v>
      </c>
      <c r="J12" s="78" t="s">
        <v>513</v>
      </c>
      <c r="K12" s="393"/>
      <c r="L12" s="393"/>
      <c r="M12" s="393"/>
      <c r="N12" s="670" t="s">
        <v>47</v>
      </c>
      <c r="O12" s="671"/>
      <c r="P12" s="201"/>
      <c r="Q12" s="195"/>
      <c r="R12" s="203"/>
      <c r="S12" s="200"/>
      <c r="T12" s="204"/>
      <c r="AA12" s="12" t="s">
        <v>46</v>
      </c>
      <c r="AB12" s="11" t="s">
        <v>45</v>
      </c>
      <c r="AC12" s="11">
        <f>O3</f>
        <v>300</v>
      </c>
      <c r="AF12" s="393"/>
    </row>
    <row r="13" spans="1:32" ht="23.25" customHeight="1">
      <c r="A13" s="286"/>
      <c r="B13" s="287">
        <v>29</v>
      </c>
      <c r="C13" s="684"/>
      <c r="D13" s="685"/>
      <c r="E13" s="702"/>
      <c r="F13" s="290">
        <f>B13</f>
        <v>29</v>
      </c>
      <c r="G13" s="183"/>
      <c r="H13" s="183"/>
      <c r="I13" s="183"/>
      <c r="J13" s="183"/>
      <c r="K13" s="393"/>
      <c r="L13" s="393"/>
      <c r="M13" s="393"/>
      <c r="N13" s="670" t="s">
        <v>481</v>
      </c>
      <c r="O13" s="671"/>
      <c r="P13" s="202" t="s">
        <v>21</v>
      </c>
      <c r="Q13" s="191" t="s">
        <v>18</v>
      </c>
      <c r="R13" s="203"/>
      <c r="S13" s="200"/>
      <c r="T13" s="204"/>
      <c r="AA13" s="13" t="s">
        <v>20</v>
      </c>
      <c r="AB13" s="8">
        <f>ROUND($B$6*-0.051+$B$7*-0.153+67.594,0)*2+2</f>
        <v>80</v>
      </c>
      <c r="AC13" s="4">
        <f>((AC12*2)+P2)/2</f>
        <v>225</v>
      </c>
      <c r="AF13" s="393"/>
    </row>
    <row r="14" spans="1:32">
      <c r="A14" s="288"/>
      <c r="B14" s="289"/>
      <c r="C14" s="686"/>
      <c r="D14" s="687"/>
      <c r="E14" s="703"/>
      <c r="F14" s="291"/>
      <c r="G14" s="183"/>
      <c r="H14" s="183"/>
      <c r="I14" s="183"/>
      <c r="J14" s="183"/>
      <c r="K14" s="393"/>
      <c r="L14" s="393"/>
      <c r="M14" s="393"/>
      <c r="N14" s="634"/>
      <c r="O14" s="635"/>
      <c r="P14" s="80"/>
      <c r="Q14" s="80"/>
      <c r="R14" s="200"/>
      <c r="S14" s="200"/>
      <c r="T14" s="204"/>
      <c r="U14" s="1">
        <f>P14-Q14</f>
        <v>0</v>
      </c>
      <c r="AA14" s="13" t="s">
        <v>15</v>
      </c>
      <c r="AB14" s="8">
        <f>ROUND($B$6*-0.051+$B$7*-0.153+67.594,0)*2</f>
        <v>78</v>
      </c>
      <c r="AC14" s="4">
        <f>((AC12*2)-P2)/2</f>
        <v>375</v>
      </c>
      <c r="AF14" s="393"/>
    </row>
    <row r="15" spans="1:32" ht="15.75" thickBot="1">
      <c r="A15" s="183"/>
      <c r="B15" s="183"/>
      <c r="C15" s="183"/>
      <c r="D15" s="183"/>
      <c r="E15" s="183"/>
      <c r="F15" s="183"/>
      <c r="G15" s="183"/>
      <c r="H15" s="183"/>
      <c r="I15" s="183"/>
      <c r="J15" s="183"/>
      <c r="K15" s="393"/>
      <c r="L15" s="393"/>
      <c r="M15" s="393"/>
      <c r="N15" s="634"/>
      <c r="O15" s="635"/>
      <c r="P15" s="80"/>
      <c r="Q15" s="80"/>
      <c r="R15" s="200"/>
      <c r="S15" s="200"/>
      <c r="T15" s="204"/>
      <c r="U15" s="1">
        <f>P15-Q15</f>
        <v>0</v>
      </c>
      <c r="V15" s="1">
        <f>U15-U14</f>
        <v>0</v>
      </c>
      <c r="AA15" s="13" t="s">
        <v>42</v>
      </c>
      <c r="AB15" s="8">
        <f>ROUND($B$6*-0.051+$B$7*-0.153+67.594,0)*2</f>
        <v>78</v>
      </c>
      <c r="AD15" s="6">
        <f>N15-N14</f>
        <v>0</v>
      </c>
      <c r="AF15" s="393"/>
    </row>
    <row r="16" spans="1:32" ht="15.75" customHeight="1" thickBot="1">
      <c r="A16" s="183"/>
      <c r="B16" s="183"/>
      <c r="C16" s="183"/>
      <c r="D16" s="183"/>
      <c r="E16" s="183"/>
      <c r="F16" s="183"/>
      <c r="G16" s="183"/>
      <c r="H16" s="183"/>
      <c r="I16" s="183"/>
      <c r="J16" s="183"/>
      <c r="K16" s="393"/>
      <c r="L16" s="393"/>
      <c r="M16" s="393"/>
      <c r="N16" s="634"/>
      <c r="O16" s="635"/>
      <c r="P16" s="80"/>
      <c r="Q16" s="80"/>
      <c r="R16" s="200"/>
      <c r="S16" s="200"/>
      <c r="T16" s="204"/>
      <c r="U16" s="1">
        <f>P16-Q16</f>
        <v>0</v>
      </c>
      <c r="V16" s="1">
        <f>U16-U15</f>
        <v>0</v>
      </c>
      <c r="W16" s="698" t="s">
        <v>195</v>
      </c>
      <c r="X16" s="698"/>
      <c r="Y16" s="699"/>
      <c r="AA16" s="13" t="s">
        <v>11</v>
      </c>
      <c r="AB16" s="8">
        <f>ROUND($B$6*-0.051+$B$7*-0.153+67.594,0)*2</f>
        <v>78</v>
      </c>
      <c r="AD16" s="6">
        <f>N16-N15</f>
        <v>0</v>
      </c>
      <c r="AF16" s="393"/>
    </row>
    <row r="17" spans="1:32">
      <c r="A17" s="193" t="s">
        <v>213</v>
      </c>
      <c r="B17" s="191" t="s">
        <v>214</v>
      </c>
      <c r="C17" s="191" t="s">
        <v>214</v>
      </c>
      <c r="D17" s="191" t="s">
        <v>214</v>
      </c>
      <c r="E17" s="191" t="s">
        <v>214</v>
      </c>
      <c r="F17" s="191" t="s">
        <v>214</v>
      </c>
      <c r="G17" s="191" t="s">
        <v>214</v>
      </c>
      <c r="H17" s="191" t="s">
        <v>214</v>
      </c>
      <c r="I17" s="191" t="s">
        <v>214</v>
      </c>
      <c r="J17" s="191" t="s">
        <v>214</v>
      </c>
      <c r="K17" s="393"/>
      <c r="L17" s="393"/>
      <c r="M17" s="393"/>
      <c r="N17" s="208"/>
      <c r="O17" s="195"/>
      <c r="P17" s="195"/>
      <c r="Q17" s="200"/>
      <c r="R17" s="200"/>
      <c r="S17" s="200"/>
      <c r="T17" s="204"/>
      <c r="W17" s="74" t="s">
        <v>192</v>
      </c>
      <c r="X17" s="75" t="s">
        <v>193</v>
      </c>
      <c r="Y17" s="76" t="s">
        <v>194</v>
      </c>
      <c r="AA17" s="13" t="s">
        <v>10</v>
      </c>
      <c r="AB17" s="8">
        <f>ROUND($B$6*-0.051+$B$7*-0.153+67.594,0)*2</f>
        <v>78</v>
      </c>
      <c r="AF17" s="393"/>
    </row>
    <row r="18" spans="1:32" ht="15" customHeight="1">
      <c r="A18" s="142">
        <v>33</v>
      </c>
      <c r="B18" s="82">
        <v>16</v>
      </c>
      <c r="C18" s="7">
        <f>IF(OR(B18="",B18=0),"",B18+1)</f>
        <v>17</v>
      </c>
      <c r="D18" s="7">
        <f>IF(OR(B18="",B18=0),"",B18+2)</f>
        <v>18</v>
      </c>
      <c r="E18" s="82">
        <v>35</v>
      </c>
      <c r="F18" s="7">
        <f>IF(OR(E18="",E18=0),"",E18+1)</f>
        <v>36</v>
      </c>
      <c r="G18" s="7">
        <f>IF(OR(E18="",E18=0),"",E18+2)</f>
        <v>37</v>
      </c>
      <c r="H18" s="82">
        <v>54</v>
      </c>
      <c r="I18" s="7">
        <f>IF(OR(H18="",H18=0),"",H18+1)</f>
        <v>55</v>
      </c>
      <c r="J18" s="7">
        <f>IF(OR(H18="",H18=0),"",H18+2)</f>
        <v>56</v>
      </c>
      <c r="K18" s="393"/>
      <c r="L18" s="393"/>
      <c r="M18" s="393"/>
      <c r="N18" s="629" t="s">
        <v>306</v>
      </c>
      <c r="O18" s="629"/>
      <c r="P18" s="627" t="str">
        <f ca="1">IFERROR('Calcul ws'!N13,"")</f>
        <v/>
      </c>
      <c r="Q18" s="627"/>
      <c r="R18" s="200"/>
      <c r="S18" s="200"/>
      <c r="T18" s="204"/>
      <c r="W18" s="70">
        <f t="array" ref="W18:Y20">LINEST(W22:W24,Y22:Z24,TRUE,TRUE)</f>
        <v>0</v>
      </c>
      <c r="X18" s="54">
        <v>0</v>
      </c>
      <c r="Y18" s="55">
        <v>0</v>
      </c>
      <c r="AF18" s="393"/>
    </row>
    <row r="19" spans="1:32">
      <c r="A19" s="393"/>
      <c r="B19" s="393"/>
      <c r="C19" s="393"/>
      <c r="D19" s="393"/>
      <c r="E19" s="393"/>
      <c r="F19" s="393"/>
      <c r="G19" s="393"/>
      <c r="H19" s="393"/>
      <c r="I19" s="393"/>
      <c r="J19" s="393"/>
      <c r="K19" s="393"/>
      <c r="L19" s="393"/>
      <c r="M19" s="393"/>
      <c r="N19" s="629"/>
      <c r="O19" s="629"/>
      <c r="P19" s="628"/>
      <c r="Q19" s="628"/>
      <c r="R19" s="206"/>
      <c r="S19" s="206"/>
      <c r="T19" s="207"/>
      <c r="W19" s="70">
        <v>0</v>
      </c>
      <c r="X19" s="54">
        <v>0</v>
      </c>
      <c r="Y19" s="55">
        <v>0</v>
      </c>
      <c r="AF19" s="393"/>
    </row>
    <row r="20" spans="1:32" ht="15.75" customHeight="1">
      <c r="A20" s="608" t="s">
        <v>43</v>
      </c>
      <c r="B20" s="609"/>
      <c r="C20" s="609"/>
      <c r="D20" s="609"/>
      <c r="E20" s="609"/>
      <c r="F20" s="609"/>
      <c r="G20" s="609"/>
      <c r="H20" s="610"/>
      <c r="I20" s="393"/>
      <c r="J20" s="393"/>
      <c r="K20" s="393"/>
      <c r="L20" s="393"/>
      <c r="M20" s="393"/>
      <c r="N20" s="393"/>
      <c r="O20" s="393"/>
      <c r="P20" s="393"/>
      <c r="Q20" s="393"/>
      <c r="R20" s="393"/>
      <c r="S20" s="393"/>
      <c r="T20" s="393"/>
      <c r="W20" s="56">
        <v>1</v>
      </c>
      <c r="X20" s="57">
        <v>0</v>
      </c>
      <c r="Y20" s="58" t="e">
        <v>#N/A</v>
      </c>
      <c r="AF20" s="393"/>
    </row>
    <row r="21" spans="1:32" ht="15" customHeight="1">
      <c r="A21" s="612" t="s">
        <v>41</v>
      </c>
      <c r="B21" s="612" t="s">
        <v>40</v>
      </c>
      <c r="C21" s="612" t="s">
        <v>39</v>
      </c>
      <c r="D21" s="194" t="s">
        <v>219</v>
      </c>
      <c r="E21" s="612" t="s">
        <v>38</v>
      </c>
      <c r="F21" s="612" t="s">
        <v>2</v>
      </c>
      <c r="G21" s="654" t="s">
        <v>37</v>
      </c>
      <c r="H21" s="655"/>
      <c r="I21" s="393"/>
      <c r="J21" s="393"/>
      <c r="K21" s="393"/>
      <c r="L21" s="393"/>
      <c r="M21" s="393"/>
      <c r="N21" s="393"/>
      <c r="O21" s="393"/>
      <c r="P21" s="393"/>
      <c r="Q21" s="393"/>
      <c r="R21" s="393"/>
      <c r="S21" s="393"/>
      <c r="T21" s="393"/>
      <c r="AF21" s="393"/>
    </row>
    <row r="22" spans="1:32" ht="15" customHeight="1">
      <c r="A22" s="612"/>
      <c r="B22" s="612"/>
      <c r="C22" s="652"/>
      <c r="D22" s="141">
        <f>SUM(IF(B18=0,0,COUNTIF(B18:D18,"&gt;0")),IF(E18=0,0,COUNTIF(E18:G18,"&gt;0")),IF(H18=0,0,COUNTIF(H18:J18,"&gt;0")))</f>
        <v>9</v>
      </c>
      <c r="E22" s="653" t="s">
        <v>36</v>
      </c>
      <c r="F22" s="612"/>
      <c r="G22" s="656"/>
      <c r="H22" s="657"/>
      <c r="I22" s="393"/>
      <c r="J22" s="393"/>
      <c r="K22" s="393"/>
      <c r="L22" s="393"/>
      <c r="M22" s="399"/>
      <c r="N22" s="690" t="s">
        <v>32</v>
      </c>
      <c r="O22" s="691"/>
      <c r="P22" s="72" t="s">
        <v>24</v>
      </c>
      <c r="Q22" s="72" t="s">
        <v>23</v>
      </c>
      <c r="R22" s="73" t="s">
        <v>63</v>
      </c>
      <c r="S22" s="608" t="s">
        <v>22</v>
      </c>
      <c r="T22" s="610"/>
      <c r="W22" s="700">
        <f>N14</f>
        <v>0</v>
      </c>
      <c r="X22" s="701"/>
      <c r="Y22" s="77">
        <f>P14-Q14</f>
        <v>0</v>
      </c>
      <c r="Z22" s="59">
        <f>Y22^2</f>
        <v>0</v>
      </c>
      <c r="AF22" s="393"/>
    </row>
    <row r="23" spans="1:32" ht="15" customHeight="1">
      <c r="A23" s="191" t="s">
        <v>34</v>
      </c>
      <c r="B23" s="61">
        <v>3</v>
      </c>
      <c r="C23" s="79">
        <v>35</v>
      </c>
      <c r="D23" s="195"/>
      <c r="E23" s="9">
        <f>INFO!G124-C23</f>
        <v>20.270865116051702</v>
      </c>
      <c r="F23" s="214">
        <f>ROUNDUP(INFO!G124,0)</f>
        <v>56</v>
      </c>
      <c r="G23" s="640" t="str">
        <f>IF(F23&lt;94,"",IF(AND(F23&gt;=94,F23&lt;=100),"Attention !!!","Danger !!!!!"))</f>
        <v/>
      </c>
      <c r="H23" s="641"/>
      <c r="I23" s="393"/>
      <c r="J23" s="393"/>
      <c r="K23" s="393"/>
      <c r="L23" s="393"/>
      <c r="M23" s="393"/>
      <c r="N23" s="688"/>
      <c r="O23" s="689"/>
      <c r="P23" s="191" t="s">
        <v>21</v>
      </c>
      <c r="Q23" s="5">
        <f>IF(INFO!C111&gt;999,999,INFO!C111)</f>
        <v>207</v>
      </c>
      <c r="R23" s="620">
        <f>IF((SUM(Q23:Q24)/2)&gt;999,999,SUM(Q23:Q24)/2)</f>
        <v>282</v>
      </c>
      <c r="S23" s="642" t="s">
        <v>20</v>
      </c>
      <c r="T23" s="618">
        <f>((Q24+Q23)/2)-$O$3</f>
        <v>-18</v>
      </c>
      <c r="W23" s="700">
        <f>N15</f>
        <v>0</v>
      </c>
      <c r="X23" s="701"/>
      <c r="Y23" s="77">
        <f>P15-Q15</f>
        <v>0</v>
      </c>
      <c r="Z23" s="59">
        <f>Y23^2</f>
        <v>0</v>
      </c>
      <c r="AF23" s="393"/>
    </row>
    <row r="24" spans="1:32" ht="15" customHeight="1">
      <c r="A24" s="191" t="s">
        <v>15</v>
      </c>
      <c r="B24" s="61">
        <v>3</v>
      </c>
      <c r="C24" s="79">
        <v>0</v>
      </c>
      <c r="D24" s="195"/>
      <c r="E24" s="9">
        <f>INFO!G125-C24</f>
        <v>46.761563871617511</v>
      </c>
      <c r="F24" s="214">
        <f>ROUNDUP(INFO!G125,0)</f>
        <v>47</v>
      </c>
      <c r="G24" s="640" t="str">
        <f t="shared" ref="G24:G33" si="0">IF(F24&lt;94,"",IF(AND(F24&gt;=94,F24&lt;=100),"Attention !!!","Danger !!!!!"))</f>
        <v/>
      </c>
      <c r="H24" s="641"/>
      <c r="I24" s="393"/>
      <c r="J24" s="393"/>
      <c r="K24" s="393"/>
      <c r="L24" s="393"/>
      <c r="M24" s="393"/>
      <c r="N24" s="688"/>
      <c r="O24" s="689"/>
      <c r="P24" s="191" t="s">
        <v>18</v>
      </c>
      <c r="Q24" s="5">
        <f>IF(INFO!C112&gt;999,999,INFO!C112)</f>
        <v>357</v>
      </c>
      <c r="R24" s="621"/>
      <c r="S24" s="643"/>
      <c r="T24" s="619"/>
      <c r="W24" s="700">
        <f>N16</f>
        <v>0</v>
      </c>
      <c r="X24" s="701"/>
      <c r="Y24" s="77">
        <f>P16-Q16</f>
        <v>0</v>
      </c>
      <c r="Z24" s="59">
        <f>Y24^2</f>
        <v>0</v>
      </c>
      <c r="AF24" s="393"/>
    </row>
    <row r="25" spans="1:32" ht="15" customHeight="1">
      <c r="A25" s="191" t="s">
        <v>33</v>
      </c>
      <c r="B25" s="61">
        <v>3</v>
      </c>
      <c r="C25" s="79">
        <v>0</v>
      </c>
      <c r="D25" s="209"/>
      <c r="E25" s="9">
        <f>INFO!G126-C25</f>
        <v>24.877879915154359</v>
      </c>
      <c r="F25" s="214">
        <f>ROUNDUP(INFO!G126,0)</f>
        <v>25</v>
      </c>
      <c r="G25" s="640" t="str">
        <f t="shared" si="0"/>
        <v/>
      </c>
      <c r="H25" s="641"/>
      <c r="I25" s="393"/>
      <c r="J25" s="393"/>
      <c r="K25" s="393"/>
      <c r="L25" s="393"/>
      <c r="M25" s="393"/>
      <c r="N25" s="688"/>
      <c r="O25" s="689"/>
      <c r="P25" s="191" t="s">
        <v>15</v>
      </c>
      <c r="Q25" s="5">
        <f>IF(INFO!C106&gt;999,999,INFO!C106)</f>
        <v>487</v>
      </c>
      <c r="R25" s="195"/>
      <c r="S25" s="210" t="s">
        <v>15</v>
      </c>
      <c r="T25" s="5">
        <f>Q25-Q5</f>
        <v>15</v>
      </c>
      <c r="W25" s="694" t="s">
        <v>35</v>
      </c>
      <c r="X25" s="694"/>
      <c r="Y25" s="694"/>
      <c r="AF25" s="393"/>
    </row>
    <row r="26" spans="1:32" ht="15" customHeight="1">
      <c r="A26" s="191" t="s">
        <v>31</v>
      </c>
      <c r="B26" s="61">
        <v>3</v>
      </c>
      <c r="C26" s="79">
        <v>39</v>
      </c>
      <c r="D26" s="209"/>
      <c r="E26" s="9">
        <f>INFO!G127-C26</f>
        <v>19.419157499239773</v>
      </c>
      <c r="F26" s="214">
        <f>ROUNDUP(INFO!G127,0)</f>
        <v>59</v>
      </c>
      <c r="G26" s="640" t="str">
        <f t="shared" si="0"/>
        <v/>
      </c>
      <c r="H26" s="641"/>
      <c r="I26" s="393"/>
      <c r="J26" s="393"/>
      <c r="K26" s="393"/>
      <c r="L26" s="393"/>
      <c r="M26" s="393"/>
      <c r="N26" s="688"/>
      <c r="O26" s="689"/>
      <c r="P26" s="191" t="s">
        <v>14</v>
      </c>
      <c r="Q26" s="5">
        <f>IF(INFO!C107&gt;999,999,INFO!C107)</f>
        <v>749</v>
      </c>
      <c r="R26" s="195"/>
      <c r="S26" s="210" t="s">
        <v>14</v>
      </c>
      <c r="T26" s="5">
        <f>Q26-Q6</f>
        <v>-24</v>
      </c>
      <c r="W26" s="64" t="e">
        <f ca="1">'Calcul ws'!M13</f>
        <v>#DIV/0!</v>
      </c>
      <c r="X26" s="616" t="e">
        <f ca="1">'Calcul ws'!N13</f>
        <v>#DIV/0!</v>
      </c>
      <c r="Y26" s="617"/>
      <c r="AF26" s="393"/>
    </row>
    <row r="27" spans="1:32">
      <c r="A27" s="191" t="s">
        <v>30</v>
      </c>
      <c r="B27" s="61">
        <v>3</v>
      </c>
      <c r="C27" s="79">
        <v>17</v>
      </c>
      <c r="D27" s="209"/>
      <c r="E27" s="9">
        <f>INFO!G128-C27</f>
        <v>18.428059196410636</v>
      </c>
      <c r="F27" s="214">
        <f>ROUNDUP(INFO!G128,0)</f>
        <v>36</v>
      </c>
      <c r="G27" s="640" t="str">
        <f t="shared" si="0"/>
        <v/>
      </c>
      <c r="H27" s="641"/>
      <c r="I27" s="393"/>
      <c r="J27" s="393"/>
      <c r="K27" s="393"/>
      <c r="L27" s="393"/>
      <c r="M27" s="393"/>
      <c r="N27" s="688"/>
      <c r="O27" s="689"/>
      <c r="P27" s="191" t="s">
        <v>11</v>
      </c>
      <c r="Q27" s="5">
        <f>IF(INFO!C108&gt;999,999,INFO!C108)</f>
        <v>625</v>
      </c>
      <c r="R27" s="195"/>
      <c r="S27" s="210" t="s">
        <v>11</v>
      </c>
      <c r="T27" s="5">
        <f>Q27-Q7</f>
        <v>17</v>
      </c>
      <c r="W27" s="65" t="e">
        <f>(-1*X18)/(2*W18)</f>
        <v>#DIV/0!</v>
      </c>
      <c r="X27" s="644" t="e">
        <f>(W18*W27^2)+(X18*W27)+Y18</f>
        <v>#DIV/0!</v>
      </c>
      <c r="Y27" s="645"/>
      <c r="AF27" s="393"/>
    </row>
    <row r="28" spans="1:32" ht="15.75" customHeight="1">
      <c r="A28" s="191" t="s">
        <v>29</v>
      </c>
      <c r="B28" s="61">
        <v>3</v>
      </c>
      <c r="C28" s="79">
        <v>57</v>
      </c>
      <c r="D28" s="209"/>
      <c r="E28" s="9">
        <f>INFO!G129-C28</f>
        <v>23.035073995513301</v>
      </c>
      <c r="F28" s="214">
        <f>ROUNDUP(INFO!G129,0)</f>
        <v>81</v>
      </c>
      <c r="G28" s="640" t="str">
        <f t="shared" si="0"/>
        <v/>
      </c>
      <c r="H28" s="641"/>
      <c r="I28" s="393"/>
      <c r="J28" s="393"/>
      <c r="K28" s="393"/>
      <c r="L28" s="393"/>
      <c r="M28" s="393"/>
      <c r="N28" s="692"/>
      <c r="O28" s="693"/>
      <c r="P28" s="191" t="s">
        <v>10</v>
      </c>
      <c r="Q28" s="5">
        <f>IF(INFO!C109&gt;999,999,INFO!C109)</f>
        <v>328</v>
      </c>
      <c r="R28" s="206"/>
      <c r="S28" s="210" t="s">
        <v>10</v>
      </c>
      <c r="T28" s="5">
        <f>Q28-Q8</f>
        <v>24</v>
      </c>
      <c r="AF28" s="393"/>
    </row>
    <row r="29" spans="1:32" ht="15" customHeight="1">
      <c r="A29" s="191" t="s">
        <v>28</v>
      </c>
      <c r="B29" s="61">
        <v>3</v>
      </c>
      <c r="C29" s="79">
        <v>43</v>
      </c>
      <c r="D29" s="209"/>
      <c r="E29" s="9">
        <f>INFO!G130-C29</f>
        <v>26.720893640924288</v>
      </c>
      <c r="F29" s="214">
        <f>ROUNDUP(INFO!G130,0)</f>
        <v>70</v>
      </c>
      <c r="G29" s="640" t="str">
        <f t="shared" si="0"/>
        <v/>
      </c>
      <c r="H29" s="641"/>
      <c r="I29" s="393"/>
      <c r="J29" s="393"/>
      <c r="K29" s="393"/>
      <c r="L29" s="393"/>
      <c r="M29" s="393"/>
      <c r="N29" s="195"/>
      <c r="O29" s="195"/>
      <c r="P29" s="195"/>
      <c r="Q29" s="195"/>
      <c r="R29" s="195"/>
      <c r="S29" s="195"/>
      <c r="T29" s="195"/>
      <c r="AF29" s="393"/>
    </row>
    <row r="30" spans="1:32" ht="15" customHeight="1">
      <c r="A30" s="191" t="s">
        <v>27</v>
      </c>
      <c r="B30" s="61">
        <v>3</v>
      </c>
      <c r="C30" s="79">
        <v>64</v>
      </c>
      <c r="D30" s="713" t="s">
        <v>16</v>
      </c>
      <c r="E30" s="9">
        <f>INFO!G131-C30</f>
        <v>23.302988999087717</v>
      </c>
      <c r="F30" s="214">
        <f>ROUNDUP(INFO!G131,0)</f>
        <v>88</v>
      </c>
      <c r="G30" s="640" t="str">
        <f t="shared" si="0"/>
        <v/>
      </c>
      <c r="H30" s="641"/>
      <c r="I30" s="393"/>
      <c r="J30" s="393"/>
      <c r="K30" s="393"/>
      <c r="L30" s="393"/>
      <c r="M30" s="393"/>
      <c r="N30" s="195"/>
      <c r="O30" s="195"/>
      <c r="P30" s="195"/>
      <c r="Q30" s="195"/>
      <c r="R30" s="195"/>
      <c r="S30" s="195"/>
      <c r="T30" s="195"/>
      <c r="AF30" s="393"/>
    </row>
    <row r="31" spans="1:32" ht="15.75" customHeight="1">
      <c r="A31" s="191" t="s">
        <v>14</v>
      </c>
      <c r="B31" s="61">
        <v>3</v>
      </c>
      <c r="C31" s="79">
        <v>63</v>
      </c>
      <c r="D31" s="713"/>
      <c r="E31" s="9">
        <f>INFO!G132-C31</f>
        <v>26.662321191333803</v>
      </c>
      <c r="F31" s="214">
        <f>ROUNDUP(INFO!G132,0)</f>
        <v>90</v>
      </c>
      <c r="G31" s="640" t="str">
        <f t="shared" si="0"/>
        <v/>
      </c>
      <c r="H31" s="641"/>
      <c r="I31" s="393"/>
      <c r="J31" s="393"/>
      <c r="K31" s="393"/>
      <c r="L31" s="393"/>
      <c r="M31" s="393"/>
      <c r="N31" s="723" t="s">
        <v>25</v>
      </c>
      <c r="O31" s="724"/>
      <c r="P31" s="72" t="s">
        <v>24</v>
      </c>
      <c r="Q31" s="72" t="s">
        <v>23</v>
      </c>
      <c r="R31" s="73" t="s">
        <v>63</v>
      </c>
      <c r="S31" s="608" t="s">
        <v>22</v>
      </c>
      <c r="T31" s="610"/>
      <c r="AF31" s="393"/>
    </row>
    <row r="32" spans="1:32" ht="15" customHeight="1">
      <c r="A32" s="191" t="s">
        <v>10</v>
      </c>
      <c r="B32" s="61">
        <v>3</v>
      </c>
      <c r="C32" s="79">
        <v>57</v>
      </c>
      <c r="D32" s="712">
        <v>10</v>
      </c>
      <c r="E32" s="9">
        <f>INFO!G133-C32</f>
        <v>27.186820498935688</v>
      </c>
      <c r="F32" s="214">
        <f>ROUNDUP(INFO!G133,0)</f>
        <v>85</v>
      </c>
      <c r="G32" s="640" t="str">
        <f t="shared" si="0"/>
        <v/>
      </c>
      <c r="H32" s="641"/>
      <c r="I32" s="393"/>
      <c r="J32" s="393"/>
      <c r="K32" s="393"/>
      <c r="L32" s="393"/>
      <c r="M32" s="393"/>
      <c r="N32" s="725"/>
      <c r="O32" s="726"/>
      <c r="P32" s="191" t="s">
        <v>21</v>
      </c>
      <c r="Q32" s="5">
        <f>IF(INFO!D111&gt;999,999,INFO!D111)</f>
        <v>198</v>
      </c>
      <c r="R32" s="620">
        <f>IF((SUM(Q32:Q33)/2)&gt;999,999,(Q32+Q33)/2)</f>
        <v>273</v>
      </c>
      <c r="S32" s="642" t="s">
        <v>20</v>
      </c>
      <c r="T32" s="618">
        <f>((Q33+Q32)/2)-$O$3</f>
        <v>-27</v>
      </c>
      <c r="AA32" s="6"/>
      <c r="AF32" s="393"/>
    </row>
    <row r="33" spans="1:32" ht="15.75" customHeight="1">
      <c r="A33" s="191" t="s">
        <v>26</v>
      </c>
      <c r="B33" s="61">
        <v>3</v>
      </c>
      <c r="C33" s="79">
        <v>0</v>
      </c>
      <c r="D33" s="712"/>
      <c r="E33" s="9">
        <f>INFO!G134-C33</f>
        <v>12.829737125141492</v>
      </c>
      <c r="F33" s="214">
        <f>ROUNDUP(INFO!G134,0)</f>
        <v>13</v>
      </c>
      <c r="G33" s="640" t="str">
        <f t="shared" si="0"/>
        <v/>
      </c>
      <c r="H33" s="641"/>
      <c r="I33" s="393"/>
      <c r="J33" s="393"/>
      <c r="K33" s="393"/>
      <c r="L33" s="393"/>
      <c r="M33" s="393"/>
      <c r="N33" s="725"/>
      <c r="O33" s="726"/>
      <c r="P33" s="191" t="s">
        <v>18</v>
      </c>
      <c r="Q33" s="5">
        <f>IF(INFO!D112&gt;999,999,INFO!D112)</f>
        <v>348</v>
      </c>
      <c r="R33" s="621"/>
      <c r="S33" s="643"/>
      <c r="T33" s="619"/>
      <c r="AA33" s="6"/>
      <c r="AF33" s="393"/>
    </row>
    <row r="34" spans="1:32" ht="15" customHeight="1">
      <c r="A34" s="393"/>
      <c r="B34" s="393"/>
      <c r="C34" s="393"/>
      <c r="D34" s="393"/>
      <c r="E34" s="393"/>
      <c r="F34" s="393"/>
      <c r="G34" s="393"/>
      <c r="H34" s="393"/>
      <c r="I34" s="393"/>
      <c r="J34" s="393"/>
      <c r="K34" s="393"/>
      <c r="L34" s="393"/>
      <c r="M34" s="393"/>
      <c r="N34" s="725"/>
      <c r="O34" s="726"/>
      <c r="P34" s="191" t="s">
        <v>15</v>
      </c>
      <c r="Q34" s="5">
        <f>IF(INFO!D106&gt;999,999,INFO!D106)</f>
        <v>495</v>
      </c>
      <c r="R34" s="195"/>
      <c r="S34" s="210" t="s">
        <v>15</v>
      </c>
      <c r="T34" s="5">
        <f>Q34-Q5</f>
        <v>23</v>
      </c>
      <c r="AF34" s="393"/>
    </row>
    <row r="35" spans="1:32">
      <c r="A35" s="393"/>
      <c r="B35" s="393"/>
      <c r="C35" s="393"/>
      <c r="D35" s="393"/>
      <c r="E35" s="393"/>
      <c r="F35" s="393"/>
      <c r="G35" s="393"/>
      <c r="H35" s="393"/>
      <c r="I35" s="393"/>
      <c r="J35" s="393"/>
      <c r="K35" s="393"/>
      <c r="L35" s="393"/>
      <c r="M35" s="393"/>
      <c r="N35" s="725"/>
      <c r="O35" s="726"/>
      <c r="P35" s="191" t="s">
        <v>14</v>
      </c>
      <c r="Q35" s="5">
        <f>IF(INFO!D107&gt;999,999,INFO!D107)</f>
        <v>737</v>
      </c>
      <c r="R35" s="195"/>
      <c r="S35" s="210" t="s">
        <v>14</v>
      </c>
      <c r="T35" s="5">
        <f>Q35-Q6</f>
        <v>-36</v>
      </c>
      <c r="AF35" s="393"/>
    </row>
    <row r="36" spans="1:32">
      <c r="A36" s="709" t="s">
        <v>233</v>
      </c>
      <c r="B36" s="710"/>
      <c r="C36" s="710"/>
      <c r="D36" s="710"/>
      <c r="E36" s="710"/>
      <c r="F36" s="710"/>
      <c r="G36" s="710"/>
      <c r="H36" s="710"/>
      <c r="I36" s="710"/>
      <c r="J36" s="710"/>
      <c r="K36" s="711"/>
      <c r="L36" s="393"/>
      <c r="M36" s="393"/>
      <c r="N36" s="725"/>
      <c r="O36" s="726"/>
      <c r="P36" s="191" t="s">
        <v>11</v>
      </c>
      <c r="Q36" s="5">
        <f>IF(INFO!D108&gt;999,999,INFO!D108)</f>
        <v>634</v>
      </c>
      <c r="R36" s="195"/>
      <c r="S36" s="210" t="s">
        <v>11</v>
      </c>
      <c r="T36" s="5">
        <f>Q36-Q7</f>
        <v>26</v>
      </c>
      <c r="AF36" s="393"/>
    </row>
    <row r="37" spans="1:32" ht="15" customHeight="1">
      <c r="A37" s="182"/>
      <c r="B37" s="181"/>
      <c r="C37" s="181"/>
      <c r="D37" s="181"/>
      <c r="E37" s="181"/>
      <c r="F37" s="181"/>
      <c r="G37" s="181"/>
      <c r="H37" s="714" t="s">
        <v>232</v>
      </c>
      <c r="I37" s="716">
        <f>D32</f>
        <v>10</v>
      </c>
      <c r="J37" s="195"/>
      <c r="K37" s="195"/>
      <c r="L37" s="393"/>
      <c r="M37" s="393"/>
      <c r="N37" s="727"/>
      <c r="O37" s="728"/>
      <c r="P37" s="191" t="s">
        <v>10</v>
      </c>
      <c r="Q37" s="5">
        <f>IF(INFO!D109&gt;999,999,INFO!D109)</f>
        <v>340</v>
      </c>
      <c r="R37" s="206"/>
      <c r="S37" s="210" t="s">
        <v>10</v>
      </c>
      <c r="T37" s="5">
        <f>Q37-Q8</f>
        <v>36</v>
      </c>
      <c r="AF37" s="393"/>
    </row>
    <row r="38" spans="1:32" ht="12.75" customHeight="1">
      <c r="A38" s="211" t="s">
        <v>231</v>
      </c>
      <c r="B38" s="192">
        <v>15</v>
      </c>
      <c r="C38" s="720" t="s">
        <v>230</v>
      </c>
      <c r="D38" s="721"/>
      <c r="E38" s="721"/>
      <c r="F38" s="721"/>
      <c r="G38" s="722"/>
      <c r="H38" s="715"/>
      <c r="I38" s="717"/>
      <c r="J38" s="734" t="s">
        <v>61</v>
      </c>
      <c r="K38" s="735"/>
      <c r="L38" s="393"/>
      <c r="M38" s="393"/>
      <c r="N38" s="393"/>
      <c r="O38" s="393"/>
      <c r="P38" s="393"/>
      <c r="Q38" s="393"/>
      <c r="R38" s="393"/>
      <c r="S38" s="393"/>
      <c r="T38" s="393"/>
      <c r="U38" s="183"/>
      <c r="V38" s="183"/>
      <c r="W38" s="183"/>
      <c r="X38" s="183"/>
      <c r="Y38" s="183"/>
      <c r="Z38" s="183"/>
      <c r="AA38" s="183"/>
      <c r="AB38" s="183"/>
      <c r="AC38" s="183"/>
      <c r="AD38" s="183"/>
      <c r="AE38" s="183"/>
      <c r="AF38" s="393"/>
    </row>
    <row r="39" spans="1:32">
      <c r="A39" s="182"/>
      <c r="B39" s="181"/>
      <c r="C39" s="181"/>
      <c r="D39" s="181"/>
      <c r="E39" s="181"/>
      <c r="F39" s="181"/>
      <c r="G39" s="181"/>
      <c r="H39" s="181"/>
      <c r="I39" s="181"/>
      <c r="J39" s="718" t="str">
        <f>I4</f>
        <v>Normal</v>
      </c>
      <c r="K39" s="719"/>
      <c r="L39" s="393"/>
      <c r="M39" s="393"/>
      <c r="N39" s="393"/>
      <c r="O39" s="393"/>
      <c r="P39" s="393"/>
      <c r="Q39" s="393"/>
      <c r="R39" s="393"/>
      <c r="S39" s="393"/>
      <c r="T39" s="393"/>
      <c r="U39" s="183"/>
      <c r="V39" s="183"/>
      <c r="W39" s="183"/>
      <c r="X39" s="183"/>
      <c r="Y39" s="183"/>
      <c r="Z39" s="183"/>
      <c r="AA39" s="183"/>
      <c r="AB39" s="183"/>
      <c r="AC39" s="183"/>
      <c r="AD39" s="183"/>
      <c r="AE39" s="183"/>
      <c r="AF39" s="393"/>
    </row>
    <row r="40" spans="1:32" ht="15" customHeight="1">
      <c r="A40" s="182"/>
      <c r="B40" s="708" t="s">
        <v>229</v>
      </c>
      <c r="C40" s="708" t="s">
        <v>138</v>
      </c>
      <c r="D40" s="708" t="s">
        <v>228</v>
      </c>
      <c r="E40" s="708" t="s">
        <v>234</v>
      </c>
      <c r="F40" s="708" t="s">
        <v>227</v>
      </c>
      <c r="G40" s="729" t="s">
        <v>235</v>
      </c>
      <c r="H40" s="708" t="s">
        <v>226</v>
      </c>
      <c r="I40" s="708"/>
      <c r="J40" s="730" t="s">
        <v>236</v>
      </c>
      <c r="K40" s="731"/>
      <c r="L40" s="393"/>
      <c r="M40" s="393"/>
      <c r="N40" s="393"/>
      <c r="O40" s="393"/>
      <c r="P40" s="393"/>
      <c r="Q40" s="393"/>
      <c r="R40" s="393"/>
      <c r="S40" s="393"/>
      <c r="T40" s="393"/>
      <c r="U40" s="183"/>
      <c r="V40" s="183"/>
      <c r="W40" s="183"/>
      <c r="X40" s="183"/>
      <c r="Y40" s="183"/>
      <c r="Z40" s="183"/>
      <c r="AA40" s="183"/>
      <c r="AB40" s="183"/>
      <c r="AC40" s="183"/>
      <c r="AD40" s="183"/>
      <c r="AE40" s="183"/>
      <c r="AF40" s="393"/>
    </row>
    <row r="41" spans="1:32">
      <c r="A41" s="212"/>
      <c r="B41" s="708"/>
      <c r="C41" s="708"/>
      <c r="D41" s="708"/>
      <c r="E41" s="708"/>
      <c r="F41" s="708"/>
      <c r="G41" s="729"/>
      <c r="H41" s="708"/>
      <c r="I41" s="708"/>
      <c r="J41" s="732"/>
      <c r="K41" s="733"/>
      <c r="L41" s="393"/>
      <c r="M41" s="393"/>
      <c r="N41" s="393"/>
      <c r="O41" s="393"/>
      <c r="P41" s="393"/>
      <c r="Q41" s="393"/>
      <c r="R41" s="393"/>
      <c r="S41" s="393"/>
      <c r="T41" s="393"/>
      <c r="U41" s="183"/>
      <c r="V41" s="183"/>
      <c r="W41" s="183"/>
      <c r="X41" s="183"/>
      <c r="Y41" s="183"/>
      <c r="Z41" s="183"/>
      <c r="AA41" s="183"/>
      <c r="AB41" s="183"/>
      <c r="AC41" s="183"/>
      <c r="AD41" s="183"/>
      <c r="AE41" s="183"/>
      <c r="AF41" s="393"/>
    </row>
    <row r="42" spans="1:32">
      <c r="A42" s="211" t="s">
        <v>225</v>
      </c>
      <c r="B42" s="140">
        <f>(ROUNDUP(VLOOKUP($H$2,INFO!$A$3:$I$64,9,0)/('Ingénierie pneu'!P3*(100-$B$38)/100),0))-1</f>
        <v>3</v>
      </c>
      <c r="C42" s="5">
        <f>$H$57/(B42+1)</f>
        <v>62.25</v>
      </c>
      <c r="D42" s="4">
        <f>B42*(25+$I$6)</f>
        <v>151.5</v>
      </c>
      <c r="E42" s="4">
        <f>(C42*(B42+1)*0.002488974)/(B42+1)*$I$5*$I$7</f>
        <v>47.796088799646</v>
      </c>
      <c r="F42" s="4">
        <v>0</v>
      </c>
      <c r="G42" s="4">
        <f>VLOOKUP($I$4,INFO!$A$136:$B$140,2,0)</f>
        <v>1.44</v>
      </c>
      <c r="H42" s="736">
        <f>SUM(D42:F42)</f>
        <v>199.29608879964599</v>
      </c>
      <c r="I42" s="736"/>
      <c r="J42" s="665">
        <f>SUM(D42:E42)+(F42/G42)</f>
        <v>199.29608879964599</v>
      </c>
      <c r="K42" s="666"/>
      <c r="L42" s="393"/>
      <c r="M42" s="393"/>
      <c r="N42" s="393"/>
      <c r="O42" s="393"/>
      <c r="P42" s="393"/>
      <c r="Q42" s="393"/>
      <c r="R42" s="393"/>
      <c r="S42" s="393"/>
      <c r="T42" s="393"/>
      <c r="U42" s="183"/>
      <c r="V42" s="183"/>
      <c r="W42" s="183"/>
      <c r="X42" s="183"/>
      <c r="Y42" s="183"/>
      <c r="Z42" s="183"/>
      <c r="AA42" s="183"/>
      <c r="AB42" s="183"/>
      <c r="AC42" s="183"/>
      <c r="AD42" s="183"/>
      <c r="AE42" s="183"/>
      <c r="AF42" s="393"/>
    </row>
    <row r="43" spans="1:32">
      <c r="A43" s="211" t="s">
        <v>212</v>
      </c>
      <c r="B43" s="140">
        <f>(ROUNDUP(VLOOKUP($H$2,INFO!$A$3:$I$64,9,0)/('Ingénierie pneu'!P4*(100-$B$38)/100),0))-1</f>
        <v>2</v>
      </c>
      <c r="C43" s="5">
        <f>$H$57/(B43+1)</f>
        <v>83</v>
      </c>
      <c r="D43" s="4">
        <f>B43*(25+$I$6)</f>
        <v>101</v>
      </c>
      <c r="E43" s="4">
        <f>(C43*(B43+1)*0.002488974)/(B43+1)*$I$5*$I$7</f>
        <v>63.728118399528</v>
      </c>
      <c r="F43" s="4">
        <f>H12*I5</f>
        <v>23.700600000000001</v>
      </c>
      <c r="G43" s="4">
        <f>VLOOKUP($I$4,INFO!$A$136:$B$140,2,0)</f>
        <v>1.44</v>
      </c>
      <c r="H43" s="736">
        <f>SUM(D43:F43)</f>
        <v>188.42871839952801</v>
      </c>
      <c r="I43" s="736"/>
      <c r="J43" s="665">
        <f>SUM(D43:E43)+(F43/G43)</f>
        <v>181.18686839952801</v>
      </c>
      <c r="K43" s="666"/>
      <c r="L43" s="393"/>
      <c r="M43" s="393"/>
      <c r="N43" s="393"/>
      <c r="O43" s="393"/>
      <c r="P43" s="393"/>
      <c r="Q43" s="393"/>
      <c r="R43" s="393"/>
      <c r="S43" s="393"/>
      <c r="T43" s="393"/>
      <c r="U43" s="183"/>
      <c r="V43" s="183"/>
      <c r="W43" s="183"/>
      <c r="X43" s="183"/>
      <c r="Y43" s="183"/>
      <c r="Z43" s="183"/>
      <c r="AA43" s="183"/>
      <c r="AB43" s="183"/>
      <c r="AC43" s="183"/>
      <c r="AD43" s="183"/>
      <c r="AE43" s="183"/>
      <c r="AF43" s="393"/>
    </row>
    <row r="44" spans="1:32">
      <c r="A44" s="211" t="s">
        <v>135</v>
      </c>
      <c r="B44" s="140">
        <f>(ROUNDUP(VLOOKUP($H$2,INFO!$A$3:$I$64,9,0)/('Ingénierie pneu'!P5*(100-$B$38)/100),0))-1</f>
        <v>2</v>
      </c>
      <c r="C44" s="5">
        <f>$H$57/(B44+1)</f>
        <v>83</v>
      </c>
      <c r="D44" s="4">
        <f>B44*(25+$I$6)</f>
        <v>101</v>
      </c>
      <c r="E44" s="4">
        <f>(C44*(B44+1)*0.002488974)/(B44+1)*$I$5*$I$7</f>
        <v>63.728118399528</v>
      </c>
      <c r="F44" s="4">
        <f>F43*2</f>
        <v>47.401200000000003</v>
      </c>
      <c r="G44" s="4">
        <f>VLOOKUP($I$4,INFO!$A$136:$B$140,2,0)</f>
        <v>1.44</v>
      </c>
      <c r="H44" s="736">
        <f>SUM(D44:F44)</f>
        <v>212.12931839952802</v>
      </c>
      <c r="I44" s="736"/>
      <c r="J44" s="665">
        <f>SUM(D44:E44)+(F44/G44)</f>
        <v>197.64561839952802</v>
      </c>
      <c r="K44" s="666"/>
      <c r="L44" s="393"/>
      <c r="M44" s="393"/>
      <c r="N44" s="393"/>
      <c r="O44" s="393"/>
      <c r="P44" s="393"/>
      <c r="Q44" s="393"/>
      <c r="R44" s="393"/>
      <c r="S44" s="393"/>
      <c r="T44" s="393"/>
      <c r="U44" s="183"/>
      <c r="V44" s="183"/>
      <c r="W44" s="183"/>
      <c r="X44" s="183"/>
      <c r="Y44" s="183"/>
      <c r="Z44" s="183"/>
      <c r="AA44" s="183"/>
      <c r="AB44" s="183"/>
      <c r="AC44" s="183"/>
      <c r="AD44" s="183"/>
      <c r="AE44" s="183"/>
      <c r="AF44" s="393"/>
    </row>
    <row r="45" spans="1:32" ht="15.75" customHeight="1">
      <c r="A45" s="211" t="s">
        <v>152</v>
      </c>
      <c r="B45" s="140">
        <f>(ROUNDUP(VLOOKUP($H$2,INFO!$A$3:$I$64,9,0)/('Ingénierie pneu'!P6*(100-$B$38)/100),0))-1</f>
        <v>1</v>
      </c>
      <c r="C45" s="5">
        <f>$H$57/(B45+1)</f>
        <v>124.5</v>
      </c>
      <c r="D45" s="4">
        <f>B45*(25+$I$6)</f>
        <v>50.5</v>
      </c>
      <c r="E45" s="4">
        <f>(C45*(B45+1)*0.002488974)/(B45+1)*$I$5*$I$7</f>
        <v>95.592177599292</v>
      </c>
      <c r="F45" s="4">
        <f>F43*3</f>
        <v>71.101799999999997</v>
      </c>
      <c r="G45" s="4">
        <f>VLOOKUP($I$4,INFO!$A$136:$B$140,2,0)</f>
        <v>1.44</v>
      </c>
      <c r="H45" s="736">
        <f>SUM(D45:F45)</f>
        <v>217.193977599292</v>
      </c>
      <c r="I45" s="736"/>
      <c r="J45" s="665">
        <f>SUM(D45:E45)+(F45/G45)</f>
        <v>195.468427599292</v>
      </c>
      <c r="K45" s="666"/>
      <c r="L45" s="393"/>
      <c r="M45" s="393"/>
      <c r="N45" s="393"/>
      <c r="O45" s="393"/>
      <c r="P45" s="393"/>
      <c r="Q45" s="393"/>
      <c r="R45" s="393"/>
      <c r="S45" s="393"/>
      <c r="T45" s="393"/>
      <c r="U45" s="183"/>
      <c r="V45" s="183"/>
      <c r="W45" s="183"/>
      <c r="X45" s="183"/>
      <c r="Y45" s="183"/>
      <c r="Z45" s="183"/>
      <c r="AA45" s="183"/>
      <c r="AB45" s="183"/>
      <c r="AC45" s="183"/>
      <c r="AD45" s="183"/>
      <c r="AE45" s="183"/>
      <c r="AF45" s="393"/>
    </row>
    <row r="46" spans="1:32" ht="15.75" customHeight="1">
      <c r="A46" s="395"/>
      <c r="B46" s="396"/>
      <c r="C46" s="397"/>
      <c r="D46" s="398"/>
      <c r="E46" s="398"/>
      <c r="F46" s="398"/>
      <c r="G46" s="398"/>
      <c r="H46" s="398"/>
      <c r="I46" s="398"/>
      <c r="J46" s="398"/>
      <c r="K46" s="398"/>
      <c r="L46" s="393"/>
      <c r="M46" s="393"/>
      <c r="N46" s="393"/>
      <c r="O46" s="393"/>
      <c r="P46" s="393"/>
      <c r="Q46" s="393"/>
      <c r="R46" s="393"/>
      <c r="S46" s="393"/>
      <c r="T46" s="393"/>
      <c r="U46" s="183"/>
      <c r="V46" s="183"/>
      <c r="W46" s="183"/>
      <c r="X46" s="183"/>
      <c r="Y46" s="183"/>
      <c r="Z46" s="183"/>
      <c r="AA46" s="183"/>
      <c r="AB46" s="183"/>
      <c r="AC46" s="183"/>
      <c r="AD46" s="183"/>
      <c r="AE46" s="183"/>
      <c r="AF46" s="393"/>
    </row>
    <row r="47" spans="1:32" ht="20.25" customHeight="1">
      <c r="A47" s="393"/>
      <c r="B47" s="740" t="s">
        <v>307</v>
      </c>
      <c r="C47" s="741"/>
      <c r="D47" s="741"/>
      <c r="E47" s="742"/>
      <c r="F47" s="612" t="s">
        <v>225</v>
      </c>
      <c r="G47" s="612"/>
      <c r="H47" s="175"/>
      <c r="I47" s="611" t="str">
        <f>INT(H47/3600)&amp;"h "&amp;MOD(INT(H47/60),60)&amp;"m "&amp;MOD(H47,60)&amp;" s"</f>
        <v>0h 0m 0 s</v>
      </c>
      <c r="J47" s="611"/>
      <c r="K47" s="183"/>
      <c r="L47" s="183"/>
      <c r="M47" s="393"/>
      <c r="N47" s="393"/>
      <c r="O47" s="393"/>
      <c r="P47" s="393"/>
      <c r="Q47" s="393"/>
      <c r="R47" s="393"/>
      <c r="S47" s="393"/>
      <c r="T47" s="393"/>
      <c r="U47" s="183"/>
      <c r="V47" s="183"/>
      <c r="W47" s="183"/>
      <c r="X47" s="183"/>
      <c r="Y47" s="183"/>
      <c r="Z47" s="183"/>
      <c r="AA47" s="183"/>
      <c r="AB47" s="183"/>
      <c r="AC47" s="183"/>
      <c r="AD47" s="183"/>
      <c r="AE47" s="183"/>
      <c r="AF47" s="393"/>
    </row>
    <row r="48" spans="1:32" ht="20.25" customHeight="1">
      <c r="A48" s="393"/>
      <c r="B48" s="743"/>
      <c r="C48" s="744"/>
      <c r="D48" s="744"/>
      <c r="E48" s="745"/>
      <c r="F48" s="612" t="s">
        <v>212</v>
      </c>
      <c r="G48" s="612"/>
      <c r="H48" s="175"/>
      <c r="I48" s="611" t="str">
        <f>INT(H48/3600)&amp;"h "&amp;MOD(INT(H48/60),60)&amp;"m "&amp;MOD(H48,60)&amp;" s"</f>
        <v>0h 0m 0 s</v>
      </c>
      <c r="J48" s="611"/>
      <c r="K48" s="183"/>
      <c r="L48" s="183"/>
      <c r="M48" s="393"/>
      <c r="N48" s="393"/>
      <c r="O48" s="393"/>
      <c r="P48" s="393"/>
      <c r="Q48" s="393"/>
      <c r="R48" s="393"/>
      <c r="S48" s="393"/>
      <c r="T48" s="393"/>
      <c r="U48" s="183"/>
      <c r="V48" s="183"/>
      <c r="W48" s="183"/>
      <c r="X48" s="183"/>
      <c r="Y48" s="183"/>
      <c r="Z48" s="183"/>
      <c r="AA48" s="183"/>
      <c r="AB48" s="183"/>
      <c r="AC48" s="183"/>
      <c r="AD48" s="183"/>
      <c r="AE48" s="183"/>
      <c r="AF48" s="393"/>
    </row>
    <row r="49" spans="1:32" ht="20.25" customHeight="1">
      <c r="A49" s="393"/>
      <c r="B49" s="743"/>
      <c r="C49" s="744"/>
      <c r="D49" s="744"/>
      <c r="E49" s="745"/>
      <c r="F49" s="612" t="s">
        <v>135</v>
      </c>
      <c r="G49" s="612"/>
      <c r="H49" s="175"/>
      <c r="I49" s="611" t="str">
        <f>INT(H49/3600)&amp;"h "&amp;MOD(INT(H49/60),60)&amp;"m "&amp;MOD(H49,60)&amp;" s"</f>
        <v>0h 0m 0 s</v>
      </c>
      <c r="J49" s="611"/>
      <c r="K49" s="183"/>
      <c r="L49" s="183"/>
      <c r="M49" s="393"/>
      <c r="N49" s="393"/>
      <c r="O49" s="393"/>
      <c r="P49" s="393"/>
      <c r="Q49" s="393"/>
      <c r="R49" s="393"/>
      <c r="S49" s="393"/>
      <c r="T49" s="393"/>
      <c r="U49" s="183"/>
      <c r="V49" s="183"/>
      <c r="W49" s="183"/>
      <c r="X49" s="183"/>
      <c r="Y49" s="183"/>
      <c r="Z49" s="183"/>
      <c r="AA49" s="183"/>
      <c r="AB49" s="183"/>
      <c r="AC49" s="183"/>
      <c r="AD49" s="183"/>
      <c r="AE49" s="183"/>
      <c r="AF49" s="393"/>
    </row>
    <row r="50" spans="1:32" ht="15" customHeight="1">
      <c r="A50" s="393"/>
      <c r="B50" s="658" t="s">
        <v>273</v>
      </c>
      <c r="C50" s="659"/>
      <c r="D50" s="659"/>
      <c r="E50" s="660"/>
      <c r="F50" s="612" t="s">
        <v>152</v>
      </c>
      <c r="G50" s="612"/>
      <c r="H50" s="175"/>
      <c r="I50" s="611" t="str">
        <f>INT(H50/3600)&amp;"h "&amp;MOD(INT(H50/60),60)&amp;"m "&amp;MOD(H50,60)&amp;" s"</f>
        <v>0h 0m 0 s</v>
      </c>
      <c r="J50" s="611"/>
      <c r="K50" s="183"/>
      <c r="L50" s="183"/>
      <c r="M50" s="393"/>
      <c r="N50" s="393"/>
      <c r="O50" s="393"/>
      <c r="P50" s="393"/>
      <c r="Q50" s="393"/>
      <c r="R50" s="393"/>
      <c r="S50" s="393"/>
      <c r="T50" s="393"/>
      <c r="U50" s="183"/>
      <c r="V50" s="183"/>
      <c r="W50" s="183"/>
      <c r="X50" s="183"/>
      <c r="Y50" s="183"/>
      <c r="Z50" s="183"/>
      <c r="AA50" s="183"/>
      <c r="AB50" s="183"/>
      <c r="AC50" s="183"/>
      <c r="AD50" s="183"/>
      <c r="AE50" s="183"/>
      <c r="AF50" s="393"/>
    </row>
    <row r="51" spans="1:32">
      <c r="A51" s="393"/>
      <c r="B51" s="393"/>
      <c r="C51" s="393"/>
      <c r="D51" s="393"/>
      <c r="E51" s="393"/>
      <c r="F51" s="393"/>
      <c r="G51" s="393"/>
      <c r="H51" s="393"/>
      <c r="I51" s="393"/>
      <c r="J51" s="393"/>
      <c r="K51" s="393"/>
      <c r="L51" s="393"/>
      <c r="M51" s="393"/>
      <c r="N51" s="393"/>
      <c r="O51" s="393"/>
      <c r="P51" s="393"/>
      <c r="Q51" s="393"/>
      <c r="R51" s="393"/>
      <c r="S51" s="393"/>
      <c r="T51" s="393"/>
      <c r="U51" s="183"/>
      <c r="V51" s="183"/>
      <c r="W51" s="183"/>
      <c r="X51" s="183"/>
      <c r="Y51" s="183"/>
      <c r="Z51" s="183"/>
      <c r="AA51" s="183"/>
      <c r="AB51" s="183"/>
      <c r="AC51" s="183"/>
      <c r="AD51" s="183"/>
      <c r="AE51" s="183"/>
      <c r="AF51" s="393"/>
    </row>
    <row r="52" spans="1:32" ht="15.75">
      <c r="A52" s="393"/>
      <c r="B52" s="608" t="s">
        <v>19</v>
      </c>
      <c r="C52" s="609"/>
      <c r="D52" s="609"/>
      <c r="E52" s="609"/>
      <c r="F52" s="609"/>
      <c r="G52" s="609"/>
      <c r="H52" s="610"/>
      <c r="I52" s="746" t="s">
        <v>496</v>
      </c>
      <c r="J52" s="747"/>
      <c r="K52" s="747"/>
      <c r="L52" s="747"/>
      <c r="M52" s="747"/>
      <c r="N52" s="748"/>
      <c r="O52" s="393"/>
      <c r="P52" s="393"/>
      <c r="Q52" s="393"/>
      <c r="R52" s="393"/>
      <c r="S52" s="393"/>
      <c r="T52" s="393"/>
      <c r="U52" s="183"/>
      <c r="V52" s="183"/>
      <c r="W52" s="183"/>
      <c r="X52" s="183"/>
      <c r="Y52" s="183"/>
      <c r="Z52" s="183"/>
      <c r="AA52" s="183"/>
      <c r="AB52" s="183"/>
      <c r="AC52" s="183"/>
      <c r="AD52" s="183"/>
      <c r="AE52" s="183"/>
      <c r="AF52" s="393"/>
    </row>
    <row r="53" spans="1:32">
      <c r="A53" s="393"/>
      <c r="B53" s="470" t="s">
        <v>487</v>
      </c>
      <c r="C53" s="468">
        <v>2</v>
      </c>
      <c r="D53" s="737" t="s">
        <v>196</v>
      </c>
      <c r="E53" s="738"/>
      <c r="F53" s="472">
        <v>0</v>
      </c>
      <c r="G53" s="496">
        <f>IF((H57-K57)&lt;0,0,H57-K57)</f>
        <v>1.6848175469111197</v>
      </c>
      <c r="H53" s="477" t="s">
        <v>16</v>
      </c>
      <c r="I53" s="463"/>
      <c r="J53" s="461"/>
      <c r="K53" s="461"/>
      <c r="L53" s="461"/>
      <c r="M53" s="461"/>
      <c r="N53" s="462"/>
      <c r="O53" s="393"/>
      <c r="P53" s="393"/>
      <c r="Q53" s="393"/>
      <c r="R53" s="393"/>
      <c r="S53" s="393"/>
      <c r="T53" s="393"/>
      <c r="U53" s="393"/>
      <c r="V53" s="393"/>
      <c r="W53" s="393"/>
      <c r="X53" s="393"/>
      <c r="Y53" s="393"/>
      <c r="Z53" s="393"/>
      <c r="AA53" s="393"/>
      <c r="AB53" s="393"/>
      <c r="AC53" s="393"/>
      <c r="AD53" s="393"/>
      <c r="AE53" s="393"/>
      <c r="AF53" s="393"/>
    </row>
    <row r="54" spans="1:32">
      <c r="A54" s="393"/>
      <c r="B54" s="473"/>
      <c r="C54" s="470" t="s">
        <v>8</v>
      </c>
      <c r="D54" s="470" t="s">
        <v>7</v>
      </c>
      <c r="E54" s="470" t="s">
        <v>6</v>
      </c>
      <c r="F54" s="470" t="s">
        <v>5</v>
      </c>
      <c r="G54" s="470" t="s">
        <v>4</v>
      </c>
      <c r="H54" s="495">
        <f>D32</f>
        <v>10</v>
      </c>
      <c r="I54" s="482"/>
      <c r="J54" s="482" t="s">
        <v>485</v>
      </c>
      <c r="K54" s="482" t="s">
        <v>486</v>
      </c>
      <c r="L54" s="482" t="s">
        <v>494</v>
      </c>
      <c r="M54" s="483" t="s">
        <v>188</v>
      </c>
      <c r="N54" s="482" t="s">
        <v>68</v>
      </c>
      <c r="O54" s="393"/>
      <c r="P54" s="393"/>
      <c r="Q54" s="393"/>
      <c r="R54" s="393"/>
      <c r="S54" s="393"/>
      <c r="T54" s="393"/>
      <c r="U54" s="393"/>
      <c r="V54" s="393"/>
      <c r="W54" s="393"/>
      <c r="X54" s="393"/>
      <c r="Y54" s="393"/>
      <c r="Z54" s="393"/>
      <c r="AA54" s="393"/>
      <c r="AB54" s="393"/>
      <c r="AC54" s="393"/>
      <c r="AD54" s="393"/>
      <c r="AE54" s="393"/>
      <c r="AF54" s="393"/>
    </row>
    <row r="55" spans="1:32">
      <c r="A55" s="393"/>
      <c r="B55" s="470" t="s">
        <v>486</v>
      </c>
      <c r="C55" s="511">
        <f>IF(SUM(INFO!B88:B89)&gt;0,SUM(INFO!B88:B89),"-")</f>
        <v>19</v>
      </c>
      <c r="D55" s="511">
        <f>IF(SUM(INFO!C88:C89)&gt;0,SUM(INFO!C88:C89),"-")</f>
        <v>19</v>
      </c>
      <c r="E55" s="511">
        <f>IF(SUM(INFO!D88:D89)&gt;0,SUM(INFO!D88:D89),"-")</f>
        <v>19</v>
      </c>
      <c r="F55" s="511" t="str">
        <f>IF(SUM(INFO!E88:E89)&gt;0,SUM(INFO!E88:E89),"-")</f>
        <v>-</v>
      </c>
      <c r="G55" s="511" t="str">
        <f>IF(SUM(INFO!F88:F89)&gt;0,SUM(INFO!F88:F89),"-")</f>
        <v>-</v>
      </c>
      <c r="H55" s="478"/>
      <c r="I55" s="482" t="s">
        <v>498</v>
      </c>
      <c r="J55" s="490">
        <f>VLOOKUP(M55,'Ingénierie pneu'!H3:P7,9,0)</f>
        <v>136.41999518307563</v>
      </c>
      <c r="K55" s="491">
        <f>J55/VLOOKUP(H2,INFO!$A$3:$G$65,7,0)</f>
        <v>25.206946633975541</v>
      </c>
      <c r="L55" s="492">
        <f>(100%)/K55</f>
        <v>3.9671603805124731E-2</v>
      </c>
      <c r="M55" s="469" t="s">
        <v>212</v>
      </c>
      <c r="N55" s="454" t="str">
        <f>$H$2</f>
        <v>Sakhir</v>
      </c>
      <c r="O55" s="458"/>
      <c r="P55" s="393"/>
      <c r="Q55" s="393"/>
      <c r="R55" s="393"/>
      <c r="S55" s="393"/>
      <c r="T55" s="393"/>
      <c r="U55" s="393"/>
      <c r="V55" s="393"/>
      <c r="W55" s="393"/>
      <c r="X55" s="393"/>
      <c r="Y55" s="393"/>
      <c r="Z55" s="393"/>
      <c r="AA55" s="393"/>
      <c r="AB55" s="393"/>
      <c r="AC55" s="393"/>
      <c r="AD55" s="393"/>
      <c r="AE55" s="393"/>
      <c r="AF55" s="393"/>
    </row>
    <row r="56" spans="1:32">
      <c r="A56" s="393"/>
      <c r="B56" s="470" t="s">
        <v>2</v>
      </c>
      <c r="C56" s="515">
        <f>IF(C857&lt;&gt;"-",100-C55*100*VLOOKUP($H$2,INFO!$A$3:$G$65,7,0)/$J$55,"-")/100</f>
        <v>0.24623952770263016</v>
      </c>
      <c r="D56" s="515">
        <f>IFERROR(IF(D55&lt;&gt;"-",100-D55*100*VLOOKUP($H$2,INFO!$A$3:$G$65,7,0)/$J$55,"-")/100,"-")</f>
        <v>0.24623952770263016</v>
      </c>
      <c r="E56" s="515">
        <f>IFERROR(IF(E55&lt;&gt;"-",100-E55*100*VLOOKUP($H$2,INFO!$A$3:$G$65,7,0)/$J$55,"-")/100,"-")</f>
        <v>0.24623952770263016</v>
      </c>
      <c r="F56" s="515" t="str">
        <f>IFERROR(IF(F55&lt;&gt;"-",100-F55*100*VLOOKUP($H$2,INFO!$A$3:$G$65,7,0)/$J$55,"-")/100,"-")</f>
        <v>-</v>
      </c>
      <c r="G56" s="515" t="str">
        <f>IFERROR(IF(G55&lt;&gt;"-",100-G55*100*VLOOKUP($H$2,INFO!$A$3:$G$65,7,0)/$J$55,"-")/100,"-")</f>
        <v>-</v>
      </c>
      <c r="H56" s="470" t="s">
        <v>484</v>
      </c>
      <c r="I56" s="482"/>
      <c r="J56" s="493" t="s">
        <v>483</v>
      </c>
      <c r="K56" s="493" t="s">
        <v>484</v>
      </c>
      <c r="L56" s="493" t="s">
        <v>495</v>
      </c>
      <c r="M56" s="483" t="s">
        <v>189</v>
      </c>
      <c r="N56" s="482" t="s">
        <v>486</v>
      </c>
      <c r="O56" s="393"/>
      <c r="P56" s="393"/>
      <c r="Q56" s="393"/>
      <c r="R56" s="393"/>
      <c r="S56" s="393"/>
      <c r="T56" s="393"/>
      <c r="U56" s="393"/>
      <c r="V56" s="393"/>
      <c r="W56" s="393"/>
      <c r="X56" s="393"/>
      <c r="Y56" s="393"/>
      <c r="Z56" s="393"/>
      <c r="AA56" s="393"/>
      <c r="AB56" s="393"/>
      <c r="AC56" s="393"/>
      <c r="AD56" s="393"/>
      <c r="AE56" s="393"/>
      <c r="AF56" s="393"/>
    </row>
    <row r="57" spans="1:32">
      <c r="A57" s="393"/>
      <c r="B57" s="470" t="s">
        <v>1</v>
      </c>
      <c r="C57" s="508">
        <f>IF(C55&lt;&gt;"-",SUM(E100,(E100*$F$53)/100),"-")</f>
        <v>83</v>
      </c>
      <c r="D57" s="508">
        <f>IF(D55&lt;&gt;"-",SUM(F100,(F100*$F$53)/100),"-")</f>
        <v>83</v>
      </c>
      <c r="E57" s="508">
        <f>IF(E55&lt;&gt;"-",SUM(G100,(G100*$F$53)/100),"-")</f>
        <v>83</v>
      </c>
      <c r="F57" s="508" t="str">
        <f>IF(F55&lt;&gt;"-",SUM(H100,(H100*$F$53)/100),"-")</f>
        <v>-</v>
      </c>
      <c r="G57" s="508" t="str">
        <f>IF(G55&lt;&gt;"-",SUM(I100,(I100*$F$53)/100),"-")</f>
        <v>-</v>
      </c>
      <c r="H57" s="510">
        <f>SUM(C57:G57)</f>
        <v>249</v>
      </c>
      <c r="I57" s="482" t="s">
        <v>1</v>
      </c>
      <c r="J57" s="494">
        <f>IF(M57="Sec",VLOOKUP(H2,INFO!$A$3:$AA$65,26,0),VLOOKUP(H2,INFO!$A$3:$AA$65,27,0))+INFO!H83</f>
        <v>0.80171153918222304</v>
      </c>
      <c r="K57" s="494">
        <f>VLOOKUP($H$2,INFO!$A$3:$Z$65,9,0)*J57</f>
        <v>247.31518245308888</v>
      </c>
      <c r="L57" s="494">
        <f>$I$7*$J$57</f>
        <v>4.3388628500541913</v>
      </c>
      <c r="M57" s="469" t="s">
        <v>513</v>
      </c>
      <c r="N57" s="464">
        <f>$I$5</f>
        <v>57</v>
      </c>
      <c r="O57" s="393"/>
      <c r="P57" s="393"/>
      <c r="Q57" s="393"/>
      <c r="R57" s="393"/>
      <c r="S57" s="393"/>
      <c r="T57" s="393"/>
      <c r="U57" s="393"/>
      <c r="V57" s="393"/>
      <c r="W57" s="393"/>
      <c r="X57" s="393"/>
      <c r="Y57" s="393"/>
      <c r="Z57" s="393"/>
      <c r="AA57" s="393"/>
      <c r="AB57" s="393"/>
      <c r="AC57" s="393"/>
      <c r="AD57" s="393"/>
      <c r="AE57" s="393"/>
      <c r="AF57" s="393"/>
    </row>
    <row r="58" spans="1:32">
      <c r="A58" s="393"/>
      <c r="B58" s="470" t="s">
        <v>0</v>
      </c>
      <c r="C58" s="434">
        <f>IFERROR(ROUNDDOWN(($J$55-C55*VLOOKUP($H$2,INFO!$A$3:$AA$65,7,0))/VLOOKUP($H$2,INFO!$A$3:$AA$65,7,0),0),"")</f>
        <v>6</v>
      </c>
      <c r="D58" s="434">
        <f>IFERROR(ROUNDDOWN(($J$55-D55*VLOOKUP($H$2,INFO!$A$3:$AA$65,7,0))/VLOOKUP($H$2,INFO!$A$3:$AA$65,7,0),0),"")</f>
        <v>6</v>
      </c>
      <c r="E58" s="434">
        <f>IFERROR(ROUNDDOWN(($J$55-E55*VLOOKUP($H$2,INFO!$A$3:$AA$65,7,0))/VLOOKUP($H$2,INFO!$A$3:$AA$65,7,0),0),"")</f>
        <v>6</v>
      </c>
      <c r="F58" s="434" t="str">
        <f>IFERROR(ROUNDDOWN(($J$55-F55*VLOOKUP($H$2,INFO!$A$3:$AA$65,7,0))/VLOOKUP($H$2,INFO!$A$3:$AA$65,7,0),0),"")</f>
        <v/>
      </c>
      <c r="G58" s="467" t="str">
        <f>IFERROR(ROUNDDOWN(($J$55-G55*VLOOKUP($H$2,INFO!$A$3:$AA$65,7,0))/VLOOKUP($H$2,INFO!$A$3:$AA$65,7,0),0),"")</f>
        <v/>
      </c>
      <c r="H58" s="498"/>
      <c r="I58" s="499"/>
      <c r="J58" s="499"/>
      <c r="K58" s="500"/>
      <c r="L58" s="500"/>
      <c r="M58" s="500"/>
      <c r="N58" s="501"/>
      <c r="O58" s="393"/>
      <c r="P58" s="393"/>
      <c r="Q58" s="393"/>
      <c r="R58" s="393"/>
      <c r="S58" s="393"/>
      <c r="T58" s="393"/>
      <c r="U58" s="393"/>
      <c r="V58" s="393"/>
      <c r="W58" s="393"/>
      <c r="X58" s="393"/>
      <c r="Y58" s="393"/>
      <c r="Z58" s="393"/>
      <c r="AA58" s="393"/>
      <c r="AB58" s="393"/>
      <c r="AC58" s="393"/>
      <c r="AD58" s="393"/>
      <c r="AE58" s="393"/>
      <c r="AF58" s="393"/>
    </row>
    <row r="59" spans="1:32" hidden="1">
      <c r="A59" s="393"/>
      <c r="B59" s="479"/>
      <c r="C59" s="480"/>
      <c r="D59" s="480"/>
      <c r="E59" s="480"/>
      <c r="F59" s="480"/>
      <c r="G59" s="480"/>
      <c r="H59" s="479"/>
      <c r="I59" s="502"/>
      <c r="J59" s="502"/>
      <c r="K59" s="502"/>
      <c r="L59" s="502"/>
      <c r="M59" s="502"/>
      <c r="N59" s="503"/>
      <c r="O59" s="393"/>
      <c r="P59" s="393"/>
      <c r="Q59" s="393"/>
      <c r="R59" s="393"/>
      <c r="S59" s="393"/>
      <c r="T59" s="393"/>
      <c r="U59" s="393"/>
      <c r="V59" s="393"/>
      <c r="W59" s="393"/>
      <c r="X59" s="393"/>
      <c r="Y59" s="393"/>
      <c r="Z59" s="393"/>
      <c r="AA59" s="393"/>
      <c r="AB59" s="393"/>
      <c r="AC59" s="393"/>
      <c r="AD59" s="393"/>
      <c r="AE59" s="393"/>
      <c r="AF59" s="393"/>
    </row>
    <row r="60" spans="1:32" hidden="1">
      <c r="A60" s="393"/>
      <c r="B60" s="479"/>
      <c r="C60" s="481"/>
      <c r="D60" s="481"/>
      <c r="E60" s="480"/>
      <c r="F60" s="480"/>
      <c r="G60" s="480"/>
      <c r="H60" s="479"/>
      <c r="I60" s="502"/>
      <c r="J60" s="502"/>
      <c r="K60" s="502"/>
      <c r="L60" s="502"/>
      <c r="M60" s="502"/>
      <c r="N60" s="503"/>
      <c r="O60" s="393"/>
      <c r="P60" s="393"/>
      <c r="Q60" s="393"/>
      <c r="R60" s="393"/>
      <c r="S60" s="393"/>
      <c r="T60" s="393"/>
      <c r="U60" s="393"/>
      <c r="V60" s="393"/>
      <c r="W60" s="393"/>
      <c r="X60" s="393"/>
      <c r="Y60" s="393"/>
      <c r="Z60" s="393"/>
      <c r="AA60" s="393"/>
      <c r="AB60" s="393"/>
      <c r="AC60" s="393"/>
      <c r="AD60" s="393"/>
      <c r="AE60" s="393"/>
      <c r="AF60" s="393"/>
    </row>
    <row r="61" spans="1:32">
      <c r="A61" s="393"/>
      <c r="B61" s="476" t="s">
        <v>504</v>
      </c>
      <c r="C61" s="487">
        <f>IFERROR(($G$53/$N$57)*C55,"")</f>
        <v>0.56160584897037324</v>
      </c>
      <c r="D61" s="487">
        <f>IFERROR(($G$53/$N$57)*D55,"")</f>
        <v>0.56160584897037324</v>
      </c>
      <c r="E61" s="487">
        <f>IFERROR(($G$53/$N$57)*E55,"")</f>
        <v>0.56160584897037324</v>
      </c>
      <c r="F61" s="487" t="str">
        <f>IFERROR(($G$53/$N$57)*F55,"")</f>
        <v/>
      </c>
      <c r="G61" s="488" t="str">
        <f>IFERROR(($G$53/$N$57)*G55,"")</f>
        <v/>
      </c>
      <c r="H61" s="504"/>
      <c r="I61" s="505"/>
      <c r="J61" s="505"/>
      <c r="K61" s="506"/>
      <c r="L61" s="506"/>
      <c r="M61" s="506"/>
      <c r="N61" s="507"/>
      <c r="O61" s="393"/>
      <c r="P61" s="393"/>
      <c r="Q61" s="393"/>
      <c r="R61" s="393"/>
      <c r="S61" s="393"/>
      <c r="T61" s="393"/>
      <c r="U61" s="393"/>
      <c r="V61" s="393"/>
      <c r="W61" s="393"/>
      <c r="X61" s="393"/>
      <c r="Y61" s="393"/>
      <c r="Z61" s="393"/>
      <c r="AA61" s="393"/>
      <c r="AB61" s="393"/>
      <c r="AC61" s="393"/>
      <c r="AD61" s="393"/>
      <c r="AE61" s="393"/>
      <c r="AF61" s="393"/>
    </row>
    <row r="62" spans="1:32" ht="15.75">
      <c r="A62" s="393"/>
      <c r="B62" s="608" t="s">
        <v>9</v>
      </c>
      <c r="C62" s="739"/>
      <c r="D62" s="739"/>
      <c r="E62" s="739"/>
      <c r="F62" s="739"/>
      <c r="G62" s="739"/>
      <c r="H62" s="614"/>
      <c r="I62" s="613" t="s">
        <v>497</v>
      </c>
      <c r="J62" s="614"/>
      <c r="K62" s="614"/>
      <c r="L62" s="614"/>
      <c r="M62" s="614"/>
      <c r="N62" s="615"/>
      <c r="O62" s="393"/>
      <c r="P62" s="393"/>
      <c r="Q62" s="393"/>
      <c r="R62" s="393"/>
      <c r="S62" s="393"/>
      <c r="T62" s="393"/>
      <c r="U62" s="393"/>
      <c r="V62" s="393"/>
      <c r="W62" s="393"/>
      <c r="X62" s="393"/>
      <c r="Y62" s="393"/>
      <c r="Z62" s="393"/>
      <c r="AA62" s="393"/>
      <c r="AB62" s="393"/>
      <c r="AC62" s="393"/>
      <c r="AD62" s="393"/>
      <c r="AE62" s="393"/>
      <c r="AF62" s="393"/>
    </row>
    <row r="63" spans="1:32" ht="15" customHeight="1">
      <c r="A63" s="393"/>
      <c r="B63" s="470" t="s">
        <v>487</v>
      </c>
      <c r="C63" s="471">
        <v>2</v>
      </c>
      <c r="D63" s="737" t="s">
        <v>196</v>
      </c>
      <c r="E63" s="738"/>
      <c r="F63" s="472">
        <v>0</v>
      </c>
      <c r="G63" s="496">
        <f>IF(OR((H67-K57)&gt;=100,(H67-K57)&lt;0),0,H67-K57)</f>
        <v>1.6848175469111197</v>
      </c>
      <c r="H63" s="470"/>
      <c r="I63" s="191" t="s">
        <v>8</v>
      </c>
      <c r="J63" s="191" t="s">
        <v>7</v>
      </c>
      <c r="K63" s="191" t="s">
        <v>6</v>
      </c>
      <c r="L63" s="191" t="s">
        <v>5</v>
      </c>
      <c r="M63" s="191" t="s">
        <v>4</v>
      </c>
      <c r="N63" s="191" t="s">
        <v>499</v>
      </c>
      <c r="O63" s="393"/>
      <c r="P63" s="393"/>
      <c r="Q63" s="393"/>
      <c r="R63" s="393"/>
      <c r="S63" s="393"/>
      <c r="T63" s="393"/>
      <c r="U63" s="393"/>
      <c r="V63" s="393"/>
      <c r="W63" s="393"/>
      <c r="X63" s="393"/>
      <c r="Y63" s="393"/>
      <c r="Z63" s="393"/>
      <c r="AA63" s="393"/>
      <c r="AB63" s="393"/>
      <c r="AC63" s="393"/>
      <c r="AD63" s="393"/>
      <c r="AE63" s="393"/>
      <c r="AF63" s="393"/>
    </row>
    <row r="64" spans="1:32" ht="15" customHeight="1">
      <c r="A64" s="393"/>
      <c r="B64" s="473"/>
      <c r="C64" s="470" t="s">
        <v>8</v>
      </c>
      <c r="D64" s="470" t="s">
        <v>7</v>
      </c>
      <c r="E64" s="470" t="s">
        <v>6</v>
      </c>
      <c r="F64" s="470" t="s">
        <v>5</v>
      </c>
      <c r="G64" s="470" t="s">
        <v>4</v>
      </c>
      <c r="H64" s="474" t="s">
        <v>191</v>
      </c>
      <c r="I64" s="468">
        <v>85</v>
      </c>
      <c r="J64" s="468">
        <v>85</v>
      </c>
      <c r="K64" s="468">
        <v>85</v>
      </c>
      <c r="L64" s="468">
        <v>0</v>
      </c>
      <c r="M64" s="468">
        <v>0</v>
      </c>
      <c r="N64" s="191" t="s">
        <v>500</v>
      </c>
      <c r="O64" s="393"/>
      <c r="P64" s="393"/>
      <c r="Q64" s="393"/>
      <c r="R64" s="393"/>
      <c r="S64" s="393"/>
      <c r="T64" s="393"/>
      <c r="U64" s="393"/>
      <c r="V64" s="393"/>
      <c r="W64" s="393"/>
      <c r="X64" s="393"/>
      <c r="Y64" s="393"/>
      <c r="Z64" s="393"/>
      <c r="AA64" s="393"/>
      <c r="AB64" s="393"/>
      <c r="AC64" s="393"/>
      <c r="AD64" s="393"/>
      <c r="AE64" s="393"/>
      <c r="AF64" s="393"/>
    </row>
    <row r="65" spans="1:32" ht="15" customHeight="1">
      <c r="A65" s="393"/>
      <c r="B65" s="470" t="s">
        <v>486</v>
      </c>
      <c r="C65" s="512">
        <v>19</v>
      </c>
      <c r="D65" s="512">
        <v>19</v>
      </c>
      <c r="E65" s="512">
        <v>19</v>
      </c>
      <c r="F65" s="512">
        <v>0</v>
      </c>
      <c r="G65" s="512">
        <v>0</v>
      </c>
      <c r="H65" s="497">
        <f>IFERROR(VLOOKUP(C63,F103:G107,2,0),"ERREUR !")</f>
        <v>57</v>
      </c>
      <c r="I65" s="468">
        <v>0</v>
      </c>
      <c r="J65" s="468">
        <v>0</v>
      </c>
      <c r="K65" s="468">
        <v>0</v>
      </c>
      <c r="L65" s="468">
        <v>0</v>
      </c>
      <c r="M65" s="468">
        <v>0</v>
      </c>
      <c r="N65" s="191" t="s">
        <v>508</v>
      </c>
      <c r="O65" s="393"/>
      <c r="P65" s="393"/>
      <c r="Q65" s="393"/>
      <c r="R65" s="393"/>
      <c r="S65" s="393"/>
      <c r="T65" s="393"/>
      <c r="U65" s="393"/>
      <c r="V65" s="393"/>
      <c r="W65" s="393"/>
      <c r="X65" s="393"/>
      <c r="Y65" s="393"/>
      <c r="Z65" s="393"/>
      <c r="AA65" s="393"/>
      <c r="AB65" s="393"/>
      <c r="AC65" s="393"/>
      <c r="AD65" s="393"/>
      <c r="AE65" s="393"/>
      <c r="AF65" s="393"/>
    </row>
    <row r="66" spans="1:32" ht="15" customHeight="1">
      <c r="A66" s="393"/>
      <c r="B66" s="470" t="s">
        <v>2</v>
      </c>
      <c r="C66" s="513">
        <f>IF(C65&lt;&gt;"-",(100-C65*100*VLOOKUP($H$2,INFO!$A$3:$G$65,7,0)/$J$55)/100,"-")</f>
        <v>0.24623952770263016</v>
      </c>
      <c r="D66" s="513">
        <f>IF(D65&lt;&gt;"",(100-D65*100*VLOOKUP($H$2,INFO!$A$3:$G$65,7,0)/$J$55)/100,"")</f>
        <v>0.24623952770263016</v>
      </c>
      <c r="E66" s="514">
        <f>IF(E65&lt;&gt;"",(100-E65*100*VLOOKUP($H$2,INFO!$A$3:$G$65,7,0)/$J$55)/100,"")</f>
        <v>0.24623952770263016</v>
      </c>
      <c r="F66" s="514">
        <f>IF(F65&lt;&gt;"",(100-F65*100*VLOOKUP($H$2,INFO!$A$3:$G$65,7,0)/$J$55)/100,"")</f>
        <v>1</v>
      </c>
      <c r="G66" s="514">
        <f>IF(G65&lt;&gt;"",(100-G65*100*VLOOKUP($H$2,INFO!$A$3:$G$65,7,0)/$J$55)/100,"")</f>
        <v>1</v>
      </c>
      <c r="H66" s="470" t="s">
        <v>484</v>
      </c>
      <c r="I66" s="485">
        <f>IF(I64=0,0,(IF(I69="Sec",VLOOKUP(H2,INFO!$A$3:$AA$65,26,0),VLOOKUP(H2,INFO!$A$3:$AA$65,27,0))+INFO!H83)*$I$7)*I65</f>
        <v>0</v>
      </c>
      <c r="J66" s="485">
        <f>IF(J64=0,0,(IF(J69="Sec",VLOOKUP(H2,INFO!$A$3:$AA$65,26,0),VLOOKUP(H2,INFO!$A$3:$AA$65,27,0))+INFO!H83)*$I$7)*J65</f>
        <v>0</v>
      </c>
      <c r="K66" s="485">
        <f>IF(K64=0,0,(IF(K69="Sec",VLOOKUP(H2,INFO!$A$3:$AA$65,26,0),VLOOKUP(H2,INFO!$A$3:$AA$65,27,0))+INFO!H83)*$I$7)*K65</f>
        <v>0</v>
      </c>
      <c r="L66" s="485">
        <f>IF(L64=0,0,(IF(L69="Sec",VLOOKUP(H2,INFO!$A$3:$AA$65,26,0),VLOOKUP(H2,INFO!$A$3:$AA$65,27,0))+INFO!H83)*$I$7)*L65</f>
        <v>0</v>
      </c>
      <c r="M66" s="485">
        <f>IF(M64=0,0,(IF(M69="Sec",VLOOKUP(H2,INFO!$A$3:$AA$65,26,0),VLOOKUP(H2,INFO!$A$3:$AA$65,27,0))+INFO!H83)*$I$7)*M65</f>
        <v>0</v>
      </c>
      <c r="N66" s="460" t="s">
        <v>507</v>
      </c>
      <c r="O66" s="393"/>
      <c r="P66" s="393"/>
      <c r="Q66" s="393"/>
      <c r="R66" s="393"/>
      <c r="S66" s="393"/>
      <c r="T66" s="393"/>
      <c r="U66" s="393"/>
      <c r="V66" s="393"/>
      <c r="W66" s="393"/>
      <c r="X66" s="393"/>
      <c r="Y66" s="393"/>
      <c r="Z66" s="393"/>
      <c r="AA66" s="393"/>
      <c r="AB66" s="393"/>
      <c r="AC66" s="393"/>
      <c r="AD66" s="393"/>
      <c r="AE66" s="393"/>
      <c r="AF66" s="393"/>
    </row>
    <row r="67" spans="1:32" ht="15" customHeight="1">
      <c r="A67" s="393"/>
      <c r="B67" s="470" t="s">
        <v>1</v>
      </c>
      <c r="C67" s="508">
        <f>IF(C65&lt;&gt;"-",SUM(E101,(E101*$F$63)/100),"-")</f>
        <v>83</v>
      </c>
      <c r="D67" s="508">
        <f>IF(D65&lt;&gt;"-",SUM(F101,(F101*$F$63)/100),"-")</f>
        <v>83</v>
      </c>
      <c r="E67" s="509">
        <f>IF(E65&lt;&gt;"-",SUM(G101,(G101*$F$63)/100),"-")</f>
        <v>83</v>
      </c>
      <c r="F67" s="509">
        <f>IF(F65&lt;&gt;"-",SUM(H101,(H101*$F$63)/100),"-")</f>
        <v>0</v>
      </c>
      <c r="G67" s="509">
        <f>IF(G65&lt;&gt;"-",SUM(I101,(I101*$F$63)/100),"-")</f>
        <v>0</v>
      </c>
      <c r="H67" s="510">
        <f>SUM(C67:G67)</f>
        <v>249</v>
      </c>
      <c r="I67" s="486">
        <v>0</v>
      </c>
      <c r="J67" s="486">
        <v>0</v>
      </c>
      <c r="K67" s="486">
        <v>0</v>
      </c>
      <c r="L67" s="486">
        <v>0</v>
      </c>
      <c r="M67" s="486">
        <v>0</v>
      </c>
      <c r="N67" s="460" t="s">
        <v>501</v>
      </c>
      <c r="O67" s="393"/>
      <c r="P67" s="393"/>
      <c r="Q67" s="393"/>
      <c r="R67" s="393"/>
      <c r="S67" s="393"/>
      <c r="T67" s="393"/>
      <c r="U67" s="393"/>
      <c r="V67" s="393"/>
      <c r="W67" s="393"/>
      <c r="X67" s="393"/>
      <c r="Y67" s="393"/>
      <c r="Z67" s="393"/>
      <c r="AA67" s="393"/>
      <c r="AB67" s="393"/>
      <c r="AC67" s="393"/>
      <c r="AD67" s="393"/>
      <c r="AE67" s="393"/>
      <c r="AF67" s="393"/>
    </row>
    <row r="68" spans="1:32">
      <c r="A68" s="393"/>
      <c r="B68" s="470" t="s">
        <v>0</v>
      </c>
      <c r="C68" s="465">
        <f>ROUNDDOWN(($J$55-C65*VLOOKUP($H$2,INFO!$A$3:$AA$65,7,0))/VLOOKUP($H$2,INFO!$A$3:$AA$65,7,0),0)</f>
        <v>6</v>
      </c>
      <c r="D68" s="465">
        <f>IF(C63=0,0,ROUNDDOWN(($J$55-D65*VLOOKUP($H$2,INFO!$A$3:$AA$65,7,0))/VLOOKUP($H$2,INFO!$A$3:$AA$65,7,0),0))</f>
        <v>6</v>
      </c>
      <c r="E68" s="465">
        <f>IF(OR(C63=0,C63=1),0,ROUNDDOWN(($J$55-E65*VLOOKUP($H$2,INFO!$A$3:$AA$65,7,0))/VLOOKUP($H$2,INFO!$A$3:$AA$65,7,0),0))</f>
        <v>6</v>
      </c>
      <c r="F68" s="465">
        <f>IF(OR(C63=0,C63=1,C63=2),0,ROUNDDOWN(($J$55-F65*VLOOKUP($H$2,INFO!$A$3:$AA$65,7,0))/VLOOKUP($H$2,INFO!$A$3:$AA$65,7,0),0))</f>
        <v>0</v>
      </c>
      <c r="G68" s="465">
        <f>IF(OR(C63=0,C63=1,C63=2,C63=3),0,ROUNDDOWN(($J$55-G65*VLOOKUP($H$2,INFO!$A$3:$AA$65,7,0))/VLOOKUP($H$2,INFO!$A$3:$AA$65,7,0),0))</f>
        <v>0</v>
      </c>
      <c r="H68" s="475"/>
      <c r="I68" s="484">
        <f>ROUNDUP(SUM(I64,I66,I67),0)</f>
        <v>85</v>
      </c>
      <c r="J68" s="484">
        <f>ROUNDUP(SUM(J64,J66,J67),0)</f>
        <v>85</v>
      </c>
      <c r="K68" s="484">
        <f>ROUNDUP(SUM(K64,K66,K67),0)</f>
        <v>85</v>
      </c>
      <c r="L68" s="484">
        <f>ROUNDUP(SUM(L64,L66,L67),0)</f>
        <v>0</v>
      </c>
      <c r="M68" s="484">
        <f>ROUNDUP(SUM(M64,M66,M67),0)</f>
        <v>0</v>
      </c>
      <c r="N68" s="460" t="s">
        <v>503</v>
      </c>
      <c r="O68" s="393"/>
      <c r="P68" s="393"/>
      <c r="Q68" s="393"/>
      <c r="R68" s="393"/>
      <c r="S68" s="393"/>
      <c r="T68" s="393"/>
      <c r="U68" s="393"/>
      <c r="V68" s="393"/>
      <c r="W68" s="393"/>
      <c r="X68" s="393"/>
      <c r="Y68" s="393"/>
      <c r="Z68" s="393"/>
      <c r="AA68" s="393"/>
      <c r="AB68" s="393"/>
      <c r="AC68" s="393"/>
      <c r="AD68" s="393"/>
      <c r="AE68" s="393"/>
      <c r="AF68" s="393"/>
    </row>
    <row r="69" spans="1:32">
      <c r="A69" s="393"/>
      <c r="B69" s="476" t="s">
        <v>504</v>
      </c>
      <c r="C69" s="489">
        <f>IFERROR(($G$63/SUM($C$65:$G$65))*C65,0)</f>
        <v>0.56160584897037324</v>
      </c>
      <c r="D69" s="489">
        <f>IFERROR(($G$63/SUM($C$65:$G$65))*D65,0)</f>
        <v>0.56160584897037324</v>
      </c>
      <c r="E69" s="489">
        <f>IFERROR(($G$63/SUM($C$65:$G$65))*E65,0)</f>
        <v>0.56160584897037324</v>
      </c>
      <c r="F69" s="489">
        <f>IFERROR(($G$63/SUM($C$65:$G$65))*F65,0)</f>
        <v>0</v>
      </c>
      <c r="G69" s="489">
        <f>IFERROR(($G$63/SUM($C$65:$G$65))*G65,0)</f>
        <v>0</v>
      </c>
      <c r="H69" s="460"/>
      <c r="I69" s="469" t="s">
        <v>243</v>
      </c>
      <c r="J69" s="469" t="s">
        <v>243</v>
      </c>
      <c r="K69" s="469" t="s">
        <v>243</v>
      </c>
      <c r="L69" s="469" t="s">
        <v>243</v>
      </c>
      <c r="M69" s="469" t="s">
        <v>243</v>
      </c>
      <c r="N69" s="460" t="s">
        <v>502</v>
      </c>
      <c r="O69" s="393"/>
      <c r="P69" s="393"/>
      <c r="Q69" s="393"/>
      <c r="R69" s="393"/>
      <c r="S69" s="393"/>
      <c r="T69" s="393"/>
      <c r="U69" s="393"/>
      <c r="V69" s="393"/>
      <c r="W69" s="393"/>
      <c r="X69" s="393"/>
      <c r="Y69" s="393"/>
      <c r="Z69" s="393"/>
      <c r="AA69" s="393"/>
      <c r="AB69" s="393"/>
      <c r="AC69" s="393"/>
      <c r="AD69" s="393"/>
      <c r="AE69" s="393"/>
      <c r="AF69" s="393"/>
    </row>
    <row r="70" spans="1:32">
      <c r="A70" s="393"/>
      <c r="B70" s="393"/>
      <c r="C70" s="393"/>
      <c r="D70" s="393"/>
      <c r="E70" s="393"/>
      <c r="F70" s="393"/>
      <c r="G70" s="393"/>
      <c r="H70" s="393"/>
      <c r="I70" s="529">
        <f>ROUND(I68/$L$57,1)</f>
        <v>19.600000000000001</v>
      </c>
      <c r="J70" s="529">
        <f>ROUND(J68/$L$57,1)</f>
        <v>19.600000000000001</v>
      </c>
      <c r="K70" s="529">
        <f>ROUND(K68/$L$57,1)</f>
        <v>19.600000000000001</v>
      </c>
      <c r="L70" s="529">
        <f>ROUND(L68/$L$57,1)</f>
        <v>0</v>
      </c>
      <c r="M70" s="529">
        <f>ROUND(M68/$L$57,1)</f>
        <v>0</v>
      </c>
      <c r="N70" s="466" t="s">
        <v>505</v>
      </c>
      <c r="O70" s="393"/>
      <c r="P70" s="393"/>
      <c r="Q70" s="393"/>
      <c r="R70" s="393"/>
      <c r="S70" s="393"/>
      <c r="T70" s="393"/>
      <c r="U70" s="393"/>
      <c r="V70" s="393"/>
      <c r="W70" s="393"/>
      <c r="X70" s="393"/>
      <c r="Y70" s="393"/>
      <c r="Z70" s="393"/>
      <c r="AA70" s="393"/>
      <c r="AB70" s="393"/>
      <c r="AC70" s="393"/>
      <c r="AD70" s="393"/>
      <c r="AE70" s="393"/>
      <c r="AF70" s="393"/>
    </row>
    <row r="71" spans="1:32">
      <c r="A71" s="393"/>
      <c r="B71" s="393"/>
      <c r="C71" s="393"/>
      <c r="D71" s="393"/>
      <c r="E71" s="393"/>
      <c r="F71" s="393"/>
      <c r="G71" s="393"/>
      <c r="H71" s="393"/>
      <c r="I71" s="530">
        <f>SUM(C69,I66,I67)</f>
        <v>0.56160584897037324</v>
      </c>
      <c r="J71" s="530">
        <f>SUM(D69,J66,J67)</f>
        <v>0.56160584897037324</v>
      </c>
      <c r="K71" s="530">
        <f>SUM(E69,K66,K67)</f>
        <v>0.56160584897037324</v>
      </c>
      <c r="L71" s="530">
        <f>SUM(F69,L66,L67)</f>
        <v>0</v>
      </c>
      <c r="M71" s="530">
        <f>SUM(G69,M66,M67)</f>
        <v>0</v>
      </c>
      <c r="N71" s="466" t="s">
        <v>506</v>
      </c>
      <c r="O71" s="393"/>
      <c r="P71" s="393"/>
      <c r="Q71" s="393"/>
      <c r="R71" s="393"/>
      <c r="S71" s="393"/>
      <c r="T71" s="393"/>
      <c r="U71" s="393"/>
      <c r="V71" s="393"/>
      <c r="W71" s="393"/>
      <c r="X71" s="393"/>
      <c r="Y71" s="393"/>
      <c r="Z71" s="393"/>
      <c r="AA71" s="393"/>
      <c r="AB71" s="393"/>
      <c r="AC71" s="393"/>
      <c r="AD71" s="393"/>
      <c r="AE71" s="393"/>
      <c r="AF71" s="393"/>
    </row>
    <row r="72" spans="1:32">
      <c r="A72" s="393"/>
      <c r="B72" s="393"/>
      <c r="C72" s="393"/>
      <c r="D72" s="393"/>
      <c r="E72" s="393"/>
      <c r="F72" s="393"/>
      <c r="G72" s="393"/>
      <c r="H72" s="393"/>
      <c r="I72" s="393"/>
      <c r="J72" s="393"/>
      <c r="K72" s="393"/>
      <c r="L72" s="393"/>
      <c r="M72" s="393"/>
      <c r="N72" s="393"/>
      <c r="O72" s="393"/>
      <c r="P72" s="393"/>
      <c r="Q72" s="393"/>
      <c r="R72" s="393"/>
      <c r="S72" s="393"/>
      <c r="T72" s="393"/>
      <c r="U72" s="393"/>
      <c r="V72" s="393"/>
      <c r="W72" s="393"/>
      <c r="X72" s="393"/>
      <c r="Y72" s="393"/>
      <c r="Z72" s="393"/>
      <c r="AA72" s="393"/>
      <c r="AB72" s="393"/>
      <c r="AC72" s="393"/>
      <c r="AD72" s="393"/>
      <c r="AE72" s="393"/>
      <c r="AF72" s="393"/>
    </row>
    <row r="73" spans="1:32">
      <c r="A73" s="393"/>
      <c r="B73" s="393"/>
      <c r="C73" s="393"/>
      <c r="D73" s="393"/>
      <c r="E73" s="393"/>
      <c r="F73" s="393"/>
      <c r="G73" s="393"/>
      <c r="H73" s="393"/>
      <c r="I73" s="393"/>
      <c r="J73" s="393"/>
      <c r="K73" s="394"/>
      <c r="L73" s="394"/>
      <c r="M73" s="393"/>
      <c r="N73" s="393"/>
      <c r="O73" s="393"/>
      <c r="P73" s="393"/>
      <c r="Q73" s="393"/>
      <c r="R73" s="393"/>
      <c r="S73" s="393"/>
      <c r="T73" s="393"/>
      <c r="U73" s="393"/>
      <c r="V73" s="393"/>
      <c r="W73" s="393"/>
      <c r="X73" s="393"/>
      <c r="Y73" s="393"/>
      <c r="Z73" s="393"/>
      <c r="AA73" s="393"/>
      <c r="AB73" s="393"/>
      <c r="AC73" s="393"/>
      <c r="AD73" s="393"/>
      <c r="AE73" s="393"/>
      <c r="AF73" s="393"/>
    </row>
    <row r="74" spans="1:32">
      <c r="A74" s="393"/>
      <c r="B74" s="393"/>
      <c r="C74" s="393"/>
      <c r="D74" s="393"/>
      <c r="E74" s="393"/>
      <c r="F74" s="393"/>
      <c r="G74" s="393"/>
      <c r="H74" s="393"/>
      <c r="I74" s="393"/>
      <c r="J74" s="393"/>
      <c r="K74" s="394"/>
      <c r="L74" s="394"/>
      <c r="M74" s="393"/>
      <c r="N74" s="393"/>
      <c r="O74" s="393"/>
      <c r="P74" s="393"/>
      <c r="Q74" s="393"/>
      <c r="R74" s="393"/>
      <c r="S74" s="393"/>
      <c r="T74" s="393"/>
      <c r="U74" s="393"/>
      <c r="V74" s="393"/>
      <c r="W74" s="393"/>
      <c r="X74" s="393"/>
      <c r="Y74" s="393"/>
      <c r="Z74" s="393"/>
      <c r="AA74" s="393"/>
      <c r="AB74" s="393"/>
      <c r="AC74" s="393"/>
      <c r="AD74" s="393"/>
      <c r="AE74" s="393"/>
      <c r="AF74" s="393"/>
    </row>
    <row r="75" spans="1:32">
      <c r="A75" s="393"/>
      <c r="B75" s="393"/>
      <c r="C75" s="393"/>
      <c r="D75" s="393"/>
      <c r="E75" s="393"/>
      <c r="F75" s="393"/>
      <c r="G75" s="393"/>
      <c r="H75" s="393"/>
      <c r="I75" s="393"/>
      <c r="J75" s="393"/>
      <c r="K75" s="394"/>
      <c r="L75" s="394"/>
      <c r="M75" s="393"/>
      <c r="N75" s="393"/>
      <c r="O75" s="393"/>
      <c r="P75" s="393"/>
      <c r="Q75" s="393"/>
      <c r="R75" s="393"/>
      <c r="S75" s="393"/>
      <c r="T75" s="393"/>
      <c r="U75" s="393"/>
      <c r="V75" s="393"/>
      <c r="W75" s="393"/>
      <c r="X75" s="393"/>
      <c r="Y75" s="393"/>
      <c r="Z75" s="393"/>
      <c r="AA75" s="393"/>
      <c r="AB75" s="393"/>
      <c r="AC75" s="393"/>
      <c r="AD75" s="393"/>
      <c r="AE75" s="393"/>
      <c r="AF75" s="393"/>
    </row>
    <row r="76" spans="1:32">
      <c r="A76" s="393"/>
      <c r="B76" s="393"/>
      <c r="C76" s="393"/>
      <c r="D76" s="393"/>
      <c r="E76" s="393"/>
      <c r="F76" s="393"/>
      <c r="G76" s="393"/>
      <c r="H76" s="393"/>
      <c r="I76" s="393"/>
      <c r="J76" s="393"/>
      <c r="K76" s="394"/>
      <c r="L76" s="394"/>
      <c r="M76" s="393"/>
      <c r="N76" s="393"/>
      <c r="O76" s="393"/>
      <c r="P76" s="393"/>
      <c r="Q76" s="393"/>
      <c r="R76" s="393"/>
      <c r="S76" s="393"/>
      <c r="T76" s="393"/>
      <c r="U76" s="393"/>
      <c r="V76" s="393"/>
      <c r="W76" s="393"/>
      <c r="X76" s="393"/>
      <c r="Y76" s="393"/>
      <c r="Z76" s="393"/>
      <c r="AA76" s="393"/>
      <c r="AB76" s="393"/>
      <c r="AC76" s="393"/>
      <c r="AD76" s="393"/>
      <c r="AE76" s="393"/>
      <c r="AF76" s="393"/>
    </row>
    <row r="77" spans="1:32">
      <c r="A77" s="393"/>
      <c r="B77" s="393"/>
      <c r="C77" s="393"/>
      <c r="D77" s="393"/>
      <c r="E77" s="393"/>
      <c r="F77" s="393"/>
      <c r="G77" s="393"/>
      <c r="H77" s="393"/>
      <c r="I77" s="393"/>
      <c r="J77" s="393"/>
      <c r="K77" s="393"/>
      <c r="L77" s="393"/>
      <c r="M77" s="393"/>
      <c r="N77" s="393"/>
      <c r="O77" s="393"/>
      <c r="P77" s="393"/>
      <c r="Q77" s="393"/>
      <c r="R77" s="393"/>
      <c r="S77" s="393"/>
      <c r="T77" s="393"/>
      <c r="U77" s="393"/>
      <c r="V77" s="393"/>
      <c r="W77" s="393"/>
      <c r="X77" s="393"/>
      <c r="Y77" s="393"/>
      <c r="Z77" s="393"/>
      <c r="AA77" s="393"/>
      <c r="AB77" s="393"/>
      <c r="AC77" s="393"/>
      <c r="AD77" s="393"/>
      <c r="AE77" s="393"/>
      <c r="AF77" s="393"/>
    </row>
    <row r="78" spans="1:32">
      <c r="A78" s="393"/>
      <c r="B78" s="393"/>
      <c r="C78" s="393"/>
      <c r="D78" s="393"/>
      <c r="E78" s="393"/>
      <c r="F78" s="393"/>
      <c r="G78" s="393"/>
      <c r="H78" s="393"/>
      <c r="I78" s="393"/>
      <c r="J78" s="393"/>
      <c r="K78" s="393"/>
      <c r="L78" s="393"/>
      <c r="M78" s="393"/>
      <c r="N78" s="393"/>
      <c r="O78" s="393"/>
      <c r="P78" s="393"/>
      <c r="Q78" s="393"/>
      <c r="R78" s="393"/>
      <c r="S78" s="393"/>
      <c r="T78" s="393"/>
      <c r="U78" s="393"/>
      <c r="V78" s="393"/>
      <c r="W78" s="393"/>
      <c r="X78" s="393"/>
      <c r="Y78" s="393"/>
      <c r="Z78" s="393"/>
      <c r="AA78" s="393"/>
      <c r="AB78" s="393"/>
      <c r="AC78" s="393"/>
      <c r="AD78" s="393"/>
      <c r="AE78" s="393"/>
      <c r="AF78" s="393"/>
    </row>
    <row r="79" spans="1:32">
      <c r="A79" s="393"/>
      <c r="B79" s="393"/>
      <c r="C79" s="393"/>
      <c r="D79" s="393"/>
      <c r="E79" s="393"/>
      <c r="F79" s="393"/>
      <c r="G79" s="393"/>
      <c r="H79" s="393"/>
      <c r="I79" s="393"/>
      <c r="J79" s="393"/>
      <c r="K79" s="393"/>
      <c r="L79" s="393"/>
      <c r="M79" s="393"/>
      <c r="N79" s="393"/>
      <c r="O79" s="393"/>
      <c r="P79" s="393"/>
      <c r="Q79" s="393"/>
      <c r="R79" s="393"/>
      <c r="S79" s="393"/>
      <c r="T79" s="393"/>
      <c r="U79" s="393"/>
      <c r="V79" s="393"/>
      <c r="W79" s="393"/>
      <c r="X79" s="393"/>
      <c r="Y79" s="393"/>
      <c r="Z79" s="393"/>
      <c r="AA79" s="393"/>
      <c r="AB79" s="393"/>
      <c r="AC79" s="393"/>
      <c r="AD79" s="393"/>
      <c r="AE79" s="393"/>
      <c r="AF79" s="393"/>
    </row>
    <row r="80" spans="1:32">
      <c r="A80" s="180"/>
      <c r="B80" s="180"/>
      <c r="C80" s="180"/>
      <c r="D80" s="180"/>
      <c r="E80" s="180"/>
      <c r="F80" s="180"/>
      <c r="G80" s="180"/>
      <c r="H80" s="180"/>
      <c r="I80" s="180"/>
      <c r="J80" s="180"/>
      <c r="K80" s="180"/>
      <c r="L80" s="180"/>
      <c r="M80" s="180"/>
      <c r="N80" s="180"/>
      <c r="O80" s="180"/>
      <c r="P80" s="180"/>
      <c r="Q80" s="180"/>
      <c r="R80" s="180"/>
      <c r="S80" s="180"/>
      <c r="T80" s="180"/>
      <c r="U80" s="180"/>
      <c r="V80" s="180"/>
      <c r="W80" s="180"/>
      <c r="X80" s="180"/>
      <c r="Y80" s="180"/>
      <c r="Z80" s="180"/>
      <c r="AA80" s="180"/>
      <c r="AB80" s="180"/>
      <c r="AC80" s="180"/>
      <c r="AD80" s="180"/>
      <c r="AE80" s="180"/>
      <c r="AF80" s="180"/>
    </row>
    <row r="81" spans="1:32">
      <c r="A81" s="180"/>
      <c r="B81" s="180"/>
      <c r="C81" s="180"/>
      <c r="D81" s="180"/>
      <c r="E81" s="180"/>
      <c r="F81" s="180"/>
      <c r="G81" s="180"/>
      <c r="H81" s="180"/>
      <c r="I81" s="180"/>
      <c r="J81" s="180"/>
      <c r="K81" s="180"/>
      <c r="L81" s="180"/>
      <c r="M81" s="180"/>
      <c r="N81" s="180"/>
      <c r="O81" s="180"/>
      <c r="P81" s="180"/>
      <c r="Q81" s="180"/>
      <c r="R81" s="180"/>
      <c r="S81" s="180"/>
      <c r="T81" s="180"/>
      <c r="U81" s="180"/>
      <c r="V81" s="180"/>
      <c r="W81" s="180"/>
      <c r="X81" s="180"/>
      <c r="Y81" s="180"/>
      <c r="Z81" s="180"/>
      <c r="AA81" s="180"/>
      <c r="AB81" s="180"/>
      <c r="AC81" s="180"/>
      <c r="AD81" s="180"/>
      <c r="AE81" s="180"/>
      <c r="AF81" s="180"/>
    </row>
    <row r="82" spans="1:32">
      <c r="A82" s="180"/>
      <c r="B82" s="180"/>
      <c r="C82" s="180"/>
      <c r="D82" s="180"/>
      <c r="E82" s="180"/>
      <c r="F82" s="180"/>
      <c r="G82" s="180"/>
      <c r="H82" s="180"/>
      <c r="I82" s="180"/>
      <c r="J82" s="180"/>
      <c r="K82" s="180"/>
      <c r="L82" s="180"/>
      <c r="M82" s="180"/>
      <c r="N82" s="180"/>
      <c r="O82" s="180"/>
      <c r="P82" s="180"/>
      <c r="Q82" s="180"/>
      <c r="R82" s="180"/>
      <c r="S82" s="180"/>
      <c r="T82" s="180"/>
      <c r="U82" s="180"/>
      <c r="V82" s="180"/>
      <c r="W82" s="180"/>
      <c r="X82" s="180"/>
      <c r="Y82" s="180"/>
      <c r="Z82" s="180"/>
      <c r="AA82" s="180"/>
      <c r="AB82" s="180"/>
      <c r="AC82" s="180"/>
      <c r="AD82" s="180"/>
      <c r="AE82" s="180"/>
      <c r="AF82" s="180"/>
    </row>
    <row r="83" spans="1:32">
      <c r="A83" s="180"/>
      <c r="B83" s="180"/>
      <c r="C83" s="180"/>
      <c r="D83" s="180"/>
      <c r="E83" s="180"/>
      <c r="F83" s="180"/>
      <c r="G83" s="180"/>
      <c r="H83" s="180"/>
      <c r="I83" s="180"/>
      <c r="J83" s="180"/>
      <c r="K83" s="180"/>
      <c r="L83" s="180"/>
      <c r="M83" s="180"/>
      <c r="N83" s="180"/>
      <c r="O83" s="180"/>
      <c r="P83" s="180"/>
      <c r="Q83" s="180"/>
      <c r="R83" s="180"/>
      <c r="S83" s="180"/>
      <c r="T83" s="180"/>
      <c r="U83" s="180"/>
      <c r="V83" s="180"/>
      <c r="W83" s="180"/>
      <c r="X83" s="180"/>
      <c r="Y83" s="180"/>
      <c r="Z83" s="180"/>
      <c r="AA83" s="180"/>
      <c r="AB83" s="180"/>
      <c r="AC83" s="180"/>
      <c r="AD83" s="180"/>
      <c r="AE83" s="180"/>
      <c r="AF83" s="180"/>
    </row>
    <row r="84" spans="1:32">
      <c r="A84" s="180"/>
      <c r="B84" s="180"/>
      <c r="C84" s="180"/>
      <c r="D84" s="180"/>
      <c r="E84" s="180"/>
      <c r="F84" s="180"/>
      <c r="G84" s="180"/>
      <c r="H84" s="180"/>
      <c r="I84" s="180"/>
      <c r="J84" s="180"/>
      <c r="K84" s="180"/>
      <c r="L84" s="180"/>
      <c r="M84" s="180"/>
      <c r="N84" s="180"/>
      <c r="O84" s="180"/>
      <c r="P84" s="180"/>
      <c r="Q84" s="180"/>
      <c r="R84" s="180"/>
      <c r="S84" s="180"/>
      <c r="T84" s="180"/>
      <c r="U84" s="180"/>
      <c r="V84" s="180"/>
      <c r="W84" s="180"/>
      <c r="X84" s="180"/>
      <c r="Y84" s="180"/>
      <c r="Z84" s="180"/>
      <c r="AA84" s="180"/>
      <c r="AB84" s="180"/>
      <c r="AC84" s="180"/>
      <c r="AD84" s="180"/>
      <c r="AE84" s="180"/>
      <c r="AF84" s="180"/>
    </row>
    <row r="85" spans="1:32">
      <c r="A85" s="180"/>
      <c r="B85" s="180"/>
      <c r="C85" s="180"/>
      <c r="D85" s="180"/>
      <c r="E85" s="180"/>
      <c r="F85" s="180"/>
      <c r="G85" s="180"/>
      <c r="H85" s="180"/>
      <c r="I85" s="180"/>
      <c r="J85" s="180"/>
      <c r="K85" s="180"/>
      <c r="L85" s="180"/>
      <c r="M85" s="180"/>
      <c r="N85" s="180"/>
      <c r="O85" s="180"/>
      <c r="P85" s="180"/>
      <c r="Q85" s="180"/>
      <c r="R85" s="180"/>
      <c r="S85" s="180"/>
      <c r="T85" s="180"/>
      <c r="U85" s="180"/>
      <c r="V85" s="180"/>
      <c r="W85" s="180"/>
      <c r="X85" s="180"/>
      <c r="Y85" s="180"/>
      <c r="Z85" s="180"/>
      <c r="AA85" s="180"/>
      <c r="AB85" s="180"/>
      <c r="AC85" s="180"/>
      <c r="AD85" s="180"/>
      <c r="AE85" s="180"/>
      <c r="AF85" s="180"/>
    </row>
    <row r="86" spans="1:32">
      <c r="A86" s="180"/>
      <c r="B86" s="180"/>
      <c r="C86" s="180"/>
      <c r="D86" s="180"/>
      <c r="E86" s="180"/>
      <c r="F86" s="180"/>
      <c r="G86" s="180"/>
      <c r="H86" s="180"/>
      <c r="I86" s="180"/>
      <c r="J86" s="180"/>
      <c r="K86" s="180"/>
      <c r="L86" s="180"/>
      <c r="M86" s="180"/>
      <c r="N86" s="180"/>
      <c r="O86" s="180"/>
      <c r="P86" s="180"/>
      <c r="Q86" s="180"/>
      <c r="R86" s="180"/>
      <c r="S86" s="180"/>
      <c r="T86" s="180"/>
      <c r="U86" s="180"/>
      <c r="V86" s="180"/>
      <c r="W86" s="180"/>
      <c r="X86" s="180"/>
      <c r="Y86" s="180"/>
      <c r="Z86" s="180"/>
      <c r="AA86" s="180"/>
      <c r="AB86" s="180"/>
      <c r="AC86" s="180"/>
      <c r="AD86" s="180"/>
      <c r="AE86" s="180"/>
      <c r="AF86" s="180"/>
    </row>
    <row r="87" spans="1:32"/>
    <row r="88" spans="1:32"/>
    <row r="89" spans="1:32"/>
    <row r="90" spans="1:32">
      <c r="Q90" s="3"/>
      <c r="R90" s="3"/>
      <c r="S90" s="3"/>
      <c r="T90" s="3"/>
      <c r="U90" s="3"/>
      <c r="V90" s="3"/>
      <c r="W90" s="3"/>
      <c r="X90" s="3"/>
      <c r="Y90" s="3"/>
    </row>
    <row r="91" spans="1:32">
      <c r="Q91" s="3"/>
      <c r="R91" s="3"/>
      <c r="S91" s="3"/>
      <c r="T91" s="3"/>
      <c r="U91" s="3"/>
      <c r="V91" s="3"/>
      <c r="W91" s="3"/>
      <c r="X91" s="3"/>
      <c r="Y91" s="3"/>
    </row>
    <row r="92" spans="1:32">
      <c r="Q92" s="3"/>
      <c r="R92" s="3"/>
      <c r="S92" s="3"/>
      <c r="T92" s="3"/>
      <c r="V92" s="3"/>
      <c r="W92" s="3"/>
      <c r="X92" s="3"/>
      <c r="Y92" s="3"/>
    </row>
    <row r="93" spans="1:32">
      <c r="Q93" s="3"/>
      <c r="R93" s="3"/>
      <c r="S93" s="3"/>
      <c r="T93" s="3"/>
      <c r="V93" s="3"/>
      <c r="W93" s="3"/>
      <c r="X93" s="3"/>
      <c r="Y93" s="3"/>
    </row>
    <row r="94" spans="1:32">
      <c r="Q94" s="3"/>
      <c r="R94" s="3"/>
      <c r="S94" s="3"/>
      <c r="T94" s="3"/>
      <c r="V94" s="3"/>
      <c r="W94" s="3"/>
      <c r="X94" s="3"/>
      <c r="Y94" s="3"/>
    </row>
    <row r="95" spans="1:32">
      <c r="Q95" s="3"/>
      <c r="R95" s="3"/>
      <c r="S95" s="3"/>
      <c r="T95" s="3"/>
      <c r="V95" s="3"/>
      <c r="W95" s="3"/>
      <c r="X95" s="3"/>
      <c r="Y95" s="3"/>
    </row>
    <row r="96" spans="1:32">
      <c r="Q96" s="3"/>
      <c r="R96" s="3"/>
      <c r="S96" s="3"/>
      <c r="T96" s="3"/>
      <c r="V96" s="3"/>
      <c r="W96" s="3"/>
      <c r="X96" s="3"/>
      <c r="Y96" s="3"/>
    </row>
    <row r="97" spans="1:25">
      <c r="Q97" s="3"/>
      <c r="R97" s="3"/>
      <c r="S97" s="3"/>
      <c r="T97" s="3"/>
      <c r="V97" s="3"/>
      <c r="W97" s="3"/>
      <c r="X97" s="3"/>
      <c r="Y97" s="3"/>
    </row>
    <row r="98" spans="1:25">
      <c r="Q98" s="3"/>
      <c r="R98" s="3"/>
      <c r="S98" s="3"/>
      <c r="T98" s="3"/>
      <c r="V98" s="3"/>
      <c r="W98" s="3"/>
      <c r="X98" s="3"/>
      <c r="Y98" s="3"/>
    </row>
    <row r="99" spans="1:25">
      <c r="E99" s="284"/>
      <c r="F99" s="284"/>
      <c r="G99" s="284"/>
      <c r="H99" s="284"/>
      <c r="I99" s="284"/>
      <c r="Q99" s="3"/>
      <c r="R99" s="3"/>
      <c r="S99" s="3"/>
      <c r="T99" s="3"/>
      <c r="V99" s="3"/>
      <c r="W99" s="3"/>
      <c r="X99" s="3"/>
      <c r="Y99" s="3"/>
    </row>
    <row r="100" spans="1:25" ht="108.95" customHeight="1">
      <c r="A100" s="179" t="s">
        <v>125</v>
      </c>
      <c r="B100" s="667"/>
      <c r="C100" s="667"/>
      <c r="D100" s="285" t="s">
        <v>335</v>
      </c>
      <c r="E100" s="456">
        <f>IF(C55&lt;&gt;"-",ROUNDUP(C55*$J57*VLOOKUP($H$2,INFO!$A$3:$G$65,7,0),0),"-")</f>
        <v>83</v>
      </c>
      <c r="F100" s="455">
        <f>IF(D55&lt;&gt;"-",ROUNDUP(D55*$J57*VLOOKUP($H$2,INFO!$A$3:$G$65,7,0),0),"-")</f>
        <v>83</v>
      </c>
      <c r="G100" s="455">
        <f>IF(E55&lt;&gt;"-",ROUNDUP(E55*$J57*VLOOKUP($H$2,INFO!$A$3:$G$65,7,0),0),"-")</f>
        <v>83</v>
      </c>
      <c r="H100" s="455" t="str">
        <f>IF(F55&lt;&gt;"-",ROUNDUP(F55*$J57*VLOOKUP($H$2,INFO!$A$3:$G$65,7,0),0),"-")</f>
        <v>-</v>
      </c>
      <c r="I100" s="455" t="str">
        <f>IF(G55&lt;&gt;"-",ROUNDUP(G55*$J57*VLOOKUP($H$2,INFO!$A$3:$G$65,7,0),0),"-")</f>
        <v>-</v>
      </c>
      <c r="J100" s="459"/>
      <c r="K100" s="459"/>
      <c r="L100" s="459"/>
      <c r="M100" s="459"/>
      <c r="N100" s="459"/>
      <c r="Q100" s="3"/>
      <c r="R100" s="3"/>
      <c r="S100" s="3"/>
      <c r="T100" s="3"/>
      <c r="V100" s="3"/>
      <c r="W100" s="3"/>
      <c r="X100" s="3"/>
      <c r="Y100" s="3"/>
    </row>
    <row r="101" spans="1:25" ht="108.95" customHeight="1">
      <c r="A101" s="179" t="s">
        <v>312</v>
      </c>
      <c r="B101" s="667"/>
      <c r="C101" s="667"/>
      <c r="D101" s="285" t="s">
        <v>336</v>
      </c>
      <c r="E101" s="456">
        <f>IF(C65&lt;&gt;"-",ROUNDUP(C65*$J57*VLOOKUP($H$2,INFO!$A$3:$G$65,7,0),0),"-")</f>
        <v>83</v>
      </c>
      <c r="F101" s="455">
        <f>IF(D65&lt;&gt;"-",ROUNDUP(D65*$J57*VLOOKUP($H$2,INFO!$A$3:$G$65,7,0),0),"-")</f>
        <v>83</v>
      </c>
      <c r="G101" s="457">
        <f>IF(E65&lt;&gt;"-",ROUNDUP(E65*$J57*VLOOKUP($H$2,INFO!$A$3:$G$65,7,0),0),"-")</f>
        <v>83</v>
      </c>
      <c r="H101" s="457">
        <f>IF(F65&lt;&gt;"-",ROUNDUP(F65*$J57*VLOOKUP($H$2,INFO!$A$3:$G$65,7,0),0),"")</f>
        <v>0</v>
      </c>
      <c r="I101" s="457">
        <f>IF(G65&lt;&gt;"-",ROUNDUP(G65*$J57*VLOOKUP($H$2,INFO!$A$3:$G$65,7,0),0),"")</f>
        <v>0</v>
      </c>
      <c r="J101" s="459"/>
      <c r="K101" s="459"/>
      <c r="L101" s="459"/>
      <c r="M101" s="459"/>
      <c r="N101" s="459"/>
      <c r="Q101" s="3"/>
      <c r="R101" s="3"/>
      <c r="S101" s="3"/>
      <c r="T101" s="3"/>
      <c r="V101" s="3"/>
      <c r="W101" s="3"/>
      <c r="X101" s="3"/>
      <c r="Y101" s="3"/>
    </row>
    <row r="102" spans="1:25" ht="108.95" customHeight="1">
      <c r="A102" s="179" t="s">
        <v>123</v>
      </c>
      <c r="B102" s="667"/>
      <c r="C102" s="667"/>
      <c r="Q102" s="3"/>
      <c r="R102" s="3"/>
      <c r="S102" s="3"/>
      <c r="T102" s="3"/>
      <c r="V102" s="3"/>
      <c r="W102" s="3"/>
      <c r="X102" s="3"/>
      <c r="Y102" s="3"/>
    </row>
    <row r="103" spans="1:25" ht="108.95" customHeight="1">
      <c r="A103" s="179" t="s">
        <v>122</v>
      </c>
      <c r="B103" s="667"/>
      <c r="C103" s="667"/>
      <c r="E103" s="267">
        <f>H65-N57</f>
        <v>0</v>
      </c>
      <c r="F103" s="266">
        <v>0</v>
      </c>
      <c r="G103" s="266">
        <f>C65</f>
        <v>19</v>
      </c>
      <c r="Q103" s="3"/>
      <c r="R103" s="3"/>
      <c r="S103" s="3"/>
      <c r="T103" s="3"/>
      <c r="V103" s="3"/>
      <c r="W103" s="3"/>
      <c r="X103" s="3"/>
      <c r="Y103" s="3"/>
    </row>
    <row r="104" spans="1:25" ht="108.95" customHeight="1">
      <c r="A104" s="179" t="s">
        <v>127</v>
      </c>
      <c r="B104" s="667"/>
      <c r="C104" s="667"/>
      <c r="E104" s="263"/>
      <c r="F104" s="265">
        <v>1</v>
      </c>
      <c r="G104" s="265">
        <f>C65+D65</f>
        <v>38</v>
      </c>
    </row>
    <row r="105" spans="1:25" ht="108.95" customHeight="1">
      <c r="A105" s="179" t="s">
        <v>121</v>
      </c>
      <c r="B105" s="667"/>
      <c r="C105" s="667"/>
      <c r="E105" s="263"/>
      <c r="F105" s="270">
        <v>2</v>
      </c>
      <c r="G105" s="270">
        <f>C65+D65+E65</f>
        <v>57</v>
      </c>
    </row>
    <row r="106" spans="1:25" ht="108.95" customHeight="1">
      <c r="A106" s="179" t="s">
        <v>309</v>
      </c>
      <c r="B106" s="667"/>
      <c r="C106" s="667"/>
      <c r="E106" s="263"/>
      <c r="F106" s="264">
        <v>3</v>
      </c>
      <c r="G106" s="264">
        <f>C65+D65+E65+F65</f>
        <v>57</v>
      </c>
    </row>
    <row r="107" spans="1:25" ht="108.95" customHeight="1">
      <c r="A107" s="110" t="s">
        <v>120</v>
      </c>
      <c r="B107" s="667"/>
      <c r="C107" s="667"/>
      <c r="E107" s="263"/>
      <c r="F107" s="273">
        <v>4</v>
      </c>
      <c r="G107" s="273">
        <f>C65+D65+E65+F65+G65</f>
        <v>57</v>
      </c>
    </row>
    <row r="108" spans="1:25" ht="108.95" customHeight="1">
      <c r="A108" s="179" t="s">
        <v>119</v>
      </c>
      <c r="B108" s="667"/>
      <c r="C108" s="667"/>
      <c r="E108" s="263"/>
      <c r="F108" s="265">
        <v>1</v>
      </c>
      <c r="G108" s="268">
        <f>C67+D67</f>
        <v>166</v>
      </c>
    </row>
    <row r="109" spans="1:25" ht="108.95" customHeight="1">
      <c r="A109" s="179" t="s">
        <v>118</v>
      </c>
      <c r="B109" s="667"/>
      <c r="C109" s="667"/>
      <c r="E109" s="263"/>
      <c r="F109" s="270">
        <v>2</v>
      </c>
      <c r="G109" s="271">
        <f>C67+D67+E67</f>
        <v>249</v>
      </c>
    </row>
    <row r="110" spans="1:25" ht="108.95" customHeight="1">
      <c r="A110" s="179" t="s">
        <v>117</v>
      </c>
      <c r="B110" s="667"/>
      <c r="C110" s="667"/>
      <c r="E110" s="263"/>
      <c r="F110" s="264">
        <v>3</v>
      </c>
      <c r="G110" s="272">
        <f>C67+D67+E67+F67</f>
        <v>249</v>
      </c>
    </row>
    <row r="111" spans="1:25" ht="108.95" customHeight="1">
      <c r="A111" s="179" t="s">
        <v>116</v>
      </c>
      <c r="B111" s="667"/>
      <c r="C111" s="667"/>
      <c r="E111" s="263"/>
      <c r="F111" s="273">
        <v>4</v>
      </c>
      <c r="G111" s="274">
        <f>C67+D67+E67+F67+G67</f>
        <v>249</v>
      </c>
    </row>
    <row r="112" spans="1:25" ht="108.95" customHeight="1">
      <c r="A112" s="179" t="s">
        <v>115</v>
      </c>
      <c r="B112" s="667"/>
      <c r="C112" s="667"/>
      <c r="E112" s="263"/>
      <c r="F112" s="266">
        <v>0</v>
      </c>
      <c r="G112" s="269">
        <f>C67</f>
        <v>83</v>
      </c>
    </row>
    <row r="113" spans="1:6" ht="108.95" customHeight="1">
      <c r="A113" s="179" t="s">
        <v>114</v>
      </c>
      <c r="B113" s="667"/>
      <c r="C113" s="667"/>
    </row>
    <row r="114" spans="1:6" ht="108.95" customHeight="1">
      <c r="A114" s="179" t="s">
        <v>113</v>
      </c>
      <c r="B114" s="667"/>
      <c r="C114" s="667"/>
      <c r="F114" s="213"/>
    </row>
    <row r="115" spans="1:6" ht="108.95" customHeight="1">
      <c r="A115" s="179" t="s">
        <v>112</v>
      </c>
      <c r="B115" s="667"/>
      <c r="C115" s="667"/>
      <c r="F115" s="215"/>
    </row>
    <row r="116" spans="1:6" ht="108.95" customHeight="1">
      <c r="A116" s="179" t="s">
        <v>111</v>
      </c>
      <c r="B116" s="667"/>
      <c r="C116" s="667"/>
    </row>
    <row r="117" spans="1:6" ht="108.95" customHeight="1">
      <c r="A117" s="179" t="s">
        <v>310</v>
      </c>
      <c r="B117" s="667"/>
      <c r="C117" s="667"/>
    </row>
    <row r="118" spans="1:6" ht="108.95" customHeight="1">
      <c r="A118" s="179" t="s">
        <v>110</v>
      </c>
      <c r="B118" s="667"/>
      <c r="C118" s="667"/>
    </row>
    <row r="119" spans="1:6" ht="108.95" customHeight="1">
      <c r="A119" s="179" t="s">
        <v>109</v>
      </c>
      <c r="B119" s="667"/>
      <c r="C119" s="667"/>
    </row>
    <row r="120" spans="1:6" ht="108.95" customHeight="1">
      <c r="A120" s="179" t="s">
        <v>108</v>
      </c>
      <c r="B120" s="667"/>
      <c r="C120" s="667"/>
    </row>
    <row r="121" spans="1:6" ht="108.95" customHeight="1">
      <c r="A121" s="179" t="s">
        <v>107</v>
      </c>
      <c r="B121" s="667"/>
      <c r="C121" s="667"/>
    </row>
    <row r="122" spans="1:6" ht="108.95" customHeight="1">
      <c r="A122" s="179" t="s">
        <v>106</v>
      </c>
      <c r="B122" s="667"/>
      <c r="C122" s="667"/>
    </row>
    <row r="123" spans="1:6" ht="108.95" customHeight="1">
      <c r="A123" s="179" t="s">
        <v>105</v>
      </c>
      <c r="B123" s="667"/>
      <c r="C123" s="667"/>
    </row>
    <row r="124" spans="1:6" ht="108.95" customHeight="1">
      <c r="A124" s="179" t="s">
        <v>104</v>
      </c>
      <c r="B124" s="667"/>
      <c r="C124" s="667"/>
    </row>
    <row r="125" spans="1:6" ht="108.95" customHeight="1">
      <c r="A125" s="179" t="s">
        <v>103</v>
      </c>
      <c r="B125" s="667"/>
      <c r="C125" s="667"/>
    </row>
    <row r="126" spans="1:6" ht="108.95" customHeight="1">
      <c r="A126" s="179" t="s">
        <v>511</v>
      </c>
      <c r="B126" s="668"/>
      <c r="C126" s="669"/>
    </row>
    <row r="127" spans="1:6" ht="108.95" customHeight="1">
      <c r="A127" s="179" t="s">
        <v>102</v>
      </c>
      <c r="B127" s="667"/>
      <c r="C127" s="667"/>
    </row>
    <row r="128" spans="1:6" ht="108.95" customHeight="1">
      <c r="A128" s="179" t="s">
        <v>311</v>
      </c>
      <c r="B128" s="667"/>
      <c r="C128" s="667"/>
    </row>
    <row r="129" spans="1:3" ht="108.95" customHeight="1">
      <c r="A129" s="179" t="s">
        <v>101</v>
      </c>
      <c r="B129" s="667"/>
      <c r="C129" s="667"/>
    </row>
    <row r="130" spans="1:3" ht="108.95" customHeight="1">
      <c r="A130" s="179" t="s">
        <v>100</v>
      </c>
      <c r="B130" s="667"/>
      <c r="C130" s="667"/>
    </row>
    <row r="131" spans="1:3" ht="108.95" customHeight="1">
      <c r="A131" s="179" t="s">
        <v>99</v>
      </c>
      <c r="B131" s="667"/>
      <c r="C131" s="667"/>
    </row>
    <row r="132" spans="1:3" ht="108.95" customHeight="1">
      <c r="A132" s="179" t="s">
        <v>98</v>
      </c>
      <c r="B132" s="667"/>
      <c r="C132" s="667"/>
    </row>
    <row r="133" spans="1:3" ht="108.95" customHeight="1">
      <c r="A133" s="179" t="s">
        <v>97</v>
      </c>
      <c r="B133" s="667"/>
      <c r="C133" s="667"/>
    </row>
    <row r="134" spans="1:3" ht="108.95" customHeight="1">
      <c r="A134" s="179" t="s">
        <v>96</v>
      </c>
      <c r="B134" s="667"/>
      <c r="C134" s="667"/>
    </row>
    <row r="135" spans="1:3" ht="108.95" customHeight="1">
      <c r="A135" s="179" t="s">
        <v>512</v>
      </c>
      <c r="B135" s="544"/>
      <c r="C135" s="544"/>
    </row>
    <row r="136" spans="1:3" ht="108.95" customHeight="1">
      <c r="A136" s="179" t="s">
        <v>95</v>
      </c>
      <c r="B136" s="667"/>
      <c r="C136" s="667"/>
    </row>
    <row r="137" spans="1:3" ht="108.95" customHeight="1">
      <c r="A137" s="179" t="s">
        <v>94</v>
      </c>
      <c r="B137" s="667"/>
      <c r="C137" s="667"/>
    </row>
    <row r="138" spans="1:3" ht="108.95" customHeight="1">
      <c r="A138" s="179" t="s">
        <v>93</v>
      </c>
      <c r="B138" s="667"/>
      <c r="C138" s="667"/>
    </row>
    <row r="139" spans="1:3" ht="108.95" customHeight="1">
      <c r="A139" s="179" t="s">
        <v>67</v>
      </c>
      <c r="B139" s="667"/>
      <c r="C139" s="667"/>
    </row>
    <row r="140" spans="1:3" ht="108.95" customHeight="1">
      <c r="A140" s="179" t="s">
        <v>92</v>
      </c>
      <c r="B140" s="667"/>
      <c r="C140" s="667"/>
    </row>
    <row r="141" spans="1:3" ht="108.95" customHeight="1">
      <c r="A141" s="179" t="s">
        <v>91</v>
      </c>
      <c r="B141" s="667"/>
      <c r="C141" s="667"/>
    </row>
    <row r="142" spans="1:3" ht="108.95" customHeight="1">
      <c r="A142" s="179" t="s">
        <v>90</v>
      </c>
      <c r="B142" s="667"/>
      <c r="C142" s="667"/>
    </row>
    <row r="143" spans="1:3" ht="108.95" customHeight="1">
      <c r="A143" s="110" t="s">
        <v>89</v>
      </c>
      <c r="B143" s="667"/>
      <c r="C143" s="667"/>
    </row>
    <row r="144" spans="1:3" ht="108.95" customHeight="1">
      <c r="A144" s="179" t="s">
        <v>88</v>
      </c>
      <c r="B144" s="667"/>
      <c r="C144" s="667"/>
    </row>
    <row r="145" spans="1:4" ht="108.95" customHeight="1">
      <c r="A145" s="179" t="s">
        <v>87</v>
      </c>
      <c r="B145" s="667"/>
      <c r="C145" s="667"/>
    </row>
    <row r="146" spans="1:4" ht="108.95" customHeight="1">
      <c r="A146" s="179" t="s">
        <v>86</v>
      </c>
      <c r="B146" s="667"/>
      <c r="C146" s="667"/>
    </row>
    <row r="147" spans="1:4" ht="108.95" customHeight="1">
      <c r="A147" s="179" t="s">
        <v>85</v>
      </c>
      <c r="B147" s="667"/>
      <c r="C147" s="667"/>
    </row>
    <row r="148" spans="1:4" ht="108.95" customHeight="1">
      <c r="A148" s="179" t="s">
        <v>84</v>
      </c>
      <c r="B148" s="667"/>
      <c r="C148" s="667"/>
    </row>
    <row r="149" spans="1:4" ht="108.95" customHeight="1">
      <c r="A149" s="179" t="s">
        <v>83</v>
      </c>
      <c r="B149" s="667"/>
      <c r="C149" s="667"/>
    </row>
    <row r="150" spans="1:4" ht="108.95" customHeight="1">
      <c r="A150" s="179" t="s">
        <v>82</v>
      </c>
      <c r="B150" s="667"/>
      <c r="C150" s="667"/>
    </row>
    <row r="151" spans="1:4" ht="108.95" customHeight="1">
      <c r="A151" s="179" t="s">
        <v>81</v>
      </c>
      <c r="B151" s="667"/>
      <c r="C151" s="667"/>
    </row>
    <row r="152" spans="1:4" ht="108.95" customHeight="1">
      <c r="A152" s="179" t="s">
        <v>80</v>
      </c>
      <c r="B152" s="667"/>
      <c r="C152" s="667"/>
    </row>
    <row r="153" spans="1:4" ht="108.95" customHeight="1">
      <c r="A153" s="179" t="s">
        <v>79</v>
      </c>
      <c r="B153" s="667"/>
      <c r="C153" s="667"/>
    </row>
    <row r="154" spans="1:4" ht="108.95" customHeight="1">
      <c r="A154" s="110" t="s">
        <v>126</v>
      </c>
      <c r="B154" s="667"/>
      <c r="C154" s="667"/>
    </row>
    <row r="155" spans="1:4" ht="108.95" customHeight="1">
      <c r="A155" s="179" t="s">
        <v>78</v>
      </c>
      <c r="B155" s="667"/>
      <c r="C155" s="667"/>
    </row>
    <row r="156" spans="1:4" ht="108.95" customHeight="1">
      <c r="A156" s="179" t="s">
        <v>77</v>
      </c>
      <c r="B156" s="667"/>
      <c r="C156" s="667"/>
    </row>
    <row r="157" spans="1:4" ht="108.95" customHeight="1">
      <c r="A157" s="179" t="s">
        <v>76</v>
      </c>
      <c r="B157" s="667"/>
      <c r="C157" s="667"/>
    </row>
    <row r="158" spans="1:4" ht="108.95" customHeight="1">
      <c r="A158" s="179" t="s">
        <v>75</v>
      </c>
      <c r="B158" s="667"/>
      <c r="C158" s="667"/>
    </row>
    <row r="159" spans="1:4" ht="108.95" customHeight="1">
      <c r="A159" s="179" t="s">
        <v>74</v>
      </c>
      <c r="B159" s="667"/>
      <c r="C159" s="667"/>
    </row>
    <row r="160" spans="1:4" ht="108.95" customHeight="1">
      <c r="A160" s="179" t="s">
        <v>73</v>
      </c>
      <c r="B160" s="667"/>
      <c r="C160" s="667"/>
      <c r="D160"/>
    </row>
    <row r="161" spans="1:3" ht="108.95" customHeight="1">
      <c r="A161" s="179" t="s">
        <v>72</v>
      </c>
      <c r="B161" s="648"/>
      <c r="C161" s="649"/>
    </row>
    <row r="162" spans="1:3"/>
    <row r="163" spans="1:3"/>
    <row r="164" spans="1:3"/>
    <row r="165" spans="1:3"/>
    <row r="166" spans="1:3"/>
    <row r="325" spans="1:13" hidden="1">
      <c r="A325" s="177"/>
      <c r="B325" s="177"/>
      <c r="C325" s="177"/>
      <c r="D325" s="177"/>
      <c r="E325" s="177"/>
      <c r="F325" s="177"/>
      <c r="G325" s="177"/>
      <c r="H325" s="177"/>
      <c r="I325" s="177"/>
      <c r="M325" s="101"/>
    </row>
    <row r="326" spans="1:13" hidden="1">
      <c r="A326" s="177"/>
      <c r="B326" s="177"/>
      <c r="C326" s="177"/>
      <c r="D326" s="177"/>
      <c r="E326" s="177"/>
      <c r="F326" s="177"/>
      <c r="G326" s="177"/>
      <c r="H326" s="177"/>
      <c r="I326" s="177"/>
      <c r="M326" s="101"/>
    </row>
    <row r="327" spans="1:13" hidden="1">
      <c r="E327" s="177"/>
      <c r="F327" s="177"/>
      <c r="G327" s="177"/>
      <c r="H327" s="177"/>
      <c r="I327" s="177"/>
      <c r="M327" s="101"/>
    </row>
    <row r="328" spans="1:13" hidden="1">
      <c r="E328" s="178"/>
      <c r="F328" s="177"/>
      <c r="G328" s="178"/>
      <c r="H328" s="177"/>
      <c r="M328" s="101"/>
    </row>
    <row r="376" spans="1:1" ht="12.75" hidden="1" customHeight="1"/>
    <row r="377" spans="1:1" ht="12.75" hidden="1" customHeight="1"/>
    <row r="378" spans="1:1" ht="12.75" hidden="1" customHeight="1">
      <c r="A378" s="176"/>
    </row>
    <row r="379" spans="1:1" ht="12.75" hidden="1" customHeight="1">
      <c r="A379" s="176"/>
    </row>
    <row r="380" spans="1:1" hidden="1">
      <c r="A380" s="176"/>
    </row>
    <row r="381" spans="1:1" hidden="1">
      <c r="A381" s="176"/>
    </row>
    <row r="382" spans="1:1" hidden="1">
      <c r="A382" s="176"/>
    </row>
    <row r="383" spans="1:1" hidden="1">
      <c r="A383" s="176"/>
    </row>
    <row r="384" spans="1:1" hidden="1">
      <c r="A384" s="176"/>
    </row>
    <row r="385" spans="1:1" hidden="1">
      <c r="A385" s="176"/>
    </row>
    <row r="386" spans="1:1" hidden="1">
      <c r="A386" s="176"/>
    </row>
    <row r="387" spans="1:1" hidden="1">
      <c r="A387" s="176"/>
    </row>
    <row r="388" spans="1:1" hidden="1">
      <c r="A388" s="176"/>
    </row>
    <row r="389" spans="1:1" hidden="1">
      <c r="A389" s="176"/>
    </row>
    <row r="390" spans="1:1" hidden="1">
      <c r="A390" s="176"/>
    </row>
    <row r="391" spans="1:1" hidden="1">
      <c r="A391" s="176"/>
    </row>
    <row r="392" spans="1:1" hidden="1">
      <c r="A392" s="176"/>
    </row>
    <row r="393" spans="1:1" hidden="1">
      <c r="A393" s="176"/>
    </row>
    <row r="394" spans="1:1" hidden="1">
      <c r="A394" s="176"/>
    </row>
    <row r="395" spans="1:1" hidden="1">
      <c r="A395" s="176"/>
    </row>
    <row r="396" spans="1:1" hidden="1">
      <c r="A396" s="176"/>
    </row>
    <row r="397" spans="1:1" hidden="1">
      <c r="A397" s="176"/>
    </row>
    <row r="398" spans="1:1" hidden="1">
      <c r="A398" s="176"/>
    </row>
    <row r="399" spans="1:1" hidden="1">
      <c r="A399" s="176"/>
    </row>
    <row r="400" spans="1:1" hidden="1">
      <c r="A400" s="176"/>
    </row>
    <row r="401" spans="1:25" hidden="1">
      <c r="A401" s="176"/>
    </row>
    <row r="402" spans="1:25" hidden="1">
      <c r="A402" s="176"/>
    </row>
    <row r="403" spans="1:25" hidden="1">
      <c r="A403" s="176"/>
    </row>
    <row r="404" spans="1:25" hidden="1">
      <c r="A404" s="176"/>
    </row>
    <row r="405" spans="1:25" hidden="1">
      <c r="A405" s="176"/>
    </row>
    <row r="406" spans="1:25" hidden="1">
      <c r="A406" s="176"/>
    </row>
    <row r="407" spans="1:25" hidden="1">
      <c r="A407" s="176"/>
    </row>
    <row r="408" spans="1:25" hidden="1">
      <c r="A408" s="176"/>
    </row>
    <row r="409" spans="1:25" hidden="1">
      <c r="A409" s="176"/>
    </row>
    <row r="410" spans="1:25" hidden="1">
      <c r="A410" s="176"/>
      <c r="Y410" s="1">
        <v>7</v>
      </c>
    </row>
    <row r="411" spans="1:25" hidden="1">
      <c r="A411" s="176"/>
    </row>
    <row r="412" spans="1:25" hidden="1">
      <c r="A412" s="176"/>
    </row>
    <row r="413" spans="1:25" hidden="1">
      <c r="A413" s="176"/>
    </row>
    <row r="414" spans="1:25" hidden="1">
      <c r="A414" s="176"/>
    </row>
    <row r="415" spans="1:25" hidden="1">
      <c r="A415" s="176"/>
    </row>
    <row r="416" spans="1:25" hidden="1">
      <c r="A416" s="176"/>
    </row>
    <row r="417" spans="1:1" hidden="1">
      <c r="A417" s="176"/>
    </row>
    <row r="418" spans="1:1" hidden="1">
      <c r="A418" s="176"/>
    </row>
    <row r="419" spans="1:1" hidden="1">
      <c r="A419" s="176"/>
    </row>
    <row r="420" spans="1:1" hidden="1">
      <c r="A420" s="176"/>
    </row>
    <row r="421" spans="1:1" hidden="1">
      <c r="A421" s="176"/>
    </row>
    <row r="422" spans="1:1" hidden="1">
      <c r="A422" s="176"/>
    </row>
    <row r="423" spans="1:1" hidden="1">
      <c r="A423" s="176"/>
    </row>
    <row r="424" spans="1:1" hidden="1">
      <c r="A424" s="176"/>
    </row>
    <row r="425" spans="1:1" hidden="1">
      <c r="A425" s="176"/>
    </row>
    <row r="426" spans="1:1" hidden="1">
      <c r="A426" s="176"/>
    </row>
    <row r="427" spans="1:1" hidden="1">
      <c r="A427" s="176"/>
    </row>
    <row r="428" spans="1:1" hidden="1">
      <c r="A428" s="176"/>
    </row>
    <row r="429" spans="1:1" hidden="1">
      <c r="A429" s="176"/>
    </row>
    <row r="430" spans="1:1" hidden="1">
      <c r="A430" s="176"/>
    </row>
    <row r="431" spans="1:1" hidden="1">
      <c r="A431" s="176"/>
    </row>
    <row r="432" spans="1:1" hidden="1">
      <c r="A432" s="176"/>
    </row>
    <row r="433" spans="1:1" hidden="1">
      <c r="A433" s="176"/>
    </row>
    <row r="434" spans="1:1" hidden="1">
      <c r="A434" s="176"/>
    </row>
    <row r="435" spans="1:1" hidden="1">
      <c r="A435" s="176"/>
    </row>
    <row r="436" spans="1:1" hidden="1">
      <c r="A436" s="176"/>
    </row>
    <row r="437" spans="1:1" hidden="1">
      <c r="A437" s="176"/>
    </row>
  </sheetData>
  <mergeCells count="172">
    <mergeCell ref="B123:C123"/>
    <mergeCell ref="B124:C124"/>
    <mergeCell ref="B125:C125"/>
    <mergeCell ref="B127:C127"/>
    <mergeCell ref="B128:C128"/>
    <mergeCell ref="B129:C129"/>
    <mergeCell ref="B130:C130"/>
    <mergeCell ref="B131:C131"/>
    <mergeCell ref="I52:N52"/>
    <mergeCell ref="B114:C114"/>
    <mergeCell ref="B115:C115"/>
    <mergeCell ref="B116:C116"/>
    <mergeCell ref="B117:C117"/>
    <mergeCell ref="B118:C118"/>
    <mergeCell ref="B119:C119"/>
    <mergeCell ref="B120:C120"/>
    <mergeCell ref="B121:C121"/>
    <mergeCell ref="B122:C122"/>
    <mergeCell ref="B105:C105"/>
    <mergeCell ref="B106:C106"/>
    <mergeCell ref="B107:C107"/>
    <mergeCell ref="B108:C108"/>
    <mergeCell ref="B109:C109"/>
    <mergeCell ref="B110:C110"/>
    <mergeCell ref="B132:C132"/>
    <mergeCell ref="B133:C133"/>
    <mergeCell ref="B134:C134"/>
    <mergeCell ref="B136:C136"/>
    <mergeCell ref="B137:C137"/>
    <mergeCell ref="B138:C138"/>
    <mergeCell ref="B139:C139"/>
    <mergeCell ref="B140:C140"/>
    <mergeCell ref="B141:C141"/>
    <mergeCell ref="B142:C142"/>
    <mergeCell ref="B156:C156"/>
    <mergeCell ref="B157:C157"/>
    <mergeCell ref="B158:C158"/>
    <mergeCell ref="B159:C159"/>
    <mergeCell ref="B143:C143"/>
    <mergeCell ref="B144:C144"/>
    <mergeCell ref="B145:C145"/>
    <mergeCell ref="B146:C146"/>
    <mergeCell ref="B147:C147"/>
    <mergeCell ref="B148:C148"/>
    <mergeCell ref="B149:C149"/>
    <mergeCell ref="B150:C150"/>
    <mergeCell ref="B151:C151"/>
    <mergeCell ref="B152:C152"/>
    <mergeCell ref="B153:C153"/>
    <mergeCell ref="B154:C154"/>
    <mergeCell ref="B155:C155"/>
    <mergeCell ref="B111:C111"/>
    <mergeCell ref="B112:C112"/>
    <mergeCell ref="B113:C113"/>
    <mergeCell ref="S31:T31"/>
    <mergeCell ref="N31:O37"/>
    <mergeCell ref="S32:S33"/>
    <mergeCell ref="G40:G41"/>
    <mergeCell ref="J40:K41"/>
    <mergeCell ref="J38:K38"/>
    <mergeCell ref="H42:I42"/>
    <mergeCell ref="D63:E63"/>
    <mergeCell ref="B62:H62"/>
    <mergeCell ref="J43:K43"/>
    <mergeCell ref="J44:K44"/>
    <mergeCell ref="J45:K45"/>
    <mergeCell ref="H43:I43"/>
    <mergeCell ref="H44:I44"/>
    <mergeCell ref="H45:I45"/>
    <mergeCell ref="D53:E53"/>
    <mergeCell ref="B52:H52"/>
    <mergeCell ref="B47:E49"/>
    <mergeCell ref="I50:J50"/>
    <mergeCell ref="I47:J47"/>
    <mergeCell ref="I48:J48"/>
    <mergeCell ref="D40:D41"/>
    <mergeCell ref="B40:B41"/>
    <mergeCell ref="C40:C41"/>
    <mergeCell ref="A36:K36"/>
    <mergeCell ref="F40:F41"/>
    <mergeCell ref="G33:H33"/>
    <mergeCell ref="D32:D33"/>
    <mergeCell ref="G29:H29"/>
    <mergeCell ref="D30:D31"/>
    <mergeCell ref="G30:H30"/>
    <mergeCell ref="H37:H38"/>
    <mergeCell ref="I37:I38"/>
    <mergeCell ref="E40:E41"/>
    <mergeCell ref="H40:I41"/>
    <mergeCell ref="J39:K39"/>
    <mergeCell ref="C38:G38"/>
    <mergeCell ref="N5:O8"/>
    <mergeCell ref="N22:O28"/>
    <mergeCell ref="N16:O16"/>
    <mergeCell ref="S22:T22"/>
    <mergeCell ref="G28:H28"/>
    <mergeCell ref="G27:H27"/>
    <mergeCell ref="N13:O13"/>
    <mergeCell ref="W25:Y25"/>
    <mergeCell ref="T3:T4"/>
    <mergeCell ref="N10:O11"/>
    <mergeCell ref="W16:Y16"/>
    <mergeCell ref="W24:X24"/>
    <mergeCell ref="W23:X23"/>
    <mergeCell ref="W22:X22"/>
    <mergeCell ref="A20:H20"/>
    <mergeCell ref="E13:E14"/>
    <mergeCell ref="Q10:R11"/>
    <mergeCell ref="T23:T24"/>
    <mergeCell ref="A1:B1"/>
    <mergeCell ref="C2:D2"/>
    <mergeCell ref="G3:H3"/>
    <mergeCell ref="G25:H25"/>
    <mergeCell ref="I5:J5"/>
    <mergeCell ref="I8:J8"/>
    <mergeCell ref="G8:H8"/>
    <mergeCell ref="G7:H7"/>
    <mergeCell ref="G6:H6"/>
    <mergeCell ref="G5:H5"/>
    <mergeCell ref="I6:J6"/>
    <mergeCell ref="I7:J7"/>
    <mergeCell ref="A21:A22"/>
    <mergeCell ref="B21:B22"/>
    <mergeCell ref="C6:D14"/>
    <mergeCell ref="B161:C161"/>
    <mergeCell ref="N2:O2"/>
    <mergeCell ref="G26:H26"/>
    <mergeCell ref="G24:H24"/>
    <mergeCell ref="G23:H23"/>
    <mergeCell ref="C21:C22"/>
    <mergeCell ref="E21:E22"/>
    <mergeCell ref="F21:F22"/>
    <mergeCell ref="G21:H22"/>
    <mergeCell ref="B50:E50"/>
    <mergeCell ref="F47:G47"/>
    <mergeCell ref="F48:G48"/>
    <mergeCell ref="F50:G50"/>
    <mergeCell ref="O3:O4"/>
    <mergeCell ref="N3:N4"/>
    <mergeCell ref="J42:K42"/>
    <mergeCell ref="B160:C160"/>
    <mergeCell ref="B100:C100"/>
    <mergeCell ref="B101:C101"/>
    <mergeCell ref="B102:C102"/>
    <mergeCell ref="B103:C103"/>
    <mergeCell ref="B104:C104"/>
    <mergeCell ref="B126:C126"/>
    <mergeCell ref="N12:O12"/>
    <mergeCell ref="N1:T1"/>
    <mergeCell ref="I49:J49"/>
    <mergeCell ref="F49:G49"/>
    <mergeCell ref="I62:N62"/>
    <mergeCell ref="X26:Y26"/>
    <mergeCell ref="T32:T33"/>
    <mergeCell ref="R23:R24"/>
    <mergeCell ref="E1:F1"/>
    <mergeCell ref="G1:J1"/>
    <mergeCell ref="H2:J2"/>
    <mergeCell ref="P18:Q19"/>
    <mergeCell ref="N18:O19"/>
    <mergeCell ref="G4:H4"/>
    <mergeCell ref="I4:J4"/>
    <mergeCell ref="N14:O14"/>
    <mergeCell ref="N15:O15"/>
    <mergeCell ref="P10:P11"/>
    <mergeCell ref="N9:T9"/>
    <mergeCell ref="G31:H31"/>
    <mergeCell ref="G32:H32"/>
    <mergeCell ref="S23:S24"/>
    <mergeCell ref="R32:R33"/>
    <mergeCell ref="X27:Y27"/>
    <mergeCell ref="S3:S4"/>
  </mergeCells>
  <conditionalFormatting sqref="G23:G33">
    <cfRule type="expression" dxfId="240" priority="101">
      <formula>"F18&gt;=94"</formula>
    </cfRule>
  </conditionalFormatting>
  <conditionalFormatting sqref="F23:F33">
    <cfRule type="cellIs" dxfId="239" priority="77" operator="greaterThan">
      <formula>100</formula>
    </cfRule>
    <cfRule type="cellIs" dxfId="238" priority="78" operator="between">
      <formula>94</formula>
      <formula>100</formula>
    </cfRule>
  </conditionalFormatting>
  <conditionalFormatting sqref="G23:H33">
    <cfRule type="containsText" dxfId="237" priority="75" operator="containsText" text="Attention !!!">
      <formula>NOT(ISERROR(SEARCH("Attention !!!",G23)))</formula>
    </cfRule>
    <cfRule type="containsText" dxfId="236" priority="76" operator="containsText" text="Danger !!!!!">
      <formula>NOT(ISERROR(SEARCH("Danger !!!!!",G23)))</formula>
    </cfRule>
  </conditionalFormatting>
  <conditionalFormatting sqref="C57:G57">
    <cfRule type="cellIs" dxfId="235" priority="71" operator="lessThanOrEqual">
      <formula>180</formula>
    </cfRule>
    <cfRule type="cellIs" dxfId="234" priority="72" operator="equal">
      <formula>"-"</formula>
    </cfRule>
    <cfRule type="cellIs" dxfId="233" priority="73" operator="greaterThan">
      <formula>180</formula>
    </cfRule>
  </conditionalFormatting>
  <conditionalFormatting sqref="C56:G56">
    <cfRule type="cellIs" dxfId="232" priority="61" operator="equal">
      <formula>"-"</formula>
    </cfRule>
    <cfRule type="cellIs" dxfId="231" priority="62" operator="greaterThanOrEqual">
      <formula>0.15</formula>
    </cfRule>
    <cfRule type="cellIs" dxfId="230" priority="63" operator="greaterThanOrEqual">
      <formula>0.1</formula>
    </cfRule>
    <cfRule type="cellIs" dxfId="229" priority="64" operator="greaterThanOrEqual">
      <formula>0.05</formula>
    </cfRule>
    <cfRule type="cellIs" dxfId="228" priority="65" operator="greaterThanOrEqual">
      <formula>0</formula>
    </cfRule>
    <cfRule type="cellIs" dxfId="227" priority="70" operator="lessThan">
      <formula>0</formula>
    </cfRule>
  </conditionalFormatting>
  <conditionalFormatting sqref="C55:G55">
    <cfRule type="cellIs" dxfId="226" priority="60" operator="equal">
      <formula>"-"</formula>
    </cfRule>
  </conditionalFormatting>
  <conditionalFormatting sqref="C67:G67">
    <cfRule type="cellIs" dxfId="225" priority="36" operator="equal">
      <formula>0</formula>
    </cfRule>
    <cfRule type="cellIs" dxfId="224" priority="49" operator="lessThanOrEqual">
      <formula>180</formula>
    </cfRule>
    <cfRule type="cellIs" dxfId="223" priority="114" operator="greaterThan">
      <formula>180</formula>
    </cfRule>
  </conditionalFormatting>
  <conditionalFormatting sqref="C58:G58 C68:G68">
    <cfRule type="cellIs" dxfId="222" priority="285" operator="equal">
      <formula>3</formula>
    </cfRule>
    <cfRule type="cellIs" dxfId="221" priority="286" operator="greaterThan">
      <formula>3</formula>
    </cfRule>
    <cfRule type="cellIs" dxfId="220" priority="287" operator="equal">
      <formula>2</formula>
    </cfRule>
    <cfRule type="cellIs" dxfId="219" priority="288" operator="between">
      <formula>0</formula>
      <formula>1</formula>
    </cfRule>
    <cfRule type="cellIs" dxfId="218" priority="289" operator="lessThan">
      <formula>0</formula>
    </cfRule>
    <cfRule type="containsErrors" dxfId="217" priority="292">
      <formula>ISERROR(C58)</formula>
    </cfRule>
  </conditionalFormatting>
  <conditionalFormatting sqref="C66:G66">
    <cfRule type="cellIs" dxfId="216" priority="34" operator="equal">
      <formula>1</formula>
    </cfRule>
    <cfRule type="cellIs" dxfId="215" priority="44" operator="equal">
      <formula>"-"</formula>
    </cfRule>
    <cfRule type="cellIs" dxfId="214" priority="45" operator="greaterThanOrEqual">
      <formula>0.15</formula>
    </cfRule>
    <cfRule type="cellIs" dxfId="213" priority="46" operator="greaterThanOrEqual">
      <formula>0.1</formula>
    </cfRule>
    <cfRule type="cellIs" dxfId="212" priority="47" operator="greaterThanOrEqual">
      <formula>0.05</formula>
    </cfRule>
    <cfRule type="cellIs" dxfId="211" priority="48" operator="greaterThanOrEqual">
      <formula>0</formula>
    </cfRule>
    <cfRule type="cellIs" dxfId="210" priority="51" operator="lessThan">
      <formula>0</formula>
    </cfRule>
  </conditionalFormatting>
  <conditionalFormatting sqref="H67">
    <cfRule type="cellIs" dxfId="209" priority="33" operator="lessThan">
      <formula>$K$57</formula>
    </cfRule>
  </conditionalFormatting>
  <conditionalFormatting sqref="C65:G65">
    <cfRule type="cellIs" dxfId="208" priority="32" operator="notEqual">
      <formula>0</formula>
    </cfRule>
  </conditionalFormatting>
  <conditionalFormatting sqref="I65">
    <cfRule type="cellIs" dxfId="207" priority="31" operator="notEqual">
      <formula>0</formula>
    </cfRule>
  </conditionalFormatting>
  <conditionalFormatting sqref="J65">
    <cfRule type="cellIs" dxfId="206" priority="30" operator="notEqual">
      <formula>0</formula>
    </cfRule>
  </conditionalFormatting>
  <conditionalFormatting sqref="K65">
    <cfRule type="cellIs" dxfId="205" priority="29" operator="notEqual">
      <formula>0</formula>
    </cfRule>
  </conditionalFormatting>
  <conditionalFormatting sqref="L65">
    <cfRule type="cellIs" dxfId="204" priority="28" operator="notEqual">
      <formula>0</formula>
    </cfRule>
  </conditionalFormatting>
  <conditionalFormatting sqref="M65">
    <cfRule type="cellIs" dxfId="203" priority="27" operator="notEqual">
      <formula>0</formula>
    </cfRule>
  </conditionalFormatting>
  <conditionalFormatting sqref="I66">
    <cfRule type="cellIs" dxfId="202" priority="25" operator="notEqual">
      <formula>0</formula>
    </cfRule>
  </conditionalFormatting>
  <conditionalFormatting sqref="J66">
    <cfRule type="cellIs" dxfId="201" priority="24" operator="notEqual">
      <formula>0</formula>
    </cfRule>
  </conditionalFormatting>
  <conditionalFormatting sqref="K66">
    <cfRule type="cellIs" dxfId="200" priority="23" operator="notEqual">
      <formula>0</formula>
    </cfRule>
  </conditionalFormatting>
  <conditionalFormatting sqref="L66">
    <cfRule type="cellIs" dxfId="199" priority="22" operator="notEqual">
      <formula>0</formula>
    </cfRule>
  </conditionalFormatting>
  <conditionalFormatting sqref="M66">
    <cfRule type="cellIs" dxfId="198" priority="21" operator="notEqual">
      <formula>0</formula>
    </cfRule>
  </conditionalFormatting>
  <conditionalFormatting sqref="I67">
    <cfRule type="cellIs" dxfId="197" priority="20" operator="notEqual">
      <formula>0</formula>
    </cfRule>
  </conditionalFormatting>
  <conditionalFormatting sqref="J67">
    <cfRule type="cellIs" dxfId="196" priority="19" operator="notEqual">
      <formula>0</formula>
    </cfRule>
  </conditionalFormatting>
  <conditionalFormatting sqref="K67">
    <cfRule type="cellIs" dxfId="195" priority="18" operator="notEqual">
      <formula>0</formula>
    </cfRule>
  </conditionalFormatting>
  <conditionalFormatting sqref="L67">
    <cfRule type="cellIs" dxfId="194" priority="17" operator="notEqual">
      <formula>0</formula>
    </cfRule>
  </conditionalFormatting>
  <conditionalFormatting sqref="M67">
    <cfRule type="cellIs" dxfId="193" priority="16" operator="notEqual">
      <formula>0</formula>
    </cfRule>
  </conditionalFormatting>
  <conditionalFormatting sqref="I64">
    <cfRule type="cellIs" dxfId="192" priority="15" operator="notEqual">
      <formula>0</formula>
    </cfRule>
  </conditionalFormatting>
  <conditionalFormatting sqref="J64">
    <cfRule type="cellIs" dxfId="191" priority="14" operator="notEqual">
      <formula>0</formula>
    </cfRule>
  </conditionalFormatting>
  <conditionalFormatting sqref="K64">
    <cfRule type="cellIs" dxfId="190" priority="13" operator="notEqual">
      <formula>0</formula>
    </cfRule>
  </conditionalFormatting>
  <conditionalFormatting sqref="L64">
    <cfRule type="cellIs" dxfId="189" priority="12" operator="notEqual">
      <formula>0</formula>
    </cfRule>
  </conditionalFormatting>
  <conditionalFormatting sqref="M64">
    <cfRule type="cellIs" dxfId="188" priority="11" operator="notEqual">
      <formula>0</formula>
    </cfRule>
  </conditionalFormatting>
  <conditionalFormatting sqref="J66">
    <cfRule type="cellIs" dxfId="187" priority="10" operator="notEqual">
      <formula>0</formula>
    </cfRule>
  </conditionalFormatting>
  <conditionalFormatting sqref="K66">
    <cfRule type="cellIs" dxfId="186" priority="9" operator="notEqual">
      <formula>0</formula>
    </cfRule>
  </conditionalFormatting>
  <conditionalFormatting sqref="L66">
    <cfRule type="cellIs" dxfId="185" priority="8" operator="notEqual">
      <formula>0</formula>
    </cfRule>
  </conditionalFormatting>
  <conditionalFormatting sqref="M66">
    <cfRule type="cellIs" dxfId="184" priority="7" operator="notEqual">
      <formula>0</formula>
    </cfRule>
  </conditionalFormatting>
  <conditionalFormatting sqref="H65">
    <cfRule type="cellIs" dxfId="183" priority="6" operator="notEqual">
      <formula>$N$57</formula>
    </cfRule>
  </conditionalFormatting>
  <conditionalFormatting sqref="I64">
    <cfRule type="cellIs" dxfId="182" priority="5" operator="notEqual">
      <formula>0</formula>
    </cfRule>
  </conditionalFormatting>
  <conditionalFormatting sqref="J64">
    <cfRule type="cellIs" dxfId="181" priority="4" operator="notEqual">
      <formula>0</formula>
    </cfRule>
  </conditionalFormatting>
  <conditionalFormatting sqref="K64">
    <cfRule type="cellIs" dxfId="180" priority="3" operator="notEqual">
      <formula>0</formula>
    </cfRule>
  </conditionalFormatting>
  <conditionalFormatting sqref="L64">
    <cfRule type="cellIs" dxfId="179" priority="2" operator="notEqual">
      <formula>0</formula>
    </cfRule>
  </conditionalFormatting>
  <conditionalFormatting sqref="M64">
    <cfRule type="cellIs" dxfId="178" priority="1" operator="notEqual">
      <formula>0</formula>
    </cfRule>
  </conditionalFormatting>
  <dataValidations count="17">
    <dataValidation type="list" operator="equal" allowBlank="1" sqref="M55">
      <formula1>"Extra tendre,Tendre,Medium,Hard,Pluie"</formula1>
    </dataValidation>
    <dataValidation type="list" operator="equal" allowBlank="1" sqref="J10:J12 M57">
      <formula1>"Sec,Pluie"</formula1>
    </dataValidation>
    <dataValidation type="list" allowBlank="1" showInputMessage="1" showErrorMessage="1" sqref="H2:J2">
      <formula1>$A$100:$A$161</formula1>
    </dataValidation>
    <dataValidation type="list" allowBlank="1" showInputMessage="1" showErrorMessage="1" sqref="D3:D5">
      <formula1>"OUI,NON"</formula1>
    </dataValidation>
    <dataValidation type="whole" operator="notBetween" allowBlank="1" showInputMessage="1" showErrorMessage="1" errorTitle="Erreur de saisie !!!" error="Le chiffre que vous avez saisi chevauche la plage de tours précédentes ou est antérieure à celle-ci." sqref="E18 H18">
      <formula1>1</formula1>
      <formula2>D18</formula2>
    </dataValidation>
    <dataValidation type="list" allowBlank="1" showInputMessage="1" showErrorMessage="1" sqref="D1">
      <formula1>"1,2,3,4,5,6,7,8,9,10,11,12,13,14,15,16,17"</formula1>
    </dataValidation>
    <dataValidation type="whole" allowBlank="1" showInputMessage="1" showErrorMessage="1" errorTitle="ERREUR !!!" error="Veuillez saisir un nombre compris entre 1 et 9." sqref="B23:B33">
      <formula1>1</formula1>
      <formula2>9</formula2>
    </dataValidation>
    <dataValidation type="whole" allowBlank="1" showInputMessage="1" showErrorMessage="1" errorTitle="ERREUR !!!" error="Les valeurs acceptées vont de 0 à 100." sqref="C23:C33">
      <formula1>0</formula1>
      <formula2>100</formula2>
    </dataValidation>
    <dataValidation type="whole" allowBlank="1" showInputMessage="1" showErrorMessage="1" errorTitle="ERREUR !!!" error="Seules les valeurs comprises entre 0 et 4 sont acceptées." sqref="C53 C63">
      <formula1>0</formula1>
      <formula2>4</formula2>
    </dataValidation>
    <dataValidation type="whole" allowBlank="1" showInputMessage="1" showErrorMessage="1" errorTitle="ERREUR !!!" error="Le nombre spécifié dépasse le total des tours de course." sqref="G65">
      <formula1>0</formula1>
      <formula2>N57-SUM(C65:F65)</formula2>
    </dataValidation>
    <dataValidation type="whole" allowBlank="1" showInputMessage="1" showErrorMessage="1" errorTitle="ERREUR !!!" error="Le nombre spécifié dépasse le total des tours de course." sqref="F65">
      <formula1>0</formula1>
      <formula2>N57-SUM(C65:E65)</formula2>
    </dataValidation>
    <dataValidation type="whole" allowBlank="1" showInputMessage="1" showErrorMessage="1" errorTitle="ERREUR !!!" error="Le nombre spécifié dépasse le total des tours de course." sqref="E65">
      <formula1>0</formula1>
      <formula2>N57-SUM(C65:D65)</formula2>
    </dataValidation>
    <dataValidation type="whole" allowBlank="1" showInputMessage="1" showErrorMessage="1" errorTitle="ERREUR !!!" error="Le nombre spécifié dépasse le total des tours de course." sqref="D65">
      <formula1>0</formula1>
      <formula2>N57-C65</formula2>
    </dataValidation>
    <dataValidation type="whole" allowBlank="1" showInputMessage="1" showErrorMessage="1" errorTitle="ERREUR !!!" error="Le nombre spécifié dépasse le total des tours de course." sqref="C65">
      <formula1>0</formula1>
      <formula2>N57</formula2>
    </dataValidation>
    <dataValidation type="list" allowBlank="1" showInputMessage="1" showErrorMessage="1" sqref="I69:M69">
      <formula1>"Sec,Pluie"</formula1>
    </dataValidation>
    <dataValidation type="whole" allowBlank="1" showInputMessage="1" showErrorMessage="1" sqref="O3:O4">
      <formula1>1</formula1>
      <formula2>999</formula2>
    </dataValidation>
    <dataValidation type="whole" allowBlank="1" showInputMessage="1" showErrorMessage="1" errorTitle="ERREUR !!!" error="Le nombre doit être compris entre 1 et 999" sqref="Q5:Q8">
      <formula1>1</formula1>
      <formula2>999</formula2>
    </dataValidation>
  </dataValidations>
  <pageMargins left="0.7" right="0.7" top="0.75" bottom="0.75" header="0.3" footer="0.3"/>
  <pageSetup paperSize="9" orientation="portrait" r:id="rId1"/>
  <drawing r:id="rId2"/>
  <legacyDrawing r:id="rId3"/>
  <picture r:id="rId4"/>
</worksheet>
</file>

<file path=xl/worksheets/sheet5.xml><?xml version="1.0" encoding="utf-8"?>
<worksheet xmlns="http://schemas.openxmlformats.org/spreadsheetml/2006/main" xmlns:r="http://schemas.openxmlformats.org/officeDocument/2006/relationships">
  <sheetPr codeName="Feuil10">
    <tabColor rgb="FFFF0066"/>
  </sheetPr>
  <dimension ref="A1:GA2024"/>
  <sheetViews>
    <sheetView showGridLines="0" topLeftCell="C78" zoomScale="80" zoomScaleNormal="80" workbookViewId="0">
      <selection activeCell="D85" sqref="D85"/>
    </sheetView>
  </sheetViews>
  <sheetFormatPr baseColWidth="10" defaultColWidth="0" defaultRowHeight="15" zeroHeight="1"/>
  <cols>
    <col min="1" max="1" width="11.42578125" style="101" hidden="1" customWidth="1"/>
    <col min="2" max="2" width="19" style="101" hidden="1" customWidth="1"/>
    <col min="3" max="3" width="17.140625" style="101" customWidth="1"/>
    <col min="4" max="4" width="16.7109375" style="101" customWidth="1"/>
    <col min="5" max="5" width="12.28515625" style="101" bestFit="1" customWidth="1"/>
    <col min="6" max="6" width="13.85546875" style="101" customWidth="1"/>
    <col min="7" max="7" width="13.140625" style="101" customWidth="1"/>
    <col min="8" max="8" width="11.28515625" style="101" customWidth="1"/>
    <col min="9" max="9" width="23.85546875" style="101" customWidth="1"/>
    <col min="10" max="10" width="16.140625" style="101" customWidth="1"/>
    <col min="11" max="11" width="17" style="101" customWidth="1"/>
    <col min="12" max="12" width="12.85546875" style="101" customWidth="1"/>
    <col min="13" max="13" width="13" style="101" customWidth="1"/>
    <col min="14" max="14" width="12" style="101" customWidth="1"/>
    <col min="15" max="15" width="17.5703125" style="101" customWidth="1"/>
    <col min="16" max="16" width="25" style="101" hidden="1" customWidth="1"/>
    <col min="17" max="17" width="17.28515625" style="101" hidden="1" customWidth="1"/>
    <col min="18" max="18" width="15.42578125" style="101" hidden="1" customWidth="1"/>
    <col min="19" max="19" width="16.5703125" style="101" hidden="1" customWidth="1"/>
    <col min="20" max="21" width="18.140625" style="101" hidden="1" customWidth="1"/>
    <col min="22" max="22" width="12.140625" style="101" hidden="1" customWidth="1"/>
    <col min="23" max="23" width="9.140625" style="101" hidden="1" customWidth="1"/>
    <col min="24" max="24" width="15.140625" style="101" hidden="1" customWidth="1"/>
    <col min="25" max="25" width="28" style="101" hidden="1" customWidth="1"/>
    <col min="26" max="26" width="9.85546875" style="101" hidden="1" customWidth="1"/>
    <col min="27" max="27" width="11" style="101" hidden="1" customWidth="1"/>
    <col min="28" max="28" width="9.140625" style="101" hidden="1" customWidth="1"/>
    <col min="29" max="29" width="15.5703125" style="101" hidden="1" customWidth="1"/>
    <col min="30" max="33" width="8.85546875" style="101" hidden="1" customWidth="1"/>
    <col min="34" max="34" width="7.28515625" style="101" hidden="1" customWidth="1"/>
    <col min="35" max="35" width="13" style="101" hidden="1" customWidth="1"/>
    <col min="36" max="36" width="12.85546875" style="101" hidden="1" customWidth="1"/>
    <col min="37" max="37" width="9.5703125" style="101" hidden="1" customWidth="1"/>
    <col min="38" max="70" width="9.140625" style="101" hidden="1" customWidth="1"/>
    <col min="71" max="71" width="9.140625" style="101" customWidth="1"/>
    <col min="72" max="89" width="9.140625" style="101" hidden="1" customWidth="1"/>
    <col min="90" max="90" width="5.85546875" style="101" hidden="1" customWidth="1"/>
    <col min="91" max="16384" width="9.140625" style="101" hidden="1"/>
  </cols>
  <sheetData>
    <row r="1" spans="1:64" ht="15.75" hidden="1" thickBot="1">
      <c r="A1" s="101">
        <v>1</v>
      </c>
      <c r="B1" s="100">
        <f>A1+1</f>
        <v>2</v>
      </c>
      <c r="C1" s="100">
        <f t="shared" ref="C1:T1" si="0">B1+1</f>
        <v>3</v>
      </c>
      <c r="D1" s="100">
        <f t="shared" si="0"/>
        <v>4</v>
      </c>
      <c r="E1" s="100">
        <f t="shared" si="0"/>
        <v>5</v>
      </c>
      <c r="F1" s="100">
        <f t="shared" si="0"/>
        <v>6</v>
      </c>
      <c r="G1" s="101">
        <f t="shared" si="0"/>
        <v>7</v>
      </c>
      <c r="H1" s="101">
        <f t="shared" si="0"/>
        <v>8</v>
      </c>
      <c r="I1" s="100">
        <f t="shared" si="0"/>
        <v>9</v>
      </c>
      <c r="J1" s="100">
        <f t="shared" si="0"/>
        <v>10</v>
      </c>
      <c r="K1" s="100">
        <f t="shared" si="0"/>
        <v>11</v>
      </c>
      <c r="L1" s="100">
        <f t="shared" si="0"/>
        <v>12</v>
      </c>
      <c r="M1" s="100">
        <f t="shared" si="0"/>
        <v>13</v>
      </c>
      <c r="N1" s="100">
        <f t="shared" si="0"/>
        <v>14</v>
      </c>
      <c r="O1" s="100">
        <f t="shared" si="0"/>
        <v>15</v>
      </c>
      <c r="P1" s="100">
        <f t="shared" si="0"/>
        <v>16</v>
      </c>
      <c r="Q1" s="100">
        <f t="shared" si="0"/>
        <v>17</v>
      </c>
      <c r="R1" s="100">
        <f t="shared" si="0"/>
        <v>18</v>
      </c>
      <c r="S1" s="101">
        <f t="shared" si="0"/>
        <v>19</v>
      </c>
      <c r="T1" s="101">
        <f t="shared" si="0"/>
        <v>20</v>
      </c>
      <c r="U1" s="101">
        <v>21</v>
      </c>
      <c r="V1" s="101">
        <f>U1+1</f>
        <v>22</v>
      </c>
      <c r="W1" s="101">
        <f>V1+1</f>
        <v>23</v>
      </c>
      <c r="X1" s="129" t="s">
        <v>247</v>
      </c>
      <c r="Y1" s="130">
        <v>0</v>
      </c>
      <c r="Z1" s="123">
        <v>1</v>
      </c>
      <c r="AA1" s="123">
        <v>2</v>
      </c>
      <c r="AB1" s="123">
        <v>3</v>
      </c>
      <c r="AC1" s="123">
        <v>4</v>
      </c>
      <c r="AI1" s="749" t="s">
        <v>266</v>
      </c>
      <c r="AJ1" s="101">
        <f>$D$6+AJ2</f>
        <v>354.75659999999999</v>
      </c>
      <c r="AM1" s="150" t="s">
        <v>138</v>
      </c>
      <c r="AN1" s="150" t="s">
        <v>228</v>
      </c>
      <c r="AO1" s="150" t="s">
        <v>234</v>
      </c>
      <c r="AP1" s="167" t="s">
        <v>130</v>
      </c>
      <c r="AQ1" s="151" t="s">
        <v>274</v>
      </c>
      <c r="AT1" s="150" t="s">
        <v>138</v>
      </c>
      <c r="AU1" s="150" t="s">
        <v>228</v>
      </c>
      <c r="AV1" s="150" t="s">
        <v>234</v>
      </c>
      <c r="AW1" s="167" t="s">
        <v>130</v>
      </c>
      <c r="BA1" s="150" t="s">
        <v>138</v>
      </c>
      <c r="BB1" s="150" t="s">
        <v>228</v>
      </c>
      <c r="BC1" s="150" t="s">
        <v>234</v>
      </c>
      <c r="BD1" s="167" t="s">
        <v>130</v>
      </c>
      <c r="BH1" s="150" t="s">
        <v>138</v>
      </c>
      <c r="BI1" s="150" t="s">
        <v>228</v>
      </c>
      <c r="BJ1" s="150" t="s">
        <v>234</v>
      </c>
      <c r="BK1" s="167" t="s">
        <v>130</v>
      </c>
    </row>
    <row r="2" spans="1:64" ht="15.75" hidden="1" thickBot="1">
      <c r="A2" s="101">
        <f>A1+1</f>
        <v>2</v>
      </c>
      <c r="B2" s="100"/>
      <c r="C2" s="102" t="s">
        <v>248</v>
      </c>
      <c r="D2" s="137" t="str">
        <f>Module!H2</f>
        <v>Sakhir</v>
      </c>
      <c r="E2" s="100"/>
      <c r="F2" s="100"/>
      <c r="I2" s="100"/>
      <c r="J2" s="100"/>
      <c r="K2" s="100"/>
      <c r="L2" s="100"/>
      <c r="M2" s="100"/>
      <c r="N2" s="100"/>
      <c r="O2" s="100"/>
      <c r="P2" s="100"/>
      <c r="Q2" s="100"/>
      <c r="R2" s="100"/>
      <c r="W2" s="779" t="s">
        <v>249</v>
      </c>
      <c r="X2" s="131">
        <v>0</v>
      </c>
      <c r="Y2" s="122">
        <f>'calcul pneu pour calculateur'!P3</f>
        <v>104.50621504542335</v>
      </c>
      <c r="Z2" s="123">
        <f t="shared" ref="Z2:Z21" si="1">Y2*2</f>
        <v>209.01243009084669</v>
      </c>
      <c r="AA2" s="123">
        <f t="shared" ref="AA2:AA65" si="2">Y2*3</f>
        <v>313.51864513627004</v>
      </c>
      <c r="AB2" s="123">
        <f t="shared" ref="AB2:AB65" si="3">Y2*4</f>
        <v>418.02486018169338</v>
      </c>
      <c r="AC2" s="123">
        <f t="shared" ref="AC2:AC65" si="4">Y2*5</f>
        <v>522.53107522711673</v>
      </c>
      <c r="AI2" s="749"/>
      <c r="AJ2" s="101">
        <f>($D$6*G79)/100</f>
        <v>46.27259999999999</v>
      </c>
      <c r="AK2" s="131">
        <v>0</v>
      </c>
      <c r="AL2" s="101">
        <f>$H$61</f>
        <v>0</v>
      </c>
      <c r="AM2" s="101">
        <f>10+Module!$K$57/($Z$1+1)</f>
        <v>133.65759122654444</v>
      </c>
      <c r="AN2" s="101">
        <f>$Z$1*(25+Module!$I$6)</f>
        <v>50.5</v>
      </c>
      <c r="AO2" s="101">
        <f>(AM2*($Z$1+1)*0.002488974)/($Z$1+1)*Module!$I$5*Module!$I$7</f>
        <v>102.62345540579445</v>
      </c>
      <c r="AP2" s="101">
        <f>$P$120*Module!$I$7*X2*Module!$I$5</f>
        <v>0</v>
      </c>
      <c r="AQ2" s="151">
        <f>IF(AK2 &gt;$AJ$17,1000000,AL2+AN2+AO2-AP2)</f>
        <v>153.12345540579446</v>
      </c>
      <c r="AS2" s="101">
        <f>$H$61</f>
        <v>0</v>
      </c>
      <c r="AT2" s="101">
        <f>10+Module!$K$57/($AA$1+1)</f>
        <v>92.438394151029627</v>
      </c>
      <c r="AU2" s="101">
        <f>$AA$1*(25+Module!$I$6)</f>
        <v>101</v>
      </c>
      <c r="AV2" s="101">
        <f>(AT2*($AA$1+1)*0.002488974)/($AA$1+1)*Module!$I$5*Module!$I$7</f>
        <v>70.974999121916298</v>
      </c>
      <c r="AW2" s="101">
        <f>$P$120*Module!$I$7*X2*Module!$I$5</f>
        <v>0</v>
      </c>
      <c r="AX2" s="151">
        <f>IF(AK2 &gt;$AJ$17,1000000,AS2+AU2+AV2-AW2)</f>
        <v>171.97499912191631</v>
      </c>
      <c r="AZ2" s="101">
        <f>$H$61</f>
        <v>0</v>
      </c>
      <c r="BA2" s="101">
        <f>10+Module!$K$57/($AB$1+1)</f>
        <v>71.82879561327222</v>
      </c>
      <c r="BB2" s="101">
        <f>$AB$1*(25+Module!$I$6)</f>
        <v>151.5</v>
      </c>
      <c r="BC2" s="101">
        <f>(BA2*($AB$1+1)*0.002488974)/($AB$1+1)*Module!$I$5*Module!$I$7</f>
        <v>55.150770979977231</v>
      </c>
      <c r="BD2" s="101">
        <f>$P$120*Module!$I$7*X2*Module!$I$5</f>
        <v>0</v>
      </c>
      <c r="BE2" s="151">
        <f>IF(AK2 &gt;$AJ$17,1000000,AZ2+BB2+BC2-BD2)</f>
        <v>206.65077097997724</v>
      </c>
      <c r="BG2" s="101">
        <f>$H$61</f>
        <v>0</v>
      </c>
      <c r="BH2" s="101">
        <f>10+Module!$K$57/($AC$1+1)</f>
        <v>59.463036490617775</v>
      </c>
      <c r="BI2" s="101">
        <f>$AC$1*(25+Module!$I$6)</f>
        <v>202</v>
      </c>
      <c r="BJ2" s="101">
        <f>(BH2*($AC$1+1)*0.002488974)/($AC$1+1)*Module!$I$5*Module!$I$7</f>
        <v>45.656234094813776</v>
      </c>
      <c r="BK2" s="101">
        <f>$P$120*Module!$I$7*X2*Module!$I$5</f>
        <v>0</v>
      </c>
      <c r="BL2" s="151">
        <f>IF(AK2 &gt;$AJ$17,1000000,BG2+BI2+BJ2-BK2)</f>
        <v>247.65623409481378</v>
      </c>
    </row>
    <row r="3" spans="1:64" ht="15.75" hidden="1" thickBot="1">
      <c r="A3" s="101">
        <f t="shared" ref="A3:A66" si="5">A2+1</f>
        <v>3</v>
      </c>
      <c r="B3" s="100"/>
      <c r="C3" s="103" t="s">
        <v>250</v>
      </c>
      <c r="D3" s="104">
        <f>Module!I6</f>
        <v>25.5</v>
      </c>
      <c r="E3" s="100"/>
      <c r="F3" s="100"/>
      <c r="I3" s="100"/>
      <c r="J3" s="100"/>
      <c r="K3" s="100"/>
      <c r="L3" s="100"/>
      <c r="M3" s="100"/>
      <c r="N3" s="100"/>
      <c r="O3" s="100"/>
      <c r="P3" s="100"/>
      <c r="Q3" s="100"/>
      <c r="R3" s="100"/>
      <c r="W3" s="780"/>
      <c r="X3" s="121">
        <f>X2+1</f>
        <v>1</v>
      </c>
      <c r="Y3" s="122">
        <f>'calcul pneu pour calculateur'!P4</f>
        <v>104.27521183408216</v>
      </c>
      <c r="Z3" s="123">
        <f t="shared" si="1"/>
        <v>208.55042366816431</v>
      </c>
      <c r="AA3" s="123">
        <f t="shared" si="2"/>
        <v>312.82563550224648</v>
      </c>
      <c r="AB3" s="123">
        <f t="shared" si="3"/>
        <v>417.10084733632863</v>
      </c>
      <c r="AC3" s="123">
        <f t="shared" si="4"/>
        <v>521.37605917041083</v>
      </c>
      <c r="AI3" s="749" t="s">
        <v>267</v>
      </c>
      <c r="AJ3" s="101">
        <f>$D$6+AJ4</f>
        <v>354.75659999999999</v>
      </c>
      <c r="AK3" s="121">
        <f>AK2+1</f>
        <v>1</v>
      </c>
      <c r="AL3" s="101">
        <f t="shared" ref="AL3:AL66" si="6">$H$61</f>
        <v>0</v>
      </c>
      <c r="AM3" s="101">
        <f>10+Module!$K$57/($Z$1+1)</f>
        <v>133.65759122654444</v>
      </c>
      <c r="AN3" s="101">
        <f>$Z$1*(25+Module!$I$6)</f>
        <v>50.5</v>
      </c>
      <c r="AO3" s="101">
        <f>(AM3*($Z$1+1)*0.002488974)/($Z$1+1)*Module!$I$5*Module!$I$7</f>
        <v>102.62345540579445</v>
      </c>
      <c r="AP3" s="101">
        <f>$P$120*Module!$I$7*X3*Module!$I$5</f>
        <v>2.2580795855898352</v>
      </c>
      <c r="AQ3" s="151">
        <f t="shared" ref="AQ3:AQ66" si="7">IF(AK3 &gt;$AJ$17,1000000,AL3+AN3+AO3-AP3)</f>
        <v>1000000</v>
      </c>
      <c r="AS3" s="101">
        <f t="shared" ref="AS3:AS66" si="8">$H$61</f>
        <v>0</v>
      </c>
      <c r="AT3" s="101">
        <f>10+Module!$K$57/($AA$1+1)</f>
        <v>92.438394151029627</v>
      </c>
      <c r="AU3" s="101">
        <f>$AA$1*(25+Module!$I$6)</f>
        <v>101</v>
      </c>
      <c r="AV3" s="101">
        <f>(AT3*($Z$1+1)*0.002488974)/($Z$1+1)*Module!$I$5*Module!$I$7</f>
        <v>70.974999121916298</v>
      </c>
      <c r="AW3" s="101">
        <f>$P$120*Module!$I$7*X3*Module!$I$5</f>
        <v>2.2580795855898352</v>
      </c>
      <c r="AX3" s="151">
        <f t="shared" ref="AX3:AX66" si="9">IF(AK3 &gt;$AJ$17,1000000,AS3+AU3+AV3-AW3)</f>
        <v>1000000</v>
      </c>
      <c r="AZ3" s="101">
        <f t="shared" ref="AZ3:AZ66" si="10">$H$61</f>
        <v>0</v>
      </c>
      <c r="BA3" s="101">
        <f>10+Module!$K$57/($AB$1+1)</f>
        <v>71.82879561327222</v>
      </c>
      <c r="BB3" s="101">
        <f>$AB$1*(25+Module!$I$6)</f>
        <v>151.5</v>
      </c>
      <c r="BC3" s="101">
        <f>(BA3*($AB$1+1)*0.002488974)/($AB$1+1)*Module!$I$5*Module!$I$7</f>
        <v>55.150770979977231</v>
      </c>
      <c r="BD3" s="101">
        <f>$P$120*Module!$I$7*X3*Module!$I$5</f>
        <v>2.2580795855898352</v>
      </c>
      <c r="BE3" s="151">
        <f t="shared" ref="BE3:BE66" si="11">IF(AK3 &gt;$AJ$17,1000000,AZ3+BB3+BC3-BD3)</f>
        <v>1000000</v>
      </c>
      <c r="BG3" s="101">
        <f t="shared" ref="BG3:BG66" si="12">$H$61</f>
        <v>0</v>
      </c>
      <c r="BH3" s="101">
        <f>10+Module!$K$57/($AC$1+1)</f>
        <v>59.463036490617775</v>
      </c>
      <c r="BI3" s="101">
        <f>$AC$1*(25+Module!$I$6)</f>
        <v>202</v>
      </c>
      <c r="BJ3" s="101">
        <f>(BH3*($AC$1+1)*0.002488974)/($AC$1+1)*Module!$I$5*Module!$I$7</f>
        <v>45.656234094813776</v>
      </c>
      <c r="BK3" s="101">
        <f>$P$120*Module!$I$7*X3*Module!$I$5</f>
        <v>2.2580795855898352</v>
      </c>
      <c r="BL3" s="151">
        <f t="shared" ref="BL3:BL66" si="13">IF(AK3 &gt;$AJ$17,1000000,BG3+BI3+BJ3-BK3)</f>
        <v>1000000</v>
      </c>
    </row>
    <row r="4" spans="1:64" ht="15.75" hidden="1" thickBot="1">
      <c r="A4" s="101">
        <f t="shared" si="5"/>
        <v>4</v>
      </c>
      <c r="B4" s="100"/>
      <c r="C4" s="105" t="s">
        <v>251</v>
      </c>
      <c r="D4" s="106">
        <f>Module!I5</f>
        <v>57</v>
      </c>
      <c r="E4" s="100"/>
      <c r="F4" s="100"/>
      <c r="I4" s="100"/>
      <c r="J4" s="100"/>
      <c r="K4" s="100"/>
      <c r="L4" s="100"/>
      <c r="M4" s="100"/>
      <c r="N4" s="100"/>
      <c r="O4" s="100"/>
      <c r="P4" s="100"/>
      <c r="Q4" s="100"/>
      <c r="R4" s="100"/>
      <c r="W4" s="780"/>
      <c r="X4" s="121">
        <f t="shared" ref="X4:X67" si="14">X3+1</f>
        <v>2</v>
      </c>
      <c r="Y4" s="122">
        <f>'calcul pneu pour calculateur'!P5</f>
        <v>104.04420862274098</v>
      </c>
      <c r="Z4" s="123">
        <f t="shared" si="1"/>
        <v>208.08841724548196</v>
      </c>
      <c r="AA4" s="123">
        <f>Y4*3</f>
        <v>312.13262586822293</v>
      </c>
      <c r="AB4" s="123">
        <f t="shared" si="3"/>
        <v>416.17683449096393</v>
      </c>
      <c r="AC4" s="123">
        <f t="shared" si="4"/>
        <v>520.22104311370492</v>
      </c>
      <c r="AI4" s="749"/>
      <c r="AJ4" s="101">
        <f>($D$6*G82)/100</f>
        <v>46.27259999999999</v>
      </c>
      <c r="AK4" s="121">
        <f t="shared" ref="AK4:AK67" si="15">AK3+1</f>
        <v>2</v>
      </c>
      <c r="AL4" s="101">
        <f t="shared" si="6"/>
        <v>0</v>
      </c>
      <c r="AM4" s="101">
        <f>10+Module!$K$57/($Z$1+1)</f>
        <v>133.65759122654444</v>
      </c>
      <c r="AN4" s="101">
        <f>$Z$1*(25+Module!$I$6)</f>
        <v>50.5</v>
      </c>
      <c r="AO4" s="101">
        <f>(AM4*($Z$1+1)*0.002488974)/($Z$1+1)*Module!$I$5*Module!$I$7</f>
        <v>102.62345540579445</v>
      </c>
      <c r="AP4" s="101">
        <f>$P$120*Module!$I$7*X4*Module!$I$5</f>
        <v>4.5161591711796705</v>
      </c>
      <c r="AQ4" s="151">
        <f t="shared" si="7"/>
        <v>1000000</v>
      </c>
      <c r="AS4" s="101">
        <f t="shared" si="8"/>
        <v>0</v>
      </c>
      <c r="AT4" s="101">
        <f>10+Module!$K$57/($AA$1+1)</f>
        <v>92.438394151029627</v>
      </c>
      <c r="AU4" s="101">
        <f>$AA$1*(25+Module!$I$6)</f>
        <v>101</v>
      </c>
      <c r="AV4" s="101">
        <f>(AT4*($Z$1+1)*0.002488974)/($Z$1+1)*Module!$I$5*Module!$I$7</f>
        <v>70.974999121916298</v>
      </c>
      <c r="AW4" s="101">
        <f>$P$120*Module!$I$7*X4*Module!$I$5</f>
        <v>4.5161591711796705</v>
      </c>
      <c r="AX4" s="151">
        <f t="shared" si="9"/>
        <v>1000000</v>
      </c>
      <c r="AZ4" s="101">
        <f t="shared" si="10"/>
        <v>0</v>
      </c>
      <c r="BA4" s="101">
        <f>10+Module!$K$57/($AB$1+1)</f>
        <v>71.82879561327222</v>
      </c>
      <c r="BB4" s="101">
        <f>$AB$1*(25+Module!$I$6)</f>
        <v>151.5</v>
      </c>
      <c r="BC4" s="101">
        <f>(BA4*($AB$1+1)*0.002488974)/($AB$1+1)*Module!$I$5*Module!$I$7</f>
        <v>55.150770979977231</v>
      </c>
      <c r="BD4" s="101">
        <f>$P$120*Module!$I$7*X4*Module!$I$5</f>
        <v>4.5161591711796705</v>
      </c>
      <c r="BE4" s="151">
        <f t="shared" si="11"/>
        <v>1000000</v>
      </c>
      <c r="BG4" s="101">
        <f t="shared" si="12"/>
        <v>0</v>
      </c>
      <c r="BH4" s="101">
        <f>10+Module!$K$57/($AC$1+1)</f>
        <v>59.463036490617775</v>
      </c>
      <c r="BI4" s="101">
        <f>$AC$1*(25+Module!$I$6)</f>
        <v>202</v>
      </c>
      <c r="BJ4" s="101">
        <f>(BH4*($AC$1+1)*0.002488974)/($AC$1+1)*Module!$I$5*Module!$I$7</f>
        <v>45.656234094813776</v>
      </c>
      <c r="BK4" s="101">
        <f>$P$120*Module!$I$7*X4*Module!$I$5</f>
        <v>4.5161591711796705</v>
      </c>
      <c r="BL4" s="151">
        <f t="shared" si="13"/>
        <v>1000000</v>
      </c>
    </row>
    <row r="5" spans="1:64" ht="15.75" hidden="1" thickBot="1">
      <c r="A5" s="101">
        <f t="shared" si="5"/>
        <v>5</v>
      </c>
      <c r="B5" s="100"/>
      <c r="C5" s="107" t="s">
        <v>252</v>
      </c>
      <c r="D5" s="108">
        <f>Module!I7</f>
        <v>5.4119999999999999</v>
      </c>
      <c r="E5" s="100"/>
      <c r="F5" s="100"/>
      <c r="I5" s="100"/>
      <c r="J5" s="100"/>
      <c r="K5" s="100"/>
      <c r="L5" s="100"/>
      <c r="M5" s="100"/>
      <c r="N5" s="100"/>
      <c r="O5" s="100"/>
      <c r="P5" s="100"/>
      <c r="Q5" s="100"/>
      <c r="R5" s="100"/>
      <c r="S5" s="100"/>
      <c r="T5" s="100"/>
      <c r="W5" s="780"/>
      <c r="X5" s="121">
        <f t="shared" si="14"/>
        <v>3</v>
      </c>
      <c r="Y5" s="122">
        <f>'calcul pneu pour calculateur'!P6</f>
        <v>103.81320541139979</v>
      </c>
      <c r="Z5" s="123">
        <f t="shared" si="1"/>
        <v>207.62641082279958</v>
      </c>
      <c r="AA5" s="123">
        <f t="shared" si="2"/>
        <v>311.43961623419938</v>
      </c>
      <c r="AB5" s="123">
        <f t="shared" si="3"/>
        <v>415.25282164559917</v>
      </c>
      <c r="AC5" s="123">
        <f t="shared" si="4"/>
        <v>519.06602705699902</v>
      </c>
      <c r="AI5" s="749" t="s">
        <v>162</v>
      </c>
      <c r="AJ5" s="101">
        <f>$D$6+AJ6</f>
        <v>354.75659999999999</v>
      </c>
      <c r="AK5" s="121">
        <f t="shared" si="15"/>
        <v>3</v>
      </c>
      <c r="AL5" s="101">
        <f t="shared" si="6"/>
        <v>0</v>
      </c>
      <c r="AM5" s="101">
        <f>10+Module!$K$57/($Z$1+1)</f>
        <v>133.65759122654444</v>
      </c>
      <c r="AN5" s="101">
        <f>$Z$1*(25+Module!$I$6)</f>
        <v>50.5</v>
      </c>
      <c r="AO5" s="101">
        <f>(AM5*($Z$1+1)*0.002488974)/($Z$1+1)*Module!$I$5*Module!$I$7</f>
        <v>102.62345540579445</v>
      </c>
      <c r="AP5" s="101">
        <f>$P$120*Module!$I$7*X5*Module!$I$5</f>
        <v>6.774238756769507</v>
      </c>
      <c r="AQ5" s="151">
        <f t="shared" si="7"/>
        <v>1000000</v>
      </c>
      <c r="AS5" s="101">
        <f t="shared" si="8"/>
        <v>0</v>
      </c>
      <c r="AT5" s="101">
        <f>10+Module!$K$57/($AA$1+1)</f>
        <v>92.438394151029627</v>
      </c>
      <c r="AU5" s="101">
        <f>$AA$1*(25+Module!$I$6)</f>
        <v>101</v>
      </c>
      <c r="AV5" s="101">
        <f>(AT5*($Z$1+1)*0.002488974)/($Z$1+1)*Module!$I$5*Module!$I$7</f>
        <v>70.974999121916298</v>
      </c>
      <c r="AW5" s="101">
        <f>$P$120*Module!$I$7*X5*Module!$I$5</f>
        <v>6.774238756769507</v>
      </c>
      <c r="AX5" s="151">
        <f t="shared" si="9"/>
        <v>1000000</v>
      </c>
      <c r="AZ5" s="101">
        <f t="shared" si="10"/>
        <v>0</v>
      </c>
      <c r="BA5" s="101">
        <f>10+Module!$K$57/($AB$1+1)</f>
        <v>71.82879561327222</v>
      </c>
      <c r="BB5" s="101">
        <f>$AB$1*(25+Module!$I$6)</f>
        <v>151.5</v>
      </c>
      <c r="BC5" s="101">
        <f>(BA5*($AB$1+1)*0.002488974)/($AB$1+1)*Module!$I$5*Module!$I$7</f>
        <v>55.150770979977231</v>
      </c>
      <c r="BD5" s="101">
        <f>$P$120*Module!$I$7*X5*Module!$I$5</f>
        <v>6.774238756769507</v>
      </c>
      <c r="BE5" s="151">
        <f t="shared" si="11"/>
        <v>1000000</v>
      </c>
      <c r="BG5" s="101">
        <f t="shared" si="12"/>
        <v>0</v>
      </c>
      <c r="BH5" s="101">
        <f>10+Module!$K$57/($AC$1+1)</f>
        <v>59.463036490617775</v>
      </c>
      <c r="BI5" s="101">
        <f>$AC$1*(25+Module!$I$6)</f>
        <v>202</v>
      </c>
      <c r="BJ5" s="101">
        <f>(BH5*($AC$1+1)*0.002488974)/($AC$1+1)*Module!$I$5*Module!$I$7</f>
        <v>45.656234094813776</v>
      </c>
      <c r="BK5" s="101">
        <f>$P$120*Module!$I$7*X5*Module!$I$5</f>
        <v>6.774238756769507</v>
      </c>
      <c r="BL5" s="151">
        <f t="shared" si="13"/>
        <v>1000000</v>
      </c>
    </row>
    <row r="6" spans="1:64" ht="15.75" hidden="1" thickBot="1">
      <c r="A6" s="101">
        <f t="shared" si="5"/>
        <v>6</v>
      </c>
      <c r="B6" s="100"/>
      <c r="C6" s="107" t="s">
        <v>248</v>
      </c>
      <c r="D6" s="104">
        <f>D4*D5</f>
        <v>308.48399999999998</v>
      </c>
      <c r="E6" s="100"/>
      <c r="F6" s="100"/>
      <c r="I6" s="100"/>
      <c r="J6" s="100"/>
      <c r="K6" s="100"/>
      <c r="L6" s="100"/>
      <c r="M6" s="100"/>
      <c r="N6" s="100"/>
      <c r="O6" s="100"/>
      <c r="P6" s="100"/>
      <c r="Q6" s="100"/>
      <c r="R6" s="100"/>
      <c r="S6" s="100"/>
      <c r="T6" s="100"/>
      <c r="W6" s="780"/>
      <c r="X6" s="121">
        <f t="shared" si="14"/>
        <v>4</v>
      </c>
      <c r="Y6" s="122">
        <f>'calcul pneu pour calculateur'!P7</f>
        <v>103.58220220005862</v>
      </c>
      <c r="Z6" s="123">
        <f t="shared" si="1"/>
        <v>207.16440440011723</v>
      </c>
      <c r="AA6" s="123">
        <f t="shared" si="2"/>
        <v>310.74660660017582</v>
      </c>
      <c r="AB6" s="123">
        <f t="shared" si="3"/>
        <v>414.32880880023447</v>
      </c>
      <c r="AC6" s="123">
        <f t="shared" si="4"/>
        <v>517.91101100029312</v>
      </c>
      <c r="AI6" s="749"/>
      <c r="AJ6" s="101">
        <f>($D$6*G85)/100</f>
        <v>46.27259999999999</v>
      </c>
      <c r="AK6" s="121">
        <f t="shared" si="15"/>
        <v>4</v>
      </c>
      <c r="AL6" s="101">
        <f t="shared" si="6"/>
        <v>0</v>
      </c>
      <c r="AM6" s="101">
        <f>10+Module!$K$57/($Z$1+1)</f>
        <v>133.65759122654444</v>
      </c>
      <c r="AN6" s="101">
        <f>$Z$1*(25+Module!$I$6)</f>
        <v>50.5</v>
      </c>
      <c r="AO6" s="101">
        <f>(AM6*($Z$1+1)*0.002488974)/($Z$1+1)*Module!$I$5*Module!$I$7</f>
        <v>102.62345540579445</v>
      </c>
      <c r="AP6" s="101">
        <f>$P$120*Module!$I$7*X6*Module!$I$5</f>
        <v>9.0323183423593409</v>
      </c>
      <c r="AQ6" s="151">
        <f t="shared" si="7"/>
        <v>1000000</v>
      </c>
      <c r="AS6" s="101">
        <f t="shared" si="8"/>
        <v>0</v>
      </c>
      <c r="AT6" s="101">
        <f>10+Module!$K$57/($AA$1+1)</f>
        <v>92.438394151029627</v>
      </c>
      <c r="AU6" s="101">
        <f>$AA$1*(25+Module!$I$6)</f>
        <v>101</v>
      </c>
      <c r="AV6" s="101">
        <f>(AT6*($Z$1+1)*0.002488974)/($Z$1+1)*Module!$I$5*Module!$I$7</f>
        <v>70.974999121916298</v>
      </c>
      <c r="AW6" s="101">
        <f>$P$120*Module!$I$7*X6*Module!$I$5</f>
        <v>9.0323183423593409</v>
      </c>
      <c r="AX6" s="151">
        <f t="shared" si="9"/>
        <v>1000000</v>
      </c>
      <c r="AZ6" s="101">
        <f t="shared" si="10"/>
        <v>0</v>
      </c>
      <c r="BA6" s="101">
        <f>10+Module!$K$57/($AB$1+1)</f>
        <v>71.82879561327222</v>
      </c>
      <c r="BB6" s="101">
        <f>$AB$1*(25+Module!$I$6)</f>
        <v>151.5</v>
      </c>
      <c r="BC6" s="101">
        <f>(BA6*($AB$1+1)*0.002488974)/($AB$1+1)*Module!$I$5*Module!$I$7</f>
        <v>55.150770979977231</v>
      </c>
      <c r="BD6" s="101">
        <f>$P$120*Module!$I$7*X6*Module!$I$5</f>
        <v>9.0323183423593409</v>
      </c>
      <c r="BE6" s="151">
        <f t="shared" si="11"/>
        <v>1000000</v>
      </c>
      <c r="BG6" s="101">
        <f t="shared" si="12"/>
        <v>0</v>
      </c>
      <c r="BH6" s="101">
        <f>10+Module!$K$57/($AC$1+1)</f>
        <v>59.463036490617775</v>
      </c>
      <c r="BI6" s="101">
        <f>$AC$1*(25+Module!$I$6)</f>
        <v>202</v>
      </c>
      <c r="BJ6" s="101">
        <f>(BH6*($AC$1+1)*0.002488974)/($AC$1+1)*Module!$I$5*Module!$I$7</f>
        <v>45.656234094813776</v>
      </c>
      <c r="BK6" s="101">
        <f>$P$120*Module!$I$7*X6*Module!$I$5</f>
        <v>9.0323183423593409</v>
      </c>
      <c r="BL6" s="151">
        <f t="shared" si="13"/>
        <v>1000000</v>
      </c>
    </row>
    <row r="7" spans="1:64" ht="15.75" hidden="1" thickBot="1">
      <c r="A7" s="101">
        <f t="shared" si="5"/>
        <v>7</v>
      </c>
      <c r="B7" s="100"/>
      <c r="C7" s="100"/>
      <c r="D7" s="100"/>
      <c r="E7" s="100"/>
      <c r="F7" s="100"/>
      <c r="I7" s="100"/>
      <c r="J7" s="100"/>
      <c r="K7" s="100"/>
      <c r="L7" s="100"/>
      <c r="M7" s="100"/>
      <c r="N7" s="100"/>
      <c r="O7" s="100"/>
      <c r="P7" s="100"/>
      <c r="Q7" s="100"/>
      <c r="R7" s="100"/>
      <c r="S7" s="100"/>
      <c r="T7" s="100"/>
      <c r="W7" s="780"/>
      <c r="X7" s="121">
        <f t="shared" si="14"/>
        <v>5</v>
      </c>
      <c r="Y7" s="122">
        <f>'calcul pneu pour calculateur'!P8</f>
        <v>103.35119898871743</v>
      </c>
      <c r="Z7" s="123">
        <f t="shared" si="1"/>
        <v>206.70239797743486</v>
      </c>
      <c r="AA7" s="123">
        <f t="shared" si="2"/>
        <v>310.05359696615227</v>
      </c>
      <c r="AB7" s="123">
        <f t="shared" si="3"/>
        <v>413.40479595486971</v>
      </c>
      <c r="AC7" s="123">
        <f t="shared" si="4"/>
        <v>516.7559949435871</v>
      </c>
      <c r="AI7" s="749" t="s">
        <v>268</v>
      </c>
      <c r="AJ7" s="101">
        <f>$D$6+AJ8</f>
        <v>354.75659999999999</v>
      </c>
      <c r="AK7" s="121">
        <f t="shared" si="15"/>
        <v>5</v>
      </c>
      <c r="AL7" s="101">
        <f t="shared" si="6"/>
        <v>0</v>
      </c>
      <c r="AM7" s="101">
        <f>10+Module!$K$57/($Z$1+1)</f>
        <v>133.65759122654444</v>
      </c>
      <c r="AN7" s="101">
        <f>$Z$1*(25+Module!$I$6)</f>
        <v>50.5</v>
      </c>
      <c r="AO7" s="101">
        <f>(AM7*($Z$1+1)*0.002488974)/($Z$1+1)*Module!$I$5*Module!$I$7</f>
        <v>102.62345540579445</v>
      </c>
      <c r="AP7" s="101">
        <f>$P$120*Module!$I$7*X7*Module!$I$5</f>
        <v>11.290397927949178</v>
      </c>
      <c r="AQ7" s="151">
        <f t="shared" si="7"/>
        <v>1000000</v>
      </c>
      <c r="AS7" s="101">
        <f t="shared" si="8"/>
        <v>0</v>
      </c>
      <c r="AT7" s="101">
        <f>10+Module!$K$57/($AA$1+1)</f>
        <v>92.438394151029627</v>
      </c>
      <c r="AU7" s="101">
        <f>$AA$1*(25+Module!$I$6)</f>
        <v>101</v>
      </c>
      <c r="AV7" s="101">
        <f>(AT7*($Z$1+1)*0.002488974)/($Z$1+1)*Module!$I$5*Module!$I$7</f>
        <v>70.974999121916298</v>
      </c>
      <c r="AW7" s="101">
        <f>$P$120*Module!$I$7*X7*Module!$I$5</f>
        <v>11.290397927949178</v>
      </c>
      <c r="AX7" s="151">
        <f t="shared" si="9"/>
        <v>1000000</v>
      </c>
      <c r="AZ7" s="101">
        <f t="shared" si="10"/>
        <v>0</v>
      </c>
      <c r="BA7" s="101">
        <f>10+Module!$K$57/($AB$1+1)</f>
        <v>71.82879561327222</v>
      </c>
      <c r="BB7" s="101">
        <f>$AB$1*(25+Module!$I$6)</f>
        <v>151.5</v>
      </c>
      <c r="BC7" s="101">
        <f>(BA7*($AB$1+1)*0.002488974)/($AB$1+1)*Module!$I$5*Module!$I$7</f>
        <v>55.150770979977231</v>
      </c>
      <c r="BD7" s="101">
        <f>$P$120*Module!$I$7*X7*Module!$I$5</f>
        <v>11.290397927949178</v>
      </c>
      <c r="BE7" s="151">
        <f t="shared" si="11"/>
        <v>1000000</v>
      </c>
      <c r="BG7" s="101">
        <f t="shared" si="12"/>
        <v>0</v>
      </c>
      <c r="BH7" s="101">
        <f>10+Module!$K$57/($AC$1+1)</f>
        <v>59.463036490617775</v>
      </c>
      <c r="BI7" s="101">
        <f>$AC$1*(25+Module!$I$6)</f>
        <v>202</v>
      </c>
      <c r="BJ7" s="101">
        <f>(BH7*($AC$1+1)*0.002488974)/($AC$1+1)*Module!$I$5*Module!$I$7</f>
        <v>45.656234094813776</v>
      </c>
      <c r="BK7" s="101">
        <f>$P$120*Module!$I$7*X7*Module!$I$5</f>
        <v>11.290397927949178</v>
      </c>
      <c r="BL7" s="151">
        <f t="shared" si="13"/>
        <v>1000000</v>
      </c>
    </row>
    <row r="8" spans="1:64" ht="15" hidden="1" customHeight="1" thickBot="1">
      <c r="A8" s="101">
        <f t="shared" si="5"/>
        <v>8</v>
      </c>
      <c r="B8" s="100"/>
      <c r="C8" s="100"/>
      <c r="D8" s="100"/>
      <c r="E8" s="100"/>
      <c r="F8" s="100"/>
      <c r="I8" s="100"/>
      <c r="J8" s="100"/>
      <c r="K8" s="100"/>
      <c r="L8" s="100"/>
      <c r="M8" s="100"/>
      <c r="N8" s="100"/>
      <c r="O8" s="100"/>
      <c r="P8" s="100"/>
      <c r="Q8" s="100"/>
      <c r="R8" s="100"/>
      <c r="S8" s="100"/>
      <c r="T8" s="100"/>
      <c r="W8" s="780"/>
      <c r="X8" s="121">
        <f t="shared" si="14"/>
        <v>6</v>
      </c>
      <c r="Y8" s="122">
        <f>'calcul pneu pour calculateur'!P9</f>
        <v>103.12019577737625</v>
      </c>
      <c r="Z8" s="123">
        <f t="shared" si="1"/>
        <v>206.24039155475251</v>
      </c>
      <c r="AA8" s="123">
        <f t="shared" si="2"/>
        <v>309.36058733212877</v>
      </c>
      <c r="AB8" s="123">
        <f t="shared" si="3"/>
        <v>412.48078310950501</v>
      </c>
      <c r="AC8" s="123">
        <f t="shared" si="4"/>
        <v>515.60097888688131</v>
      </c>
      <c r="AI8" s="749"/>
      <c r="AJ8" s="101">
        <f>($D$6*G88)/100</f>
        <v>46.27259999999999</v>
      </c>
      <c r="AK8" s="121">
        <f t="shared" si="15"/>
        <v>6</v>
      </c>
      <c r="AL8" s="101">
        <f>$H$61</f>
        <v>0</v>
      </c>
      <c r="AM8" s="101">
        <f>10+Module!$K$57/($Z$1+1)</f>
        <v>133.65759122654444</v>
      </c>
      <c r="AN8" s="101">
        <f>$Z$1*(25+Module!$I$6)</f>
        <v>50.5</v>
      </c>
      <c r="AO8" s="101">
        <f>(AM8*($Z$1+1)*0.002488974)/($Z$1+1)*Module!$I$5*Module!$I$7</f>
        <v>102.62345540579445</v>
      </c>
      <c r="AP8" s="101">
        <f>$P$120*Module!$I$7*X8*Module!$I$5</f>
        <v>13.548477513539014</v>
      </c>
      <c r="AQ8" s="151">
        <f t="shared" si="7"/>
        <v>1000000</v>
      </c>
      <c r="AS8" s="101">
        <f t="shared" si="8"/>
        <v>0</v>
      </c>
      <c r="AT8" s="101">
        <f>10+Module!$K$57/($AA$1+1)</f>
        <v>92.438394151029627</v>
      </c>
      <c r="AU8" s="101">
        <f>$AA$1*(25+Module!$I$6)</f>
        <v>101</v>
      </c>
      <c r="AV8" s="101">
        <f>(AT8*($Z$1+1)*0.002488974)/($Z$1+1)*Module!$I$5*Module!$I$7</f>
        <v>70.974999121916298</v>
      </c>
      <c r="AW8" s="101">
        <f>$P$120*Module!$I$7*X8*Module!$I$5</f>
        <v>13.548477513539014</v>
      </c>
      <c r="AX8" s="151">
        <f t="shared" si="9"/>
        <v>1000000</v>
      </c>
      <c r="AZ8" s="101">
        <f t="shared" si="10"/>
        <v>0</v>
      </c>
      <c r="BA8" s="101">
        <f>10+Module!$K$57/($AB$1+1)</f>
        <v>71.82879561327222</v>
      </c>
      <c r="BB8" s="101">
        <f>$AB$1*(25+Module!$I$6)</f>
        <v>151.5</v>
      </c>
      <c r="BC8" s="101">
        <f>(BA8*($AB$1+1)*0.002488974)/($AB$1+1)*Module!$I$5*Module!$I$7</f>
        <v>55.150770979977231</v>
      </c>
      <c r="BD8" s="101">
        <f>$P$120*Module!$I$7*X8*Module!$I$5</f>
        <v>13.548477513539014</v>
      </c>
      <c r="BE8" s="151">
        <f t="shared" si="11"/>
        <v>1000000</v>
      </c>
      <c r="BG8" s="101">
        <f t="shared" si="12"/>
        <v>0</v>
      </c>
      <c r="BH8" s="101">
        <f>10+Module!$K$57/($AC$1+1)</f>
        <v>59.463036490617775</v>
      </c>
      <c r="BI8" s="101">
        <f>$AC$1*(25+Module!$I$6)</f>
        <v>202</v>
      </c>
      <c r="BJ8" s="101">
        <f>(BH8*($AC$1+1)*0.002488974)/($AC$1+1)*Module!$I$5*Module!$I$7</f>
        <v>45.656234094813776</v>
      </c>
      <c r="BK8" s="101">
        <f>$P$120*Module!$I$7*X8*Module!$I$5</f>
        <v>13.548477513539014</v>
      </c>
      <c r="BL8" s="151">
        <f t="shared" si="13"/>
        <v>1000000</v>
      </c>
    </row>
    <row r="9" spans="1:64" ht="15.75" hidden="1" thickBot="1">
      <c r="A9" s="101">
        <f t="shared" si="5"/>
        <v>9</v>
      </c>
      <c r="B9" s="100"/>
      <c r="C9" s="100"/>
      <c r="D9" s="100"/>
      <c r="E9" s="100"/>
      <c r="F9" s="100"/>
      <c r="I9" s="100"/>
      <c r="J9" s="100"/>
      <c r="K9" s="100"/>
      <c r="L9" s="100"/>
      <c r="M9" s="100"/>
      <c r="N9" s="100"/>
      <c r="O9" s="100"/>
      <c r="P9" s="100"/>
      <c r="Q9" s="100"/>
      <c r="R9" s="100"/>
      <c r="S9" s="100"/>
      <c r="T9" s="100"/>
      <c r="W9" s="780"/>
      <c r="X9" s="121">
        <f t="shared" si="14"/>
        <v>7</v>
      </c>
      <c r="Y9" s="122">
        <f>'calcul pneu pour calculateur'!P10</f>
        <v>102.88919256603506</v>
      </c>
      <c r="Z9" s="123">
        <f t="shared" si="1"/>
        <v>205.77838513207013</v>
      </c>
      <c r="AA9" s="123">
        <f t="shared" si="2"/>
        <v>308.66757769810522</v>
      </c>
      <c r="AB9" s="123">
        <f t="shared" si="3"/>
        <v>411.55677026414025</v>
      </c>
      <c r="AC9" s="123">
        <f t="shared" si="4"/>
        <v>514.44596283017529</v>
      </c>
      <c r="AI9" s="749" t="s">
        <v>269</v>
      </c>
      <c r="AJ9" s="101" t="e">
        <f>$D$6+AJ10</f>
        <v>#REF!</v>
      </c>
      <c r="AK9" s="121">
        <f t="shared" si="15"/>
        <v>7</v>
      </c>
      <c r="AL9" s="101">
        <f t="shared" si="6"/>
        <v>0</v>
      </c>
      <c r="AM9" s="101">
        <f>10+Module!$K$57/($Z$1+1)</f>
        <v>133.65759122654444</v>
      </c>
      <c r="AN9" s="101">
        <f>$Z$1*(25+Module!$I$6)</f>
        <v>50.5</v>
      </c>
      <c r="AO9" s="101">
        <f>(AM9*($Z$1+1)*0.002488974)/($Z$1+1)*Module!$I$5*Module!$I$7</f>
        <v>102.62345540579445</v>
      </c>
      <c r="AP9" s="101">
        <f>$P$120*Module!$I$7*X9*Module!$I$5</f>
        <v>15.806557099128847</v>
      </c>
      <c r="AQ9" s="151">
        <f t="shared" si="7"/>
        <v>1000000</v>
      </c>
      <c r="AS9" s="101">
        <f t="shared" si="8"/>
        <v>0</v>
      </c>
      <c r="AT9" s="101">
        <f>10+Module!$K$57/($AA$1+1)</f>
        <v>92.438394151029627</v>
      </c>
      <c r="AU9" s="101">
        <f>$AA$1*(25+Module!$I$6)</f>
        <v>101</v>
      </c>
      <c r="AV9" s="101">
        <f>(AT9*($Z$1+1)*0.002488974)/($Z$1+1)*Module!$I$5*Module!$I$7</f>
        <v>70.974999121916298</v>
      </c>
      <c r="AW9" s="101">
        <f>$P$120*Module!$I$7*X9*Module!$I$5</f>
        <v>15.806557099128847</v>
      </c>
      <c r="AX9" s="151">
        <f t="shared" si="9"/>
        <v>1000000</v>
      </c>
      <c r="AZ9" s="101">
        <f t="shared" si="10"/>
        <v>0</v>
      </c>
      <c r="BA9" s="101">
        <f>10+Module!$K$57/($AB$1+1)</f>
        <v>71.82879561327222</v>
      </c>
      <c r="BB9" s="101">
        <f>$AB$1*(25+Module!$I$6)</f>
        <v>151.5</v>
      </c>
      <c r="BC9" s="101">
        <f>(BA9*($AB$1+1)*0.002488974)/($AB$1+1)*Module!$I$5*Module!$I$7</f>
        <v>55.150770979977231</v>
      </c>
      <c r="BD9" s="101">
        <f>$P$120*Module!$I$7*X9*Module!$I$5</f>
        <v>15.806557099128847</v>
      </c>
      <c r="BE9" s="151">
        <f t="shared" si="11"/>
        <v>1000000</v>
      </c>
      <c r="BG9" s="101">
        <f t="shared" si="12"/>
        <v>0</v>
      </c>
      <c r="BH9" s="101">
        <f>10+Module!$K$57/($AC$1+1)</f>
        <v>59.463036490617775</v>
      </c>
      <c r="BI9" s="101">
        <f>$AC$1*(25+Module!$I$6)</f>
        <v>202</v>
      </c>
      <c r="BJ9" s="101">
        <f>(BH9*($AC$1+1)*0.002488974)/($AC$1+1)*Module!$I$5*Module!$I$7</f>
        <v>45.656234094813776</v>
      </c>
      <c r="BK9" s="101">
        <f>$P$120*Module!$I$7*X9*Module!$I$5</f>
        <v>15.806557099128847</v>
      </c>
      <c r="BL9" s="151">
        <f t="shared" si="13"/>
        <v>1000000</v>
      </c>
    </row>
    <row r="10" spans="1:64" ht="15.75" hidden="1" thickBot="1">
      <c r="A10" s="101">
        <f t="shared" si="5"/>
        <v>10</v>
      </c>
      <c r="B10" s="100"/>
      <c r="C10" s="100"/>
      <c r="D10" s="100"/>
      <c r="E10" s="100"/>
      <c r="F10" s="100"/>
      <c r="I10" s="100"/>
      <c r="J10" s="100"/>
      <c r="K10" s="100"/>
      <c r="L10" s="100"/>
      <c r="M10" s="100"/>
      <c r="N10" s="100"/>
      <c r="O10" s="100"/>
      <c r="P10" s="100"/>
      <c r="Q10" s="100"/>
      <c r="R10" s="100"/>
      <c r="S10" s="100"/>
      <c r="T10" s="100"/>
      <c r="W10" s="780"/>
      <c r="X10" s="121">
        <f t="shared" si="14"/>
        <v>8</v>
      </c>
      <c r="Y10" s="122">
        <f>'calcul pneu pour calculateur'!P11</f>
        <v>102.65818935469389</v>
      </c>
      <c r="Z10" s="123">
        <f t="shared" si="1"/>
        <v>205.31637870938778</v>
      </c>
      <c r="AA10" s="123">
        <f t="shared" si="2"/>
        <v>307.97456806408167</v>
      </c>
      <c r="AB10" s="123">
        <f t="shared" si="3"/>
        <v>410.63275741877555</v>
      </c>
      <c r="AC10" s="123">
        <f t="shared" si="4"/>
        <v>513.29094677346939</v>
      </c>
      <c r="AI10" s="749"/>
      <c r="AJ10" s="101" t="e">
        <f>($D$6*#REF!)/100</f>
        <v>#REF!</v>
      </c>
      <c r="AK10" s="121">
        <f t="shared" si="15"/>
        <v>8</v>
      </c>
      <c r="AL10" s="101">
        <f t="shared" si="6"/>
        <v>0</v>
      </c>
      <c r="AM10" s="101">
        <f>10+Module!$K$57/($Z$1+1)</f>
        <v>133.65759122654444</v>
      </c>
      <c r="AN10" s="101">
        <f>$Z$1*(25+Module!$I$6)</f>
        <v>50.5</v>
      </c>
      <c r="AO10" s="101">
        <f>(AM10*($Z$1+1)*0.002488974)/($Z$1+1)*Module!$I$5*Module!$I$7</f>
        <v>102.62345540579445</v>
      </c>
      <c r="AP10" s="101">
        <f>$P$120*Module!$I$7*X10*Module!$I$5</f>
        <v>18.064636684718682</v>
      </c>
      <c r="AQ10" s="151">
        <f t="shared" si="7"/>
        <v>1000000</v>
      </c>
      <c r="AS10" s="101">
        <f t="shared" si="8"/>
        <v>0</v>
      </c>
      <c r="AT10" s="101">
        <f>10+Module!$K$57/($AA$1+1)</f>
        <v>92.438394151029627</v>
      </c>
      <c r="AU10" s="101">
        <f>$AA$1*(25+Module!$I$6)</f>
        <v>101</v>
      </c>
      <c r="AV10" s="101">
        <f>(AT10*($Z$1+1)*0.002488974)/($Z$1+1)*Module!$I$5*Module!$I$7</f>
        <v>70.974999121916298</v>
      </c>
      <c r="AW10" s="101">
        <f>$P$120*Module!$I$7*X10*Module!$I$5</f>
        <v>18.064636684718682</v>
      </c>
      <c r="AX10" s="151">
        <f t="shared" si="9"/>
        <v>1000000</v>
      </c>
      <c r="AZ10" s="101">
        <f t="shared" si="10"/>
        <v>0</v>
      </c>
      <c r="BA10" s="101">
        <f>10+Module!$K$57/($AB$1+1)</f>
        <v>71.82879561327222</v>
      </c>
      <c r="BB10" s="101">
        <f>$AB$1*(25+Module!$I$6)</f>
        <v>151.5</v>
      </c>
      <c r="BC10" s="101">
        <f>(BA10*($AB$1+1)*0.002488974)/($AB$1+1)*Module!$I$5*Module!$I$7</f>
        <v>55.150770979977231</v>
      </c>
      <c r="BD10" s="101">
        <f>$P$120*Module!$I$7*X10*Module!$I$5</f>
        <v>18.064636684718682</v>
      </c>
      <c r="BE10" s="151">
        <f t="shared" si="11"/>
        <v>1000000</v>
      </c>
      <c r="BG10" s="101">
        <f t="shared" si="12"/>
        <v>0</v>
      </c>
      <c r="BH10" s="101">
        <f>10+Module!$K$57/($AC$1+1)</f>
        <v>59.463036490617775</v>
      </c>
      <c r="BI10" s="101">
        <f>$AC$1*(25+Module!$I$6)</f>
        <v>202</v>
      </c>
      <c r="BJ10" s="101">
        <f>(BH10*($AC$1+1)*0.002488974)/($AC$1+1)*Module!$I$5*Module!$I$7</f>
        <v>45.656234094813776</v>
      </c>
      <c r="BK10" s="101">
        <f>$P$120*Module!$I$7*X10*Module!$I$5</f>
        <v>18.064636684718682</v>
      </c>
      <c r="BL10" s="151">
        <f t="shared" si="13"/>
        <v>1000000</v>
      </c>
    </row>
    <row r="11" spans="1:64" ht="15.75" hidden="1" thickBot="1">
      <c r="A11" s="101">
        <f t="shared" si="5"/>
        <v>11</v>
      </c>
      <c r="B11" s="100"/>
      <c r="C11" s="100"/>
      <c r="D11" s="100"/>
      <c r="E11" s="100"/>
      <c r="F11" s="100"/>
      <c r="I11" s="100"/>
      <c r="J11" s="100"/>
      <c r="K11" s="100"/>
      <c r="L11" s="100"/>
      <c r="M11" s="100"/>
      <c r="N11" s="100"/>
      <c r="O11" s="100"/>
      <c r="P11" s="100"/>
      <c r="Q11" s="100"/>
      <c r="R11" s="100"/>
      <c r="S11" s="100"/>
      <c r="T11" s="100"/>
      <c r="W11" s="780"/>
      <c r="X11" s="121">
        <f t="shared" si="14"/>
        <v>9</v>
      </c>
      <c r="Y11" s="122">
        <f>'calcul pneu pour calculateur'!P12</f>
        <v>102.42718614335271</v>
      </c>
      <c r="Z11" s="123">
        <f t="shared" si="1"/>
        <v>204.85437228670543</v>
      </c>
      <c r="AA11" s="123">
        <f t="shared" si="2"/>
        <v>307.28155843005811</v>
      </c>
      <c r="AB11" s="123">
        <f t="shared" si="3"/>
        <v>409.70874457341085</v>
      </c>
      <c r="AC11" s="123">
        <f t="shared" si="4"/>
        <v>512.1359307167636</v>
      </c>
      <c r="AK11" s="121">
        <f t="shared" si="15"/>
        <v>9</v>
      </c>
      <c r="AL11" s="101">
        <f t="shared" si="6"/>
        <v>0</v>
      </c>
      <c r="AM11" s="101">
        <f>10+Module!$K$57/($Z$1+1)</f>
        <v>133.65759122654444</v>
      </c>
      <c r="AN11" s="101">
        <f>$Z$1*(25+Module!$I$6)</f>
        <v>50.5</v>
      </c>
      <c r="AO11" s="101">
        <f>(AM11*($Z$1+1)*0.002488974)/($Z$1+1)*Module!$I$5*Module!$I$7</f>
        <v>102.62345540579445</v>
      </c>
      <c r="AP11" s="101">
        <f>$P$120*Module!$I$7*X11*Module!$I$5</f>
        <v>20.322716270308518</v>
      </c>
      <c r="AQ11" s="151">
        <f t="shared" si="7"/>
        <v>1000000</v>
      </c>
      <c r="AS11" s="101">
        <f t="shared" si="8"/>
        <v>0</v>
      </c>
      <c r="AT11" s="101">
        <f>10+Module!$K$57/($AA$1+1)</f>
        <v>92.438394151029627</v>
      </c>
      <c r="AU11" s="101">
        <f>$AA$1*(25+Module!$I$6)</f>
        <v>101</v>
      </c>
      <c r="AV11" s="101">
        <f>(AT11*($Z$1+1)*0.002488974)/($Z$1+1)*Module!$I$5*Module!$I$7</f>
        <v>70.974999121916298</v>
      </c>
      <c r="AW11" s="101">
        <f>$P$120*Module!$I$7*X11*Module!$I$5</f>
        <v>20.322716270308518</v>
      </c>
      <c r="AX11" s="151">
        <f t="shared" si="9"/>
        <v>1000000</v>
      </c>
      <c r="AZ11" s="101">
        <f t="shared" si="10"/>
        <v>0</v>
      </c>
      <c r="BA11" s="101">
        <f>10+Module!$K$57/($AB$1+1)</f>
        <v>71.82879561327222</v>
      </c>
      <c r="BB11" s="101">
        <f>$AB$1*(25+Module!$I$6)</f>
        <v>151.5</v>
      </c>
      <c r="BC11" s="101">
        <f>(BA11*($AB$1+1)*0.002488974)/($AB$1+1)*Module!$I$5*Module!$I$7</f>
        <v>55.150770979977231</v>
      </c>
      <c r="BD11" s="101">
        <f>$P$120*Module!$I$7*X11*Module!$I$5</f>
        <v>20.322716270308518</v>
      </c>
      <c r="BE11" s="151">
        <f t="shared" si="11"/>
        <v>1000000</v>
      </c>
      <c r="BG11" s="101">
        <f t="shared" si="12"/>
        <v>0</v>
      </c>
      <c r="BH11" s="101">
        <f>10+Module!$K$57/($AC$1+1)</f>
        <v>59.463036490617775</v>
      </c>
      <c r="BI11" s="101">
        <f>$AC$1*(25+Module!$I$6)</f>
        <v>202</v>
      </c>
      <c r="BJ11" s="101">
        <f>(BH11*($AC$1+1)*0.002488974)/($AC$1+1)*Module!$I$5*Module!$I$7</f>
        <v>45.656234094813776</v>
      </c>
      <c r="BK11" s="101">
        <f>$P$120*Module!$I$7*X11*Module!$I$5</f>
        <v>20.322716270308518</v>
      </c>
      <c r="BL11" s="151">
        <f t="shared" si="13"/>
        <v>1000000</v>
      </c>
    </row>
    <row r="12" spans="1:64" ht="15.75" hidden="1" thickBot="1">
      <c r="A12" s="101">
        <f t="shared" si="5"/>
        <v>12</v>
      </c>
      <c r="B12" s="100"/>
      <c r="C12" s="100"/>
      <c r="D12" s="100"/>
      <c r="E12" s="100"/>
      <c r="F12" s="100"/>
      <c r="I12" s="100"/>
      <c r="J12" s="100"/>
      <c r="K12" s="100"/>
      <c r="L12" s="100"/>
      <c r="M12" s="100"/>
      <c r="N12" s="100"/>
      <c r="O12" s="100"/>
      <c r="P12" s="100"/>
      <c r="Q12" s="100"/>
      <c r="R12" s="100"/>
      <c r="S12" s="100"/>
      <c r="T12" s="100"/>
      <c r="W12" s="780"/>
      <c r="X12" s="121">
        <f t="shared" si="14"/>
        <v>10</v>
      </c>
      <c r="Y12" s="122">
        <f>'calcul pneu pour calculateur'!P13</f>
        <v>102.19618293201152</v>
      </c>
      <c r="Z12" s="123">
        <f t="shared" si="1"/>
        <v>204.39236586402305</v>
      </c>
      <c r="AA12" s="123">
        <f t="shared" si="2"/>
        <v>306.58854879603456</v>
      </c>
      <c r="AB12" s="123">
        <f t="shared" si="3"/>
        <v>408.7847317280461</v>
      </c>
      <c r="AC12" s="123">
        <f t="shared" si="4"/>
        <v>510.98091466005764</v>
      </c>
      <c r="AK12" s="121">
        <f t="shared" si="15"/>
        <v>10</v>
      </c>
      <c r="AL12" s="101">
        <f t="shared" si="6"/>
        <v>0</v>
      </c>
      <c r="AM12" s="101">
        <f>10+Module!$K$57/($Z$1+1)</f>
        <v>133.65759122654444</v>
      </c>
      <c r="AN12" s="101">
        <f>$Z$1*(25+Module!$I$6)</f>
        <v>50.5</v>
      </c>
      <c r="AO12" s="101">
        <f>(AM12*($Z$1+1)*0.002488974)/($Z$1+1)*Module!$I$5*Module!$I$7</f>
        <v>102.62345540579445</v>
      </c>
      <c r="AP12" s="101">
        <f>$P$120*Module!$I$7*X12*Module!$I$5</f>
        <v>22.580795855898355</v>
      </c>
      <c r="AQ12" s="151">
        <f t="shared" si="7"/>
        <v>1000000</v>
      </c>
      <c r="AS12" s="101">
        <f t="shared" si="8"/>
        <v>0</v>
      </c>
      <c r="AT12" s="101">
        <f>10+Module!$K$57/($AA$1+1)</f>
        <v>92.438394151029627</v>
      </c>
      <c r="AU12" s="101">
        <f>$AA$1*(25+Module!$I$6)</f>
        <v>101</v>
      </c>
      <c r="AV12" s="101">
        <f>(AT12*($Z$1+1)*0.002488974)/($Z$1+1)*Module!$I$5*Module!$I$7</f>
        <v>70.974999121916298</v>
      </c>
      <c r="AW12" s="101">
        <f>$P$120*Module!$I$7*X12*Module!$I$5</f>
        <v>22.580795855898355</v>
      </c>
      <c r="AX12" s="151">
        <f t="shared" si="9"/>
        <v>1000000</v>
      </c>
      <c r="AZ12" s="101">
        <f t="shared" si="10"/>
        <v>0</v>
      </c>
      <c r="BA12" s="101">
        <f>10+Module!$K$57/($AB$1+1)</f>
        <v>71.82879561327222</v>
      </c>
      <c r="BB12" s="101">
        <f>$AB$1*(25+Module!$I$6)</f>
        <v>151.5</v>
      </c>
      <c r="BC12" s="101">
        <f>(BA12*($AB$1+1)*0.002488974)/($AB$1+1)*Module!$I$5*Module!$I$7</f>
        <v>55.150770979977231</v>
      </c>
      <c r="BD12" s="101">
        <f>$P$120*Module!$I$7*X12*Module!$I$5</f>
        <v>22.580795855898355</v>
      </c>
      <c r="BE12" s="151">
        <f t="shared" si="11"/>
        <v>1000000</v>
      </c>
      <c r="BG12" s="101">
        <f t="shared" si="12"/>
        <v>0</v>
      </c>
      <c r="BH12" s="101">
        <f>10+Module!$K$57/($AC$1+1)</f>
        <v>59.463036490617775</v>
      </c>
      <c r="BI12" s="101">
        <f>$AC$1*(25+Module!$I$6)</f>
        <v>202</v>
      </c>
      <c r="BJ12" s="101">
        <f>(BH12*($AC$1+1)*0.002488974)/($AC$1+1)*Module!$I$5*Module!$I$7</f>
        <v>45.656234094813776</v>
      </c>
      <c r="BK12" s="101">
        <f>$P$120*Module!$I$7*X12*Module!$I$5</f>
        <v>22.580795855898355</v>
      </c>
      <c r="BL12" s="151">
        <f t="shared" si="13"/>
        <v>1000000</v>
      </c>
    </row>
    <row r="13" spans="1:64" ht="15.75" hidden="1" thickBot="1">
      <c r="A13" s="101">
        <f t="shared" si="5"/>
        <v>13</v>
      </c>
      <c r="B13" s="100"/>
      <c r="C13" s="100"/>
      <c r="D13" s="100"/>
      <c r="E13" s="100"/>
      <c r="F13" s="100"/>
      <c r="I13" s="100"/>
      <c r="J13" s="100"/>
      <c r="K13" s="100"/>
      <c r="L13" s="100"/>
      <c r="M13" s="100"/>
      <c r="N13" s="100"/>
      <c r="O13" s="100"/>
      <c r="P13" s="100"/>
      <c r="Q13" s="100"/>
      <c r="R13" s="100"/>
      <c r="S13" s="100"/>
      <c r="T13" s="100"/>
      <c r="W13" s="780"/>
      <c r="X13" s="121">
        <f t="shared" si="14"/>
        <v>11</v>
      </c>
      <c r="Y13" s="122">
        <f>'calcul pneu pour calculateur'!P14</f>
        <v>101.96517972067033</v>
      </c>
      <c r="Z13" s="123">
        <f t="shared" si="1"/>
        <v>203.93035944134067</v>
      </c>
      <c r="AA13" s="123">
        <f t="shared" si="2"/>
        <v>305.895539162011</v>
      </c>
      <c r="AB13" s="123">
        <f t="shared" si="3"/>
        <v>407.86071888268134</v>
      </c>
      <c r="AC13" s="123">
        <f t="shared" si="4"/>
        <v>509.82589860335167</v>
      </c>
      <c r="AK13" s="121">
        <f t="shared" si="15"/>
        <v>11</v>
      </c>
      <c r="AL13" s="101">
        <f t="shared" si="6"/>
        <v>0</v>
      </c>
      <c r="AM13" s="101">
        <f>10+Module!$K$57/($Z$1+1)</f>
        <v>133.65759122654444</v>
      </c>
      <c r="AN13" s="101">
        <f>$Z$1*(25+Module!$I$6)</f>
        <v>50.5</v>
      </c>
      <c r="AO13" s="101">
        <f>(AM13*($Z$1+1)*0.002488974)/($Z$1+1)*Module!$I$5*Module!$I$7</f>
        <v>102.62345540579445</v>
      </c>
      <c r="AP13" s="101">
        <f>$P$120*Module!$I$7*X13*Module!$I$5</f>
        <v>24.838875441488192</v>
      </c>
      <c r="AQ13" s="151">
        <f t="shared" si="7"/>
        <v>1000000</v>
      </c>
      <c r="AS13" s="101">
        <f t="shared" si="8"/>
        <v>0</v>
      </c>
      <c r="AT13" s="101">
        <f>10+Module!$K$57/($AA$1+1)</f>
        <v>92.438394151029627</v>
      </c>
      <c r="AU13" s="101">
        <f>$AA$1*(25+Module!$I$6)</f>
        <v>101</v>
      </c>
      <c r="AV13" s="101">
        <f>(AT13*($Z$1+1)*0.002488974)/($Z$1+1)*Module!$I$5*Module!$I$7</f>
        <v>70.974999121916298</v>
      </c>
      <c r="AW13" s="101">
        <f>$P$120*Module!$I$7*X13*Module!$I$5</f>
        <v>24.838875441488192</v>
      </c>
      <c r="AX13" s="151">
        <f t="shared" si="9"/>
        <v>1000000</v>
      </c>
      <c r="AZ13" s="101">
        <f t="shared" si="10"/>
        <v>0</v>
      </c>
      <c r="BA13" s="101">
        <f>10+Module!$K$57/($AB$1+1)</f>
        <v>71.82879561327222</v>
      </c>
      <c r="BB13" s="101">
        <f>$AB$1*(25+Module!$I$6)</f>
        <v>151.5</v>
      </c>
      <c r="BC13" s="101">
        <f>(BA13*($AB$1+1)*0.002488974)/($AB$1+1)*Module!$I$5*Module!$I$7</f>
        <v>55.150770979977231</v>
      </c>
      <c r="BD13" s="101">
        <f>$P$120*Module!$I$7*X13*Module!$I$5</f>
        <v>24.838875441488192</v>
      </c>
      <c r="BE13" s="151">
        <f t="shared" si="11"/>
        <v>1000000</v>
      </c>
      <c r="BG13" s="101">
        <f t="shared" si="12"/>
        <v>0</v>
      </c>
      <c r="BH13" s="101">
        <f>10+Module!$K$57/($AC$1+1)</f>
        <v>59.463036490617775</v>
      </c>
      <c r="BI13" s="101">
        <f>$AC$1*(25+Module!$I$6)</f>
        <v>202</v>
      </c>
      <c r="BJ13" s="101">
        <f>(BH13*($AC$1+1)*0.002488974)/($AC$1+1)*Module!$I$5*Module!$I$7</f>
        <v>45.656234094813776</v>
      </c>
      <c r="BK13" s="101">
        <f>$P$120*Module!$I$7*X13*Module!$I$5</f>
        <v>24.838875441488192</v>
      </c>
      <c r="BL13" s="151">
        <f t="shared" si="13"/>
        <v>1000000</v>
      </c>
    </row>
    <row r="14" spans="1:64" ht="15" hidden="1" customHeight="1" thickBot="1">
      <c r="A14" s="101">
        <f t="shared" si="5"/>
        <v>14</v>
      </c>
      <c r="B14" s="100"/>
      <c r="C14" s="100"/>
      <c r="D14" s="100"/>
      <c r="E14" s="100"/>
      <c r="F14" s="100"/>
      <c r="I14" s="100"/>
      <c r="J14" s="100"/>
      <c r="K14" s="100"/>
      <c r="L14" s="100"/>
      <c r="M14" s="100"/>
      <c r="N14" s="100"/>
      <c r="O14" s="100"/>
      <c r="P14" s="100"/>
      <c r="Q14" s="100"/>
      <c r="R14" s="100"/>
      <c r="S14" s="100"/>
      <c r="T14" s="100"/>
      <c r="W14" s="780"/>
      <c r="X14" s="121">
        <f t="shared" si="14"/>
        <v>12</v>
      </c>
      <c r="Y14" s="122">
        <f>'calcul pneu pour calculateur'!P15</f>
        <v>101.73417650932916</v>
      </c>
      <c r="Z14" s="123">
        <f t="shared" si="1"/>
        <v>203.46835301865832</v>
      </c>
      <c r="AA14" s="123">
        <f t="shared" si="2"/>
        <v>305.20252952798751</v>
      </c>
      <c r="AB14" s="123">
        <f t="shared" si="3"/>
        <v>406.93670603731664</v>
      </c>
      <c r="AC14" s="123">
        <f t="shared" si="4"/>
        <v>508.67088254664577</v>
      </c>
      <c r="AK14" s="121">
        <f t="shared" si="15"/>
        <v>12</v>
      </c>
      <c r="AL14" s="101">
        <f t="shared" si="6"/>
        <v>0</v>
      </c>
      <c r="AM14" s="101">
        <f>10+Module!$K$57/($Z$1+1)</f>
        <v>133.65759122654444</v>
      </c>
      <c r="AN14" s="101">
        <f>$Z$1*(25+Module!$I$6)</f>
        <v>50.5</v>
      </c>
      <c r="AO14" s="101">
        <f>(AM14*($Z$1+1)*0.002488974)/($Z$1+1)*Module!$I$5*Module!$I$7</f>
        <v>102.62345540579445</v>
      </c>
      <c r="AP14" s="101">
        <f>$P$120*Module!$I$7*X14*Module!$I$5</f>
        <v>27.096955027078028</v>
      </c>
      <c r="AQ14" s="151">
        <f t="shared" si="7"/>
        <v>1000000</v>
      </c>
      <c r="AS14" s="101">
        <f t="shared" si="8"/>
        <v>0</v>
      </c>
      <c r="AT14" s="101">
        <f>10+Module!$K$57/($AA$1+1)</f>
        <v>92.438394151029627</v>
      </c>
      <c r="AU14" s="101">
        <f>$AA$1*(25+Module!$I$6)</f>
        <v>101</v>
      </c>
      <c r="AV14" s="101">
        <f>(AT14*($Z$1+1)*0.002488974)/($Z$1+1)*Module!$I$5*Module!$I$7</f>
        <v>70.974999121916298</v>
      </c>
      <c r="AW14" s="101">
        <f>$P$120*Module!$I$7*X14*Module!$I$5</f>
        <v>27.096955027078028</v>
      </c>
      <c r="AX14" s="151">
        <f t="shared" si="9"/>
        <v>1000000</v>
      </c>
      <c r="AZ14" s="101">
        <f t="shared" si="10"/>
        <v>0</v>
      </c>
      <c r="BA14" s="101">
        <f>10+Module!$K$57/($AB$1+1)</f>
        <v>71.82879561327222</v>
      </c>
      <c r="BB14" s="101">
        <f>$AB$1*(25+Module!$I$6)</f>
        <v>151.5</v>
      </c>
      <c r="BC14" s="101">
        <f>(BA14*($AB$1+1)*0.002488974)/($AB$1+1)*Module!$I$5*Module!$I$7</f>
        <v>55.150770979977231</v>
      </c>
      <c r="BD14" s="101">
        <f>$P$120*Module!$I$7*X14*Module!$I$5</f>
        <v>27.096955027078028</v>
      </c>
      <c r="BE14" s="151">
        <f t="shared" si="11"/>
        <v>1000000</v>
      </c>
      <c r="BG14" s="101">
        <f t="shared" si="12"/>
        <v>0</v>
      </c>
      <c r="BH14" s="101">
        <f>10+Module!$K$57/($AC$1+1)</f>
        <v>59.463036490617775</v>
      </c>
      <c r="BI14" s="101">
        <f>$AC$1*(25+Module!$I$6)</f>
        <v>202</v>
      </c>
      <c r="BJ14" s="101">
        <f>(BH14*($AC$1+1)*0.002488974)/($AC$1+1)*Module!$I$5*Module!$I$7</f>
        <v>45.656234094813776</v>
      </c>
      <c r="BK14" s="101">
        <f>$P$120*Module!$I$7*X14*Module!$I$5</f>
        <v>27.096955027078028</v>
      </c>
      <c r="BL14" s="151">
        <f t="shared" si="13"/>
        <v>1000000</v>
      </c>
    </row>
    <row r="15" spans="1:64" ht="15" hidden="1" customHeight="1" thickBot="1">
      <c r="A15" s="101">
        <f t="shared" si="5"/>
        <v>15</v>
      </c>
      <c r="B15" s="100"/>
      <c r="C15" s="100"/>
      <c r="D15" s="100"/>
      <c r="E15" s="100"/>
      <c r="F15" s="100"/>
      <c r="I15" s="100"/>
      <c r="J15" s="100"/>
      <c r="K15" s="100"/>
      <c r="L15" s="100"/>
      <c r="M15" s="100"/>
      <c r="N15" s="100"/>
      <c r="O15" s="100"/>
      <c r="P15" s="100"/>
      <c r="Q15" s="100"/>
      <c r="R15" s="100"/>
      <c r="S15" s="100"/>
      <c r="T15" s="100"/>
      <c r="W15" s="780"/>
      <c r="X15" s="121">
        <f t="shared" si="14"/>
        <v>13</v>
      </c>
      <c r="Y15" s="122">
        <f>'calcul pneu pour calculateur'!P16</f>
        <v>101.50317329798798</v>
      </c>
      <c r="Z15" s="123">
        <f t="shared" si="1"/>
        <v>203.00634659597597</v>
      </c>
      <c r="AA15" s="123">
        <f t="shared" si="2"/>
        <v>304.50951989396395</v>
      </c>
      <c r="AB15" s="123">
        <f t="shared" si="3"/>
        <v>406.01269319195194</v>
      </c>
      <c r="AC15" s="123">
        <f t="shared" si="4"/>
        <v>507.51586648993992</v>
      </c>
      <c r="AK15" s="121">
        <f t="shared" si="15"/>
        <v>13</v>
      </c>
      <c r="AL15" s="101">
        <f t="shared" si="6"/>
        <v>0</v>
      </c>
      <c r="AM15" s="101">
        <f>10+Module!$K$57/($Z$1+1)</f>
        <v>133.65759122654444</v>
      </c>
      <c r="AN15" s="101">
        <f>$Z$1*(25+Module!$I$6)</f>
        <v>50.5</v>
      </c>
      <c r="AO15" s="101">
        <f>(AM15*($Z$1+1)*0.002488974)/($Z$1+1)*Module!$I$5*Module!$I$7</f>
        <v>102.62345540579445</v>
      </c>
      <c r="AP15" s="101">
        <f>$P$120*Module!$I$7*X15*Module!$I$5</f>
        <v>29.355034612667861</v>
      </c>
      <c r="AQ15" s="151">
        <f t="shared" si="7"/>
        <v>1000000</v>
      </c>
      <c r="AS15" s="101">
        <f t="shared" si="8"/>
        <v>0</v>
      </c>
      <c r="AT15" s="101">
        <f>10+Module!$K$57/($AA$1+1)</f>
        <v>92.438394151029627</v>
      </c>
      <c r="AU15" s="101">
        <f>$AA$1*(25+Module!$I$6)</f>
        <v>101</v>
      </c>
      <c r="AV15" s="101">
        <f>(AT15*($Z$1+1)*0.002488974)/($Z$1+1)*Module!$I$5*Module!$I$7</f>
        <v>70.974999121916298</v>
      </c>
      <c r="AW15" s="101">
        <f>$P$120*Module!$I$7*X15*Module!$I$5</f>
        <v>29.355034612667861</v>
      </c>
      <c r="AX15" s="151">
        <f t="shared" si="9"/>
        <v>1000000</v>
      </c>
      <c r="AZ15" s="101">
        <f t="shared" si="10"/>
        <v>0</v>
      </c>
      <c r="BA15" s="101">
        <f>10+Module!$K$57/($AB$1+1)</f>
        <v>71.82879561327222</v>
      </c>
      <c r="BB15" s="101">
        <f>$AB$1*(25+Module!$I$6)</f>
        <v>151.5</v>
      </c>
      <c r="BC15" s="101">
        <f>(BA15*($AB$1+1)*0.002488974)/($AB$1+1)*Module!$I$5*Module!$I$7</f>
        <v>55.150770979977231</v>
      </c>
      <c r="BD15" s="101">
        <f>$P$120*Module!$I$7*X15*Module!$I$5</f>
        <v>29.355034612667861</v>
      </c>
      <c r="BE15" s="151">
        <f t="shared" si="11"/>
        <v>1000000</v>
      </c>
      <c r="BG15" s="101">
        <f t="shared" si="12"/>
        <v>0</v>
      </c>
      <c r="BH15" s="101">
        <f>10+Module!$K$57/($AC$1+1)</f>
        <v>59.463036490617775</v>
      </c>
      <c r="BI15" s="101">
        <f>$AC$1*(25+Module!$I$6)</f>
        <v>202</v>
      </c>
      <c r="BJ15" s="101">
        <f>(BH15*($AC$1+1)*0.002488974)/($AC$1+1)*Module!$I$5*Module!$I$7</f>
        <v>45.656234094813776</v>
      </c>
      <c r="BK15" s="101">
        <f>$P$120*Module!$I$7*X15*Module!$I$5</f>
        <v>29.355034612667861</v>
      </c>
      <c r="BL15" s="151">
        <f t="shared" si="13"/>
        <v>1000000</v>
      </c>
    </row>
    <row r="16" spans="1:64" ht="15.75" hidden="1" customHeight="1" thickBot="1">
      <c r="A16" s="101">
        <f t="shared" si="5"/>
        <v>16</v>
      </c>
      <c r="B16" s="100"/>
      <c r="C16" s="100"/>
      <c r="D16" s="100"/>
      <c r="E16" s="100"/>
      <c r="F16" s="100"/>
      <c r="I16" s="100"/>
      <c r="J16" s="100"/>
      <c r="K16" s="100"/>
      <c r="L16" s="100"/>
      <c r="M16" s="100"/>
      <c r="N16" s="100"/>
      <c r="O16" s="100"/>
      <c r="P16" s="100"/>
      <c r="Q16" s="100"/>
      <c r="R16" s="100"/>
      <c r="S16" s="100"/>
      <c r="T16" s="100"/>
      <c r="W16" s="780"/>
      <c r="X16" s="121">
        <f t="shared" si="14"/>
        <v>14</v>
      </c>
      <c r="Y16" s="122">
        <f>'calcul pneu pour calculateur'!P17</f>
        <v>101.2721700866468</v>
      </c>
      <c r="Z16" s="123">
        <f t="shared" si="1"/>
        <v>202.54434017329359</v>
      </c>
      <c r="AA16" s="123">
        <f t="shared" si="2"/>
        <v>303.8165102599404</v>
      </c>
      <c r="AB16" s="123">
        <f t="shared" si="3"/>
        <v>405.08868034658718</v>
      </c>
      <c r="AC16" s="123">
        <f t="shared" si="4"/>
        <v>506.36085043323396</v>
      </c>
      <c r="AK16" s="121">
        <f t="shared" si="15"/>
        <v>14</v>
      </c>
      <c r="AL16" s="101">
        <f t="shared" si="6"/>
        <v>0</v>
      </c>
      <c r="AM16" s="101">
        <f>10+Module!$K$57/($Z$1+1)</f>
        <v>133.65759122654444</v>
      </c>
      <c r="AN16" s="101">
        <f>$Z$1*(25+Module!$I$6)</f>
        <v>50.5</v>
      </c>
      <c r="AO16" s="101">
        <f>(AM16*($Z$1+1)*0.002488974)/($Z$1+1)*Module!$I$5*Module!$I$7</f>
        <v>102.62345540579445</v>
      </c>
      <c r="AP16" s="101">
        <f>$P$120*Module!$I$7*X16*Module!$I$5</f>
        <v>31.613114198257694</v>
      </c>
      <c r="AQ16" s="151">
        <f t="shared" si="7"/>
        <v>1000000</v>
      </c>
      <c r="AS16" s="101">
        <f t="shared" si="8"/>
        <v>0</v>
      </c>
      <c r="AT16" s="101">
        <f>10+Module!$K$57/($AA$1+1)</f>
        <v>92.438394151029627</v>
      </c>
      <c r="AU16" s="101">
        <f>$AA$1*(25+Module!$I$6)</f>
        <v>101</v>
      </c>
      <c r="AV16" s="101">
        <f>(AT16*($Z$1+1)*0.002488974)/($Z$1+1)*Module!$I$5*Module!$I$7</f>
        <v>70.974999121916298</v>
      </c>
      <c r="AW16" s="101">
        <f>$P$120*Module!$I$7*X16*Module!$I$5</f>
        <v>31.613114198257694</v>
      </c>
      <c r="AX16" s="151">
        <f t="shared" si="9"/>
        <v>1000000</v>
      </c>
      <c r="AZ16" s="101">
        <f t="shared" si="10"/>
        <v>0</v>
      </c>
      <c r="BA16" s="101">
        <f>10+Module!$K$57/($AB$1+1)</f>
        <v>71.82879561327222</v>
      </c>
      <c r="BB16" s="101">
        <f>$AB$1*(25+Module!$I$6)</f>
        <v>151.5</v>
      </c>
      <c r="BC16" s="101">
        <f>(BA16*($AB$1+1)*0.002488974)/($AB$1+1)*Module!$I$5*Module!$I$7</f>
        <v>55.150770979977231</v>
      </c>
      <c r="BD16" s="101">
        <f>$P$120*Module!$I$7*X16*Module!$I$5</f>
        <v>31.613114198257694</v>
      </c>
      <c r="BE16" s="151">
        <f t="shared" si="11"/>
        <v>1000000</v>
      </c>
      <c r="BG16" s="101">
        <f t="shared" si="12"/>
        <v>0</v>
      </c>
      <c r="BH16" s="101">
        <f>10+Module!$K$57/($AC$1+1)</f>
        <v>59.463036490617775</v>
      </c>
      <c r="BI16" s="101">
        <f>$AC$1*(25+Module!$I$6)</f>
        <v>202</v>
      </c>
      <c r="BJ16" s="101">
        <f>(BH16*($AC$1+1)*0.002488974)/($AC$1+1)*Module!$I$5*Module!$I$7</f>
        <v>45.656234094813776</v>
      </c>
      <c r="BK16" s="101">
        <f>$P$120*Module!$I$7*X16*Module!$I$5</f>
        <v>31.613114198257694</v>
      </c>
      <c r="BL16" s="151">
        <f t="shared" si="13"/>
        <v>1000000</v>
      </c>
    </row>
    <row r="17" spans="1:64" ht="15.75" hidden="1" customHeight="1" thickBot="1">
      <c r="A17" s="101">
        <f t="shared" si="5"/>
        <v>17</v>
      </c>
      <c r="B17" s="100"/>
      <c r="C17" s="100"/>
      <c r="D17" s="100"/>
      <c r="E17" s="100"/>
      <c r="F17" s="100"/>
      <c r="I17" s="100"/>
      <c r="J17" s="100"/>
      <c r="K17" s="100"/>
      <c r="L17" s="100"/>
      <c r="M17" s="100"/>
      <c r="N17" s="100"/>
      <c r="O17" s="100"/>
      <c r="P17" s="100"/>
      <c r="Q17" s="100"/>
      <c r="R17" s="100"/>
      <c r="S17" s="100"/>
      <c r="T17" s="100"/>
      <c r="W17" s="780"/>
      <c r="X17" s="121">
        <f t="shared" si="14"/>
        <v>15</v>
      </c>
      <c r="Y17" s="122">
        <f>'calcul pneu pour calculateur'!P18</f>
        <v>101.04116687530562</v>
      </c>
      <c r="Z17" s="123">
        <f t="shared" si="1"/>
        <v>202.08233375061124</v>
      </c>
      <c r="AA17" s="123">
        <f t="shared" si="2"/>
        <v>303.12350062591685</v>
      </c>
      <c r="AB17" s="123">
        <f t="shared" si="3"/>
        <v>404.16466750122248</v>
      </c>
      <c r="AC17" s="123">
        <f t="shared" si="4"/>
        <v>505.20583437652812</v>
      </c>
      <c r="AJ17" s="162">
        <f>D73</f>
        <v>0</v>
      </c>
      <c r="AK17" s="121">
        <f t="shared" si="15"/>
        <v>15</v>
      </c>
      <c r="AL17" s="101">
        <f t="shared" si="6"/>
        <v>0</v>
      </c>
      <c r="AM17" s="101">
        <f>10+Module!$K$57/($Z$1+1)</f>
        <v>133.65759122654444</v>
      </c>
      <c r="AN17" s="101">
        <f>$Z$1*(25+Module!$I$6)</f>
        <v>50.5</v>
      </c>
      <c r="AO17" s="101">
        <f>(AM17*($Z$1+1)*0.002488974)/($Z$1+1)*Module!$I$5*Module!$I$7</f>
        <v>102.62345540579445</v>
      </c>
      <c r="AP17" s="101">
        <f>$P$120*Module!$I$7*X17*Module!$I$5</f>
        <v>33.871193783847531</v>
      </c>
      <c r="AQ17" s="151">
        <f t="shared" si="7"/>
        <v>1000000</v>
      </c>
      <c r="AS17" s="101">
        <f t="shared" si="8"/>
        <v>0</v>
      </c>
      <c r="AT17" s="101">
        <f>10+Module!$K$57/($AA$1+1)</f>
        <v>92.438394151029627</v>
      </c>
      <c r="AU17" s="101">
        <f>$AA$1*(25+Module!$I$6)</f>
        <v>101</v>
      </c>
      <c r="AV17" s="101">
        <f>(AT17*($Z$1+1)*0.002488974)/($Z$1+1)*Module!$I$5*Module!$I$7</f>
        <v>70.974999121916298</v>
      </c>
      <c r="AW17" s="101">
        <f>$P$120*Module!$I$7*X17*Module!$I$5</f>
        <v>33.871193783847531</v>
      </c>
      <c r="AX17" s="151">
        <f t="shared" si="9"/>
        <v>1000000</v>
      </c>
      <c r="AZ17" s="101">
        <f t="shared" si="10"/>
        <v>0</v>
      </c>
      <c r="BA17" s="101">
        <f>10+Module!$K$57/($AB$1+1)</f>
        <v>71.82879561327222</v>
      </c>
      <c r="BB17" s="101">
        <f>$AB$1*(25+Module!$I$6)</f>
        <v>151.5</v>
      </c>
      <c r="BC17" s="101">
        <f>(BA17*($AB$1+1)*0.002488974)/($AB$1+1)*Module!$I$5*Module!$I$7</f>
        <v>55.150770979977231</v>
      </c>
      <c r="BD17" s="101">
        <f>$P$120*Module!$I$7*X17*Module!$I$5</f>
        <v>33.871193783847531</v>
      </c>
      <c r="BE17" s="151">
        <f t="shared" si="11"/>
        <v>1000000</v>
      </c>
      <c r="BG17" s="101">
        <f t="shared" si="12"/>
        <v>0</v>
      </c>
      <c r="BH17" s="101">
        <f>10+Module!$K$57/($AC$1+1)</f>
        <v>59.463036490617775</v>
      </c>
      <c r="BI17" s="101">
        <f>$AC$1*(25+Module!$I$6)</f>
        <v>202</v>
      </c>
      <c r="BJ17" s="101">
        <f>(BH17*($AC$1+1)*0.002488974)/($AC$1+1)*Module!$I$5*Module!$I$7</f>
        <v>45.656234094813776</v>
      </c>
      <c r="BK17" s="101">
        <f>$P$120*Module!$I$7*X17*Module!$I$5</f>
        <v>33.871193783847531</v>
      </c>
      <c r="BL17" s="151">
        <f t="shared" si="13"/>
        <v>1000000</v>
      </c>
    </row>
    <row r="18" spans="1:64" ht="15.75" hidden="1" customHeight="1" thickBot="1">
      <c r="A18" s="101">
        <f t="shared" si="5"/>
        <v>18</v>
      </c>
      <c r="B18" s="100"/>
      <c r="C18" s="100"/>
      <c r="D18" s="100"/>
      <c r="E18" s="100"/>
      <c r="F18" s="100"/>
      <c r="I18" s="100"/>
      <c r="J18" s="100"/>
      <c r="K18" s="100"/>
      <c r="L18" s="100"/>
      <c r="M18" s="100"/>
      <c r="N18" s="100"/>
      <c r="O18" s="100"/>
      <c r="P18" s="100"/>
      <c r="Q18" s="100"/>
      <c r="R18" s="100"/>
      <c r="S18" s="100"/>
      <c r="T18" s="100"/>
      <c r="W18" s="780"/>
      <c r="X18" s="121">
        <f t="shared" si="14"/>
        <v>16</v>
      </c>
      <c r="Y18" s="122">
        <f>'calcul pneu pour calculateur'!P19</f>
        <v>100.81016366396443</v>
      </c>
      <c r="Z18" s="123">
        <f t="shared" si="1"/>
        <v>201.62032732792886</v>
      </c>
      <c r="AA18" s="123">
        <f t="shared" si="2"/>
        <v>302.43049099189329</v>
      </c>
      <c r="AB18" s="123">
        <f t="shared" si="3"/>
        <v>403.24065465585772</v>
      </c>
      <c r="AC18" s="123">
        <f t="shared" si="4"/>
        <v>504.05081831982216</v>
      </c>
      <c r="AK18" s="121">
        <f t="shared" si="15"/>
        <v>16</v>
      </c>
      <c r="AL18" s="101">
        <f t="shared" si="6"/>
        <v>0</v>
      </c>
      <c r="AM18" s="101">
        <f>10+Module!$K$57/($Z$1+1)</f>
        <v>133.65759122654444</v>
      </c>
      <c r="AN18" s="101">
        <f>$Z$1*(25+Module!$I$6)</f>
        <v>50.5</v>
      </c>
      <c r="AO18" s="101">
        <f>(AM18*($Z$1+1)*0.002488974)/($Z$1+1)*Module!$I$5*Module!$I$7</f>
        <v>102.62345540579445</v>
      </c>
      <c r="AP18" s="101">
        <f>$P$120*Module!$I$7*X18*Module!$I$5</f>
        <v>36.129273369437364</v>
      </c>
      <c r="AQ18" s="151">
        <f t="shared" si="7"/>
        <v>1000000</v>
      </c>
      <c r="AS18" s="101">
        <f t="shared" si="8"/>
        <v>0</v>
      </c>
      <c r="AT18" s="101">
        <f>10+Module!$K$57/($AA$1+1)</f>
        <v>92.438394151029627</v>
      </c>
      <c r="AU18" s="101">
        <f>$AA$1*(25+Module!$I$6)</f>
        <v>101</v>
      </c>
      <c r="AV18" s="101">
        <f>(AT18*($Z$1+1)*0.002488974)/($Z$1+1)*Module!$I$5*Module!$I$7</f>
        <v>70.974999121916298</v>
      </c>
      <c r="AW18" s="101">
        <f>$P$120*Module!$I$7*X18*Module!$I$5</f>
        <v>36.129273369437364</v>
      </c>
      <c r="AX18" s="151">
        <f t="shared" si="9"/>
        <v>1000000</v>
      </c>
      <c r="AZ18" s="101">
        <f t="shared" si="10"/>
        <v>0</v>
      </c>
      <c r="BA18" s="101">
        <f>10+Module!$K$57/($AB$1+1)</f>
        <v>71.82879561327222</v>
      </c>
      <c r="BB18" s="101">
        <f>$AB$1*(25+Module!$I$6)</f>
        <v>151.5</v>
      </c>
      <c r="BC18" s="101">
        <f>(BA18*($AB$1+1)*0.002488974)/($AB$1+1)*Module!$I$5*Module!$I$7</f>
        <v>55.150770979977231</v>
      </c>
      <c r="BD18" s="101">
        <f>$P$120*Module!$I$7*X18*Module!$I$5</f>
        <v>36.129273369437364</v>
      </c>
      <c r="BE18" s="151">
        <f t="shared" si="11"/>
        <v>1000000</v>
      </c>
      <c r="BG18" s="101">
        <f t="shared" si="12"/>
        <v>0</v>
      </c>
      <c r="BH18" s="101">
        <f>10+Module!$K$57/($AC$1+1)</f>
        <v>59.463036490617775</v>
      </c>
      <c r="BI18" s="101">
        <f>$AC$1*(25+Module!$I$6)</f>
        <v>202</v>
      </c>
      <c r="BJ18" s="101">
        <f>(BH18*($AC$1+1)*0.002488974)/($AC$1+1)*Module!$I$5*Module!$I$7</f>
        <v>45.656234094813776</v>
      </c>
      <c r="BK18" s="101">
        <f>$P$120*Module!$I$7*X18*Module!$I$5</f>
        <v>36.129273369437364</v>
      </c>
      <c r="BL18" s="151">
        <f t="shared" si="13"/>
        <v>1000000</v>
      </c>
    </row>
    <row r="19" spans="1:64" ht="15.75" hidden="1" customHeight="1" thickBot="1">
      <c r="A19" s="101">
        <f t="shared" si="5"/>
        <v>19</v>
      </c>
      <c r="B19" s="100"/>
      <c r="C19" s="100"/>
      <c r="D19" s="100"/>
      <c r="E19" s="100"/>
      <c r="F19" s="100"/>
      <c r="I19" s="100"/>
      <c r="J19" s="100"/>
      <c r="K19" s="100"/>
      <c r="L19" s="100"/>
      <c r="M19" s="100"/>
      <c r="N19" s="100"/>
      <c r="O19" s="100"/>
      <c r="P19" s="100"/>
      <c r="Q19" s="100"/>
      <c r="R19" s="100"/>
      <c r="S19" s="100"/>
      <c r="T19" s="100"/>
      <c r="W19" s="780"/>
      <c r="X19" s="121">
        <f t="shared" si="14"/>
        <v>17</v>
      </c>
      <c r="Y19" s="122">
        <f>'calcul pneu pour calculateur'!P20</f>
        <v>100.57916045262326</v>
      </c>
      <c r="Z19" s="123">
        <f t="shared" si="1"/>
        <v>201.15832090524651</v>
      </c>
      <c r="AA19" s="123">
        <f t="shared" si="2"/>
        <v>301.7374813578698</v>
      </c>
      <c r="AB19" s="123">
        <f t="shared" si="3"/>
        <v>402.31664181049302</v>
      </c>
      <c r="AC19" s="123">
        <f t="shared" si="4"/>
        <v>502.89580226311625</v>
      </c>
      <c r="AK19" s="121">
        <f t="shared" si="15"/>
        <v>17</v>
      </c>
      <c r="AL19" s="101">
        <f t="shared" si="6"/>
        <v>0</v>
      </c>
      <c r="AM19" s="101">
        <f>10+Module!$K$57/($Z$1+1)</f>
        <v>133.65759122654444</v>
      </c>
      <c r="AN19" s="101">
        <f>$Z$1*(25+Module!$I$6)</f>
        <v>50.5</v>
      </c>
      <c r="AO19" s="101">
        <f>(AM19*($Z$1+1)*0.002488974)/($Z$1+1)*Module!$I$5*Module!$I$7</f>
        <v>102.62345540579445</v>
      </c>
      <c r="AP19" s="101">
        <f>$P$120*Module!$I$7*X19*Module!$I$5</f>
        <v>38.387352955027204</v>
      </c>
      <c r="AQ19" s="151">
        <f t="shared" si="7"/>
        <v>1000000</v>
      </c>
      <c r="AS19" s="101">
        <f t="shared" si="8"/>
        <v>0</v>
      </c>
      <c r="AT19" s="101">
        <f>10+Module!$K$57/($AA$1+1)</f>
        <v>92.438394151029627</v>
      </c>
      <c r="AU19" s="101">
        <f>$AA$1*(25+Module!$I$6)</f>
        <v>101</v>
      </c>
      <c r="AV19" s="101">
        <f>(AT19*($Z$1+1)*0.002488974)/($Z$1+1)*Module!$I$5*Module!$I$7</f>
        <v>70.974999121916298</v>
      </c>
      <c r="AW19" s="101">
        <f>$P$120*Module!$I$7*X19*Module!$I$5</f>
        <v>38.387352955027204</v>
      </c>
      <c r="AX19" s="151">
        <f t="shared" si="9"/>
        <v>1000000</v>
      </c>
      <c r="AZ19" s="101">
        <f t="shared" si="10"/>
        <v>0</v>
      </c>
      <c r="BA19" s="101">
        <f>10+Module!$K$57/($AB$1+1)</f>
        <v>71.82879561327222</v>
      </c>
      <c r="BB19" s="101">
        <f>$AB$1*(25+Module!$I$6)</f>
        <v>151.5</v>
      </c>
      <c r="BC19" s="101">
        <f>(BA19*($AB$1+1)*0.002488974)/($AB$1+1)*Module!$I$5*Module!$I$7</f>
        <v>55.150770979977231</v>
      </c>
      <c r="BD19" s="101">
        <f>$P$120*Module!$I$7*X19*Module!$I$5</f>
        <v>38.387352955027204</v>
      </c>
      <c r="BE19" s="151">
        <f t="shared" si="11"/>
        <v>1000000</v>
      </c>
      <c r="BG19" s="101">
        <f t="shared" si="12"/>
        <v>0</v>
      </c>
      <c r="BH19" s="101">
        <f>10+Module!$K$57/($AC$1+1)</f>
        <v>59.463036490617775</v>
      </c>
      <c r="BI19" s="101">
        <f>$AC$1*(25+Module!$I$6)</f>
        <v>202</v>
      </c>
      <c r="BJ19" s="101">
        <f>(BH19*($AC$1+1)*0.002488974)/($AC$1+1)*Module!$I$5*Module!$I$7</f>
        <v>45.656234094813776</v>
      </c>
      <c r="BK19" s="101">
        <f>$P$120*Module!$I$7*X19*Module!$I$5</f>
        <v>38.387352955027204</v>
      </c>
      <c r="BL19" s="151">
        <f t="shared" si="13"/>
        <v>1000000</v>
      </c>
    </row>
    <row r="20" spans="1:64" ht="15.75" hidden="1" customHeight="1" thickBot="1">
      <c r="A20" s="101">
        <f t="shared" si="5"/>
        <v>20</v>
      </c>
      <c r="B20" s="100"/>
      <c r="C20" s="100"/>
      <c r="D20" s="100"/>
      <c r="E20" s="100"/>
      <c r="F20" s="100"/>
      <c r="I20" s="100"/>
      <c r="J20" s="100"/>
      <c r="K20" s="100"/>
      <c r="L20" s="100"/>
      <c r="M20" s="100"/>
      <c r="N20" s="100"/>
      <c r="O20" s="100"/>
      <c r="P20" s="100"/>
      <c r="Q20" s="100"/>
      <c r="R20" s="100"/>
      <c r="S20" s="100"/>
      <c r="T20" s="100"/>
      <c r="W20" s="780"/>
      <c r="X20" s="121">
        <f t="shared" si="14"/>
        <v>18</v>
      </c>
      <c r="Y20" s="122">
        <f>'calcul pneu pour calculateur'!P21</f>
        <v>100.34815724128207</v>
      </c>
      <c r="Z20" s="123">
        <f t="shared" si="1"/>
        <v>200.69631448256413</v>
      </c>
      <c r="AA20" s="123">
        <f t="shared" si="2"/>
        <v>301.04447172384619</v>
      </c>
      <c r="AB20" s="123">
        <f t="shared" si="3"/>
        <v>401.39262896512827</v>
      </c>
      <c r="AC20" s="123">
        <f t="shared" si="4"/>
        <v>501.74078620641035</v>
      </c>
      <c r="AK20" s="121">
        <f t="shared" si="15"/>
        <v>18</v>
      </c>
      <c r="AL20" s="101">
        <f t="shared" si="6"/>
        <v>0</v>
      </c>
      <c r="AM20" s="101">
        <f>10+Module!$K$57/($Z$1+1)</f>
        <v>133.65759122654444</v>
      </c>
      <c r="AN20" s="101">
        <f>$Z$1*(25+Module!$I$6)</f>
        <v>50.5</v>
      </c>
      <c r="AO20" s="101">
        <f>(AM20*($Z$1+1)*0.002488974)/($Z$1+1)*Module!$I$5*Module!$I$7</f>
        <v>102.62345540579445</v>
      </c>
      <c r="AP20" s="101">
        <f>$P$120*Module!$I$7*X20*Module!$I$5</f>
        <v>40.645432540617037</v>
      </c>
      <c r="AQ20" s="151">
        <f t="shared" si="7"/>
        <v>1000000</v>
      </c>
      <c r="AS20" s="101">
        <f t="shared" si="8"/>
        <v>0</v>
      </c>
      <c r="AT20" s="101">
        <f>10+Module!$K$57/($AA$1+1)</f>
        <v>92.438394151029627</v>
      </c>
      <c r="AU20" s="101">
        <f>$AA$1*(25+Module!$I$6)</f>
        <v>101</v>
      </c>
      <c r="AV20" s="101">
        <f>(AT20*($Z$1+1)*0.002488974)/($Z$1+1)*Module!$I$5*Module!$I$7</f>
        <v>70.974999121916298</v>
      </c>
      <c r="AW20" s="101">
        <f>$P$120*Module!$I$7*X20*Module!$I$5</f>
        <v>40.645432540617037</v>
      </c>
      <c r="AX20" s="151">
        <f t="shared" si="9"/>
        <v>1000000</v>
      </c>
      <c r="AZ20" s="101">
        <f t="shared" si="10"/>
        <v>0</v>
      </c>
      <c r="BA20" s="101">
        <f>10+Module!$K$57/($AB$1+1)</f>
        <v>71.82879561327222</v>
      </c>
      <c r="BB20" s="101">
        <f>$AB$1*(25+Module!$I$6)</f>
        <v>151.5</v>
      </c>
      <c r="BC20" s="101">
        <f>(BA20*($AB$1+1)*0.002488974)/($AB$1+1)*Module!$I$5*Module!$I$7</f>
        <v>55.150770979977231</v>
      </c>
      <c r="BD20" s="101">
        <f>$P$120*Module!$I$7*X20*Module!$I$5</f>
        <v>40.645432540617037</v>
      </c>
      <c r="BE20" s="151">
        <f t="shared" si="11"/>
        <v>1000000</v>
      </c>
      <c r="BG20" s="101">
        <f t="shared" si="12"/>
        <v>0</v>
      </c>
      <c r="BH20" s="101">
        <f>10+Module!$K$57/($AC$1+1)</f>
        <v>59.463036490617775</v>
      </c>
      <c r="BI20" s="101">
        <f>$AC$1*(25+Module!$I$6)</f>
        <v>202</v>
      </c>
      <c r="BJ20" s="101">
        <f>(BH20*($AC$1+1)*0.002488974)/($AC$1+1)*Module!$I$5*Module!$I$7</f>
        <v>45.656234094813776</v>
      </c>
      <c r="BK20" s="101">
        <f>$P$120*Module!$I$7*X20*Module!$I$5</f>
        <v>40.645432540617037</v>
      </c>
      <c r="BL20" s="151">
        <f t="shared" si="13"/>
        <v>1000000</v>
      </c>
    </row>
    <row r="21" spans="1:64" ht="15" hidden="1" customHeight="1" thickBot="1">
      <c r="A21" s="101">
        <f t="shared" si="5"/>
        <v>21</v>
      </c>
      <c r="B21" s="100"/>
      <c r="C21" s="100"/>
      <c r="D21" s="100"/>
      <c r="E21" s="100"/>
      <c r="F21" s="100"/>
      <c r="I21" s="100"/>
      <c r="J21" s="100"/>
      <c r="K21" s="100"/>
      <c r="L21" s="100"/>
      <c r="M21" s="100"/>
      <c r="N21" s="100"/>
      <c r="O21" s="100"/>
      <c r="P21" s="100"/>
      <c r="Q21" s="100"/>
      <c r="R21" s="100"/>
      <c r="S21" s="100"/>
      <c r="T21" s="100"/>
      <c r="W21" s="780"/>
      <c r="X21" s="121">
        <f t="shared" si="14"/>
        <v>19</v>
      </c>
      <c r="Y21" s="122">
        <f>'calcul pneu pour calculateur'!P22</f>
        <v>100.11715402994089</v>
      </c>
      <c r="Z21" s="123">
        <f t="shared" si="1"/>
        <v>200.23430805988178</v>
      </c>
      <c r="AA21" s="123">
        <f t="shared" si="2"/>
        <v>300.35146208982269</v>
      </c>
      <c r="AB21" s="123">
        <f t="shared" si="3"/>
        <v>400.46861611976357</v>
      </c>
      <c r="AC21" s="123">
        <f t="shared" si="4"/>
        <v>500.58577014970444</v>
      </c>
      <c r="AK21" s="121">
        <f t="shared" si="15"/>
        <v>19</v>
      </c>
      <c r="AL21" s="101">
        <f t="shared" si="6"/>
        <v>0</v>
      </c>
      <c r="AM21" s="101">
        <f>10+Module!$K$57/($Z$1+1)</f>
        <v>133.65759122654444</v>
      </c>
      <c r="AN21" s="101">
        <f>$Z$1*(25+Module!$I$6)</f>
        <v>50.5</v>
      </c>
      <c r="AO21" s="101">
        <f>(AM21*($Z$1+1)*0.002488974)/($Z$1+1)*Module!$I$5*Module!$I$7</f>
        <v>102.62345540579445</v>
      </c>
      <c r="AP21" s="101">
        <f>$P$120*Module!$I$7*X21*Module!$I$5</f>
        <v>42.903512126206877</v>
      </c>
      <c r="AQ21" s="151">
        <f t="shared" si="7"/>
        <v>1000000</v>
      </c>
      <c r="AS21" s="101">
        <f t="shared" si="8"/>
        <v>0</v>
      </c>
      <c r="AT21" s="101">
        <f>10+Module!$K$57/($AA$1+1)</f>
        <v>92.438394151029627</v>
      </c>
      <c r="AU21" s="101">
        <f>$AA$1*(25+Module!$I$6)</f>
        <v>101</v>
      </c>
      <c r="AV21" s="101">
        <f>(AT21*($Z$1+1)*0.002488974)/($Z$1+1)*Module!$I$5*Module!$I$7</f>
        <v>70.974999121916298</v>
      </c>
      <c r="AW21" s="101">
        <f>$P$120*Module!$I$7*X21*Module!$I$5</f>
        <v>42.903512126206877</v>
      </c>
      <c r="AX21" s="151">
        <f t="shared" si="9"/>
        <v>1000000</v>
      </c>
      <c r="AZ21" s="101">
        <f t="shared" si="10"/>
        <v>0</v>
      </c>
      <c r="BA21" s="101">
        <f>10+Module!$K$57/($AB$1+1)</f>
        <v>71.82879561327222</v>
      </c>
      <c r="BB21" s="101">
        <f>$AB$1*(25+Module!$I$6)</f>
        <v>151.5</v>
      </c>
      <c r="BC21" s="101">
        <f>(BA21*($AB$1+1)*0.002488974)/($AB$1+1)*Module!$I$5*Module!$I$7</f>
        <v>55.150770979977231</v>
      </c>
      <c r="BD21" s="101">
        <f>$P$120*Module!$I$7*X21*Module!$I$5</f>
        <v>42.903512126206877</v>
      </c>
      <c r="BE21" s="151">
        <f t="shared" si="11"/>
        <v>1000000</v>
      </c>
      <c r="BG21" s="101">
        <f t="shared" si="12"/>
        <v>0</v>
      </c>
      <c r="BH21" s="101">
        <f>10+Module!$K$57/($AC$1+1)</f>
        <v>59.463036490617775</v>
      </c>
      <c r="BI21" s="101">
        <f>$AC$1*(25+Module!$I$6)</f>
        <v>202</v>
      </c>
      <c r="BJ21" s="101">
        <f>(BH21*($AC$1+1)*0.002488974)/($AC$1+1)*Module!$I$5*Module!$I$7</f>
        <v>45.656234094813776</v>
      </c>
      <c r="BK21" s="101">
        <f>$P$120*Module!$I$7*X21*Module!$I$5</f>
        <v>42.903512126206877</v>
      </c>
      <c r="BL21" s="151">
        <f t="shared" si="13"/>
        <v>1000000</v>
      </c>
    </row>
    <row r="22" spans="1:64" ht="15" hidden="1" customHeight="1" thickBot="1">
      <c r="A22" s="101">
        <f t="shared" si="5"/>
        <v>22</v>
      </c>
      <c r="B22" s="100"/>
      <c r="C22" s="100"/>
      <c r="D22" s="100"/>
      <c r="E22" s="100"/>
      <c r="F22" s="100"/>
      <c r="I22" s="100"/>
      <c r="J22" s="100"/>
      <c r="K22" s="100"/>
      <c r="L22" s="100"/>
      <c r="M22" s="100"/>
      <c r="N22" s="100"/>
      <c r="O22" s="100"/>
      <c r="P22" s="100"/>
      <c r="Q22" s="100"/>
      <c r="R22" s="100"/>
      <c r="S22" s="100"/>
      <c r="T22" s="100"/>
      <c r="W22" s="780"/>
      <c r="X22" s="121">
        <f t="shared" si="14"/>
        <v>20</v>
      </c>
      <c r="Y22" s="122">
        <f>'calcul pneu pour calculateur'!P23</f>
        <v>99.886150818599702</v>
      </c>
      <c r="Z22" s="123">
        <f>Y22*2</f>
        <v>199.7723016371994</v>
      </c>
      <c r="AA22" s="123">
        <f t="shared" si="2"/>
        <v>299.65845245579908</v>
      </c>
      <c r="AB22" s="123">
        <f t="shared" si="3"/>
        <v>399.54460327439881</v>
      </c>
      <c r="AC22" s="123">
        <f t="shared" si="4"/>
        <v>499.43075409299854</v>
      </c>
      <c r="AK22" s="121">
        <f t="shared" si="15"/>
        <v>20</v>
      </c>
      <c r="AL22" s="101">
        <f t="shared" si="6"/>
        <v>0</v>
      </c>
      <c r="AM22" s="101">
        <f>10+Module!$K$57/($Z$1+1)</f>
        <v>133.65759122654444</v>
      </c>
      <c r="AN22" s="101">
        <f>$Z$1*(25+Module!$I$6)</f>
        <v>50.5</v>
      </c>
      <c r="AO22" s="101">
        <f>(AM22*($Z$1+1)*0.002488974)/($Z$1+1)*Module!$I$5*Module!$I$7</f>
        <v>102.62345540579445</v>
      </c>
      <c r="AP22" s="101">
        <f>$P$120*Module!$I$7*X22*Module!$I$5</f>
        <v>45.16159171179671</v>
      </c>
      <c r="AQ22" s="151">
        <f t="shared" si="7"/>
        <v>1000000</v>
      </c>
      <c r="AS22" s="101">
        <f t="shared" si="8"/>
        <v>0</v>
      </c>
      <c r="AT22" s="101">
        <f>10+Module!$K$57/($AA$1+1)</f>
        <v>92.438394151029627</v>
      </c>
      <c r="AU22" s="101">
        <f>$AA$1*(25+Module!$I$6)</f>
        <v>101</v>
      </c>
      <c r="AV22" s="101">
        <f>(AT22*($Z$1+1)*0.002488974)/($Z$1+1)*Module!$I$5*Module!$I$7</f>
        <v>70.974999121916298</v>
      </c>
      <c r="AW22" s="101">
        <f>$P$120*Module!$I$7*X22*Module!$I$5</f>
        <v>45.16159171179671</v>
      </c>
      <c r="AX22" s="151">
        <f t="shared" si="9"/>
        <v>1000000</v>
      </c>
      <c r="AZ22" s="101">
        <f t="shared" si="10"/>
        <v>0</v>
      </c>
      <c r="BA22" s="101">
        <f>10+Module!$K$57/($AB$1+1)</f>
        <v>71.82879561327222</v>
      </c>
      <c r="BB22" s="101">
        <f>$AB$1*(25+Module!$I$6)</f>
        <v>151.5</v>
      </c>
      <c r="BC22" s="101">
        <f>(BA22*($AB$1+1)*0.002488974)/($AB$1+1)*Module!$I$5*Module!$I$7</f>
        <v>55.150770979977231</v>
      </c>
      <c r="BD22" s="101">
        <f>$P$120*Module!$I$7*X22*Module!$I$5</f>
        <v>45.16159171179671</v>
      </c>
      <c r="BE22" s="151">
        <f t="shared" si="11"/>
        <v>1000000</v>
      </c>
      <c r="BG22" s="101">
        <f t="shared" si="12"/>
        <v>0</v>
      </c>
      <c r="BH22" s="101">
        <f>10+Module!$K$57/($AC$1+1)</f>
        <v>59.463036490617775</v>
      </c>
      <c r="BI22" s="101">
        <f>$AC$1*(25+Module!$I$6)</f>
        <v>202</v>
      </c>
      <c r="BJ22" s="101">
        <f>(BH22*($AC$1+1)*0.002488974)/($AC$1+1)*Module!$I$5*Module!$I$7</f>
        <v>45.656234094813776</v>
      </c>
      <c r="BK22" s="101">
        <f>$P$120*Module!$I$7*X22*Module!$I$5</f>
        <v>45.16159171179671</v>
      </c>
      <c r="BL22" s="151">
        <f t="shared" si="13"/>
        <v>1000000</v>
      </c>
    </row>
    <row r="23" spans="1:64" ht="15" hidden="1" customHeight="1" thickBot="1">
      <c r="A23" s="101">
        <f t="shared" si="5"/>
        <v>23</v>
      </c>
      <c r="B23" s="100"/>
      <c r="C23" s="100"/>
      <c r="D23" s="100"/>
      <c r="E23" s="100"/>
      <c r="F23" s="100"/>
      <c r="I23" s="100"/>
      <c r="J23" s="100"/>
      <c r="K23" s="100"/>
      <c r="L23" s="100"/>
      <c r="M23" s="100"/>
      <c r="N23" s="100"/>
      <c r="O23" s="100"/>
      <c r="P23" s="100"/>
      <c r="Q23" s="100"/>
      <c r="R23" s="100"/>
      <c r="W23" s="780"/>
      <c r="X23" s="121">
        <f t="shared" si="14"/>
        <v>21</v>
      </c>
      <c r="Y23" s="122">
        <f>'calcul pneu pour calculateur'!P24</f>
        <v>99.655147607258527</v>
      </c>
      <c r="Z23" s="123">
        <f t="shared" ref="Z23:Z86" si="16">Y23*2</f>
        <v>199.31029521451705</v>
      </c>
      <c r="AA23" s="123">
        <f t="shared" si="2"/>
        <v>298.96544282177558</v>
      </c>
      <c r="AB23" s="123">
        <f t="shared" si="3"/>
        <v>398.62059042903411</v>
      </c>
      <c r="AC23" s="123">
        <f t="shared" si="4"/>
        <v>498.27573803629264</v>
      </c>
      <c r="AK23" s="121">
        <f t="shared" si="15"/>
        <v>21</v>
      </c>
      <c r="AL23" s="101">
        <f t="shared" si="6"/>
        <v>0</v>
      </c>
      <c r="AM23" s="101">
        <f>10+Module!$K$57/($Z$1+1)</f>
        <v>133.65759122654444</v>
      </c>
      <c r="AN23" s="101">
        <f>$Z$1*(25+Module!$I$6)</f>
        <v>50.5</v>
      </c>
      <c r="AO23" s="101">
        <f>(AM23*($Z$1+1)*0.002488974)/($Z$1+1)*Module!$I$5*Module!$I$7</f>
        <v>102.62345540579445</v>
      </c>
      <c r="AP23" s="101">
        <f>$P$120*Module!$I$7*X23*Module!$I$5</f>
        <v>47.41967129738655</v>
      </c>
      <c r="AQ23" s="151">
        <f t="shared" si="7"/>
        <v>1000000</v>
      </c>
      <c r="AS23" s="101">
        <f t="shared" si="8"/>
        <v>0</v>
      </c>
      <c r="AT23" s="101">
        <f>10+Module!$K$57/($AA$1+1)</f>
        <v>92.438394151029627</v>
      </c>
      <c r="AU23" s="101">
        <f>$AA$1*(25+Module!$I$6)</f>
        <v>101</v>
      </c>
      <c r="AV23" s="101">
        <f>(AT23*($Z$1+1)*0.002488974)/($Z$1+1)*Module!$I$5*Module!$I$7</f>
        <v>70.974999121916298</v>
      </c>
      <c r="AW23" s="101">
        <f>$P$120*Module!$I$7*X23*Module!$I$5</f>
        <v>47.41967129738655</v>
      </c>
      <c r="AX23" s="151">
        <f t="shared" si="9"/>
        <v>1000000</v>
      </c>
      <c r="AZ23" s="101">
        <f t="shared" si="10"/>
        <v>0</v>
      </c>
      <c r="BA23" s="101">
        <f>10+Module!$K$57/($AB$1+1)</f>
        <v>71.82879561327222</v>
      </c>
      <c r="BB23" s="101">
        <f>$AB$1*(25+Module!$I$6)</f>
        <v>151.5</v>
      </c>
      <c r="BC23" s="101">
        <f>(BA23*($AB$1+1)*0.002488974)/($AB$1+1)*Module!$I$5*Module!$I$7</f>
        <v>55.150770979977231</v>
      </c>
      <c r="BD23" s="101">
        <f>$P$120*Module!$I$7*X23*Module!$I$5</f>
        <v>47.41967129738655</v>
      </c>
      <c r="BE23" s="151">
        <f t="shared" si="11"/>
        <v>1000000</v>
      </c>
      <c r="BG23" s="101">
        <f t="shared" si="12"/>
        <v>0</v>
      </c>
      <c r="BH23" s="101">
        <f>10+Module!$K$57/($AC$1+1)</f>
        <v>59.463036490617775</v>
      </c>
      <c r="BI23" s="101">
        <f>$AC$1*(25+Module!$I$6)</f>
        <v>202</v>
      </c>
      <c r="BJ23" s="101">
        <f>(BH23*($AC$1+1)*0.002488974)/($AC$1+1)*Module!$I$5*Module!$I$7</f>
        <v>45.656234094813776</v>
      </c>
      <c r="BK23" s="101">
        <f>$P$120*Module!$I$7*X23*Module!$I$5</f>
        <v>47.41967129738655</v>
      </c>
      <c r="BL23" s="151">
        <f t="shared" si="13"/>
        <v>1000000</v>
      </c>
    </row>
    <row r="24" spans="1:64" ht="15.75" hidden="1" customHeight="1" thickBot="1">
      <c r="A24" s="101">
        <f t="shared" si="5"/>
        <v>24</v>
      </c>
      <c r="B24" s="100"/>
      <c r="C24" s="100"/>
      <c r="D24" s="100"/>
      <c r="E24" s="100"/>
      <c r="F24" s="100"/>
      <c r="I24" s="100"/>
      <c r="J24" s="100"/>
      <c r="K24" s="100"/>
      <c r="L24" s="100"/>
      <c r="M24" s="100"/>
      <c r="N24" s="100"/>
      <c r="O24" s="100"/>
      <c r="P24" s="100"/>
      <c r="Q24" s="100"/>
      <c r="R24" s="100"/>
      <c r="W24" s="780"/>
      <c r="X24" s="121">
        <f t="shared" si="14"/>
        <v>22</v>
      </c>
      <c r="Y24" s="122">
        <f>'calcul pneu pour calculateur'!P25</f>
        <v>99.424144395917338</v>
      </c>
      <c r="Z24" s="123">
        <f t="shared" si="16"/>
        <v>198.84828879183468</v>
      </c>
      <c r="AA24" s="123">
        <f t="shared" si="2"/>
        <v>298.27243318775203</v>
      </c>
      <c r="AB24" s="123">
        <f t="shared" si="3"/>
        <v>397.69657758366935</v>
      </c>
      <c r="AC24" s="123">
        <f t="shared" si="4"/>
        <v>497.12072197958668</v>
      </c>
      <c r="AK24" s="121">
        <f t="shared" si="15"/>
        <v>22</v>
      </c>
      <c r="AL24" s="101">
        <f t="shared" si="6"/>
        <v>0</v>
      </c>
      <c r="AM24" s="101">
        <f>10+Module!$K$57/($Z$1+1)</f>
        <v>133.65759122654444</v>
      </c>
      <c r="AN24" s="101">
        <f>$Z$1*(25+Module!$I$6)</f>
        <v>50.5</v>
      </c>
      <c r="AO24" s="101">
        <f>(AM24*($Z$1+1)*0.002488974)/($Z$1+1)*Module!$I$5*Module!$I$7</f>
        <v>102.62345540579445</v>
      </c>
      <c r="AP24" s="101">
        <f>$P$120*Module!$I$7*X24*Module!$I$5</f>
        <v>49.677750882976383</v>
      </c>
      <c r="AQ24" s="151">
        <f t="shared" si="7"/>
        <v>1000000</v>
      </c>
      <c r="AS24" s="101">
        <f t="shared" si="8"/>
        <v>0</v>
      </c>
      <c r="AT24" s="101">
        <f>10+Module!$K$57/($AA$1+1)</f>
        <v>92.438394151029627</v>
      </c>
      <c r="AU24" s="101">
        <f>$AA$1*(25+Module!$I$6)</f>
        <v>101</v>
      </c>
      <c r="AV24" s="101">
        <f>(AT24*($Z$1+1)*0.002488974)/($Z$1+1)*Module!$I$5*Module!$I$7</f>
        <v>70.974999121916298</v>
      </c>
      <c r="AW24" s="101">
        <f>$P$120*Module!$I$7*X24*Module!$I$5</f>
        <v>49.677750882976383</v>
      </c>
      <c r="AX24" s="151">
        <f t="shared" si="9"/>
        <v>1000000</v>
      </c>
      <c r="AZ24" s="101">
        <f t="shared" si="10"/>
        <v>0</v>
      </c>
      <c r="BA24" s="101">
        <f>10+Module!$K$57/($AB$1+1)</f>
        <v>71.82879561327222</v>
      </c>
      <c r="BB24" s="101">
        <f>$AB$1*(25+Module!$I$6)</f>
        <v>151.5</v>
      </c>
      <c r="BC24" s="101">
        <f>(BA24*($AB$1+1)*0.002488974)/($AB$1+1)*Module!$I$5*Module!$I$7</f>
        <v>55.150770979977231</v>
      </c>
      <c r="BD24" s="101">
        <f>$P$120*Module!$I$7*X24*Module!$I$5</f>
        <v>49.677750882976383</v>
      </c>
      <c r="BE24" s="151">
        <f t="shared" si="11"/>
        <v>1000000</v>
      </c>
      <c r="BG24" s="101">
        <f t="shared" si="12"/>
        <v>0</v>
      </c>
      <c r="BH24" s="101">
        <f>10+Module!$K$57/($AC$1+1)</f>
        <v>59.463036490617775</v>
      </c>
      <c r="BI24" s="101">
        <f>$AC$1*(25+Module!$I$6)</f>
        <v>202</v>
      </c>
      <c r="BJ24" s="101">
        <f>(BH24*($AC$1+1)*0.002488974)/($AC$1+1)*Module!$I$5*Module!$I$7</f>
        <v>45.656234094813776</v>
      </c>
      <c r="BK24" s="101">
        <f>$P$120*Module!$I$7*X24*Module!$I$5</f>
        <v>49.677750882976383</v>
      </c>
      <c r="BL24" s="151">
        <f t="shared" si="13"/>
        <v>1000000</v>
      </c>
    </row>
    <row r="25" spans="1:64" ht="15.75" hidden="1" customHeight="1" thickBot="1">
      <c r="A25" s="101">
        <f t="shared" si="5"/>
        <v>25</v>
      </c>
      <c r="B25" s="100"/>
      <c r="C25" s="100"/>
      <c r="D25" s="100"/>
      <c r="E25" s="100"/>
      <c r="F25" s="100"/>
      <c r="I25" s="100"/>
      <c r="J25" s="100"/>
      <c r="K25" s="100"/>
      <c r="L25" s="100"/>
      <c r="M25" s="100"/>
      <c r="N25" s="100"/>
      <c r="O25" s="100"/>
      <c r="P25" s="100"/>
      <c r="Q25" s="100"/>
      <c r="R25" s="100"/>
      <c r="W25" s="780"/>
      <c r="X25" s="121">
        <f t="shared" si="14"/>
        <v>23</v>
      </c>
      <c r="Y25" s="122">
        <f>'calcul pneu pour calculateur'!P26</f>
        <v>99.193141184576163</v>
      </c>
      <c r="Z25" s="123">
        <f t="shared" si="16"/>
        <v>198.38628236915233</v>
      </c>
      <c r="AA25" s="123">
        <f t="shared" si="2"/>
        <v>297.57942355372847</v>
      </c>
      <c r="AB25" s="123">
        <f t="shared" si="3"/>
        <v>396.77256473830465</v>
      </c>
      <c r="AC25" s="123">
        <f t="shared" si="4"/>
        <v>495.96570592288083</v>
      </c>
      <c r="AK25" s="121">
        <f t="shared" si="15"/>
        <v>23</v>
      </c>
      <c r="AL25" s="101">
        <f t="shared" si="6"/>
        <v>0</v>
      </c>
      <c r="AM25" s="101">
        <f>10+Module!$K$57/($Z$1+1)</f>
        <v>133.65759122654444</v>
      </c>
      <c r="AN25" s="101">
        <f>$Z$1*(25+Module!$I$6)</f>
        <v>50.5</v>
      </c>
      <c r="AO25" s="101">
        <f>(AM25*($Z$1+1)*0.002488974)/($Z$1+1)*Module!$I$5*Module!$I$7</f>
        <v>102.62345540579445</v>
      </c>
      <c r="AP25" s="101">
        <f>$P$120*Module!$I$7*X25*Module!$I$5</f>
        <v>51.935830468566216</v>
      </c>
      <c r="AQ25" s="151">
        <f t="shared" si="7"/>
        <v>1000000</v>
      </c>
      <c r="AS25" s="101">
        <f t="shared" si="8"/>
        <v>0</v>
      </c>
      <c r="AT25" s="101">
        <f>10+Module!$K$57/($AA$1+1)</f>
        <v>92.438394151029627</v>
      </c>
      <c r="AU25" s="101">
        <f>$AA$1*(25+Module!$I$6)</f>
        <v>101</v>
      </c>
      <c r="AV25" s="101">
        <f>(AT25*($Z$1+1)*0.002488974)/($Z$1+1)*Module!$I$5*Module!$I$7</f>
        <v>70.974999121916298</v>
      </c>
      <c r="AW25" s="101">
        <f>$P$120*Module!$I$7*X25*Module!$I$5</f>
        <v>51.935830468566216</v>
      </c>
      <c r="AX25" s="151">
        <f t="shared" si="9"/>
        <v>1000000</v>
      </c>
      <c r="AZ25" s="101">
        <f t="shared" si="10"/>
        <v>0</v>
      </c>
      <c r="BA25" s="101">
        <f>10+Module!$K$57/($AB$1+1)</f>
        <v>71.82879561327222</v>
      </c>
      <c r="BB25" s="101">
        <f>$AB$1*(25+Module!$I$6)</f>
        <v>151.5</v>
      </c>
      <c r="BC25" s="101">
        <f>(BA25*($AB$1+1)*0.002488974)/($AB$1+1)*Module!$I$5*Module!$I$7</f>
        <v>55.150770979977231</v>
      </c>
      <c r="BD25" s="101">
        <f>$P$120*Module!$I$7*X25*Module!$I$5</f>
        <v>51.935830468566216</v>
      </c>
      <c r="BE25" s="151">
        <f t="shared" si="11"/>
        <v>1000000</v>
      </c>
      <c r="BG25" s="101">
        <f t="shared" si="12"/>
        <v>0</v>
      </c>
      <c r="BH25" s="101">
        <f>10+Module!$K$57/($AC$1+1)</f>
        <v>59.463036490617775</v>
      </c>
      <c r="BI25" s="101">
        <f>$AC$1*(25+Module!$I$6)</f>
        <v>202</v>
      </c>
      <c r="BJ25" s="101">
        <f>(BH25*($AC$1+1)*0.002488974)/($AC$1+1)*Module!$I$5*Module!$I$7</f>
        <v>45.656234094813776</v>
      </c>
      <c r="BK25" s="101">
        <f>$P$120*Module!$I$7*X25*Module!$I$5</f>
        <v>51.935830468566216</v>
      </c>
      <c r="BL25" s="151">
        <f t="shared" si="13"/>
        <v>1000000</v>
      </c>
    </row>
    <row r="26" spans="1:64" ht="15" hidden="1" customHeight="1" thickBot="1">
      <c r="A26" s="101">
        <f t="shared" si="5"/>
        <v>26</v>
      </c>
      <c r="B26" s="100"/>
      <c r="C26" s="100"/>
      <c r="D26" s="100"/>
      <c r="E26" s="100"/>
      <c r="F26" s="100"/>
      <c r="I26" s="100"/>
      <c r="J26" s="100"/>
      <c r="K26" s="100"/>
      <c r="L26" s="100"/>
      <c r="M26" s="100"/>
      <c r="N26" s="100"/>
      <c r="O26" s="100"/>
      <c r="P26" s="100"/>
      <c r="Q26" s="100"/>
      <c r="R26" s="100"/>
      <c r="W26" s="780"/>
      <c r="X26" s="121">
        <f t="shared" si="14"/>
        <v>24</v>
      </c>
      <c r="Y26" s="122">
        <f>'calcul pneu pour calculateur'!P27</f>
        <v>98.962137973234974</v>
      </c>
      <c r="Z26" s="123">
        <f t="shared" si="16"/>
        <v>197.92427594646995</v>
      </c>
      <c r="AA26" s="123">
        <f t="shared" si="2"/>
        <v>296.88641391970492</v>
      </c>
      <c r="AB26" s="123">
        <f t="shared" si="3"/>
        <v>395.84855189293989</v>
      </c>
      <c r="AC26" s="123">
        <f t="shared" si="4"/>
        <v>494.81068986617487</v>
      </c>
      <c r="AK26" s="121">
        <f t="shared" si="15"/>
        <v>24</v>
      </c>
      <c r="AL26" s="101">
        <f t="shared" si="6"/>
        <v>0</v>
      </c>
      <c r="AM26" s="101">
        <f>10+Module!$K$57/($Z$1+1)</f>
        <v>133.65759122654444</v>
      </c>
      <c r="AN26" s="101">
        <f>$Z$1*(25+Module!$I$6)</f>
        <v>50.5</v>
      </c>
      <c r="AO26" s="101">
        <f>(AM26*($Z$1+1)*0.002488974)/($Z$1+1)*Module!$I$5*Module!$I$7</f>
        <v>102.62345540579445</v>
      </c>
      <c r="AP26" s="101">
        <f>$P$120*Module!$I$7*X26*Module!$I$5</f>
        <v>54.193910054156056</v>
      </c>
      <c r="AQ26" s="151">
        <f t="shared" si="7"/>
        <v>1000000</v>
      </c>
      <c r="AS26" s="101">
        <f t="shared" si="8"/>
        <v>0</v>
      </c>
      <c r="AT26" s="101">
        <f>10+Module!$K$57/($AA$1+1)</f>
        <v>92.438394151029627</v>
      </c>
      <c r="AU26" s="101">
        <f>$AA$1*(25+Module!$I$6)</f>
        <v>101</v>
      </c>
      <c r="AV26" s="101">
        <f>(AT26*($Z$1+1)*0.002488974)/($Z$1+1)*Module!$I$5*Module!$I$7</f>
        <v>70.974999121916298</v>
      </c>
      <c r="AW26" s="101">
        <f>$P$120*Module!$I$7*X26*Module!$I$5</f>
        <v>54.193910054156056</v>
      </c>
      <c r="AX26" s="151">
        <f t="shared" si="9"/>
        <v>1000000</v>
      </c>
      <c r="AZ26" s="101">
        <f t="shared" si="10"/>
        <v>0</v>
      </c>
      <c r="BA26" s="101">
        <f>10+Module!$K$57/($AB$1+1)</f>
        <v>71.82879561327222</v>
      </c>
      <c r="BB26" s="101">
        <f>$AB$1*(25+Module!$I$6)</f>
        <v>151.5</v>
      </c>
      <c r="BC26" s="101">
        <f>(BA26*($AB$1+1)*0.002488974)/($AB$1+1)*Module!$I$5*Module!$I$7</f>
        <v>55.150770979977231</v>
      </c>
      <c r="BD26" s="101">
        <f>$P$120*Module!$I$7*X26*Module!$I$5</f>
        <v>54.193910054156056</v>
      </c>
      <c r="BE26" s="151">
        <f t="shared" si="11"/>
        <v>1000000</v>
      </c>
      <c r="BG26" s="101">
        <f t="shared" si="12"/>
        <v>0</v>
      </c>
      <c r="BH26" s="101">
        <f>10+Module!$K$57/($AC$1+1)</f>
        <v>59.463036490617775</v>
      </c>
      <c r="BI26" s="101">
        <f>$AC$1*(25+Module!$I$6)</f>
        <v>202</v>
      </c>
      <c r="BJ26" s="101">
        <f>(BH26*($AC$1+1)*0.002488974)/($AC$1+1)*Module!$I$5*Module!$I$7</f>
        <v>45.656234094813776</v>
      </c>
      <c r="BK26" s="101">
        <f>$P$120*Module!$I$7*X26*Module!$I$5</f>
        <v>54.193910054156056</v>
      </c>
      <c r="BL26" s="151">
        <f t="shared" si="13"/>
        <v>1000000</v>
      </c>
    </row>
    <row r="27" spans="1:64" ht="15" hidden="1" customHeight="1" thickBot="1">
      <c r="A27" s="101">
        <f t="shared" si="5"/>
        <v>27</v>
      </c>
      <c r="B27" s="100"/>
      <c r="C27" s="100"/>
      <c r="D27" s="100"/>
      <c r="E27" s="100"/>
      <c r="F27" s="100"/>
      <c r="I27" s="100"/>
      <c r="J27" s="100"/>
      <c r="K27" s="100"/>
      <c r="L27" s="100"/>
      <c r="M27" s="100"/>
      <c r="N27" s="100"/>
      <c r="O27" s="100"/>
      <c r="P27" s="100"/>
      <c r="Q27" s="100"/>
      <c r="R27" s="100"/>
      <c r="W27" s="780"/>
      <c r="X27" s="121">
        <f t="shared" si="14"/>
        <v>25</v>
      </c>
      <c r="Y27" s="122">
        <f>'calcul pneu pour calculateur'!P28</f>
        <v>98.731134761893799</v>
      </c>
      <c r="Z27" s="123">
        <f t="shared" si="16"/>
        <v>197.4622695237876</v>
      </c>
      <c r="AA27" s="123">
        <f t="shared" si="2"/>
        <v>296.19340428568137</v>
      </c>
      <c r="AB27" s="123">
        <f t="shared" si="3"/>
        <v>394.92453904757519</v>
      </c>
      <c r="AC27" s="123">
        <f t="shared" si="4"/>
        <v>493.65567380946902</v>
      </c>
      <c r="AK27" s="121">
        <f t="shared" si="15"/>
        <v>25</v>
      </c>
      <c r="AL27" s="101">
        <f t="shared" si="6"/>
        <v>0</v>
      </c>
      <c r="AM27" s="101">
        <f>10+Module!$K$57/($Z$1+1)</f>
        <v>133.65759122654444</v>
      </c>
      <c r="AN27" s="101">
        <f>$Z$1*(25+Module!$I$6)</f>
        <v>50.5</v>
      </c>
      <c r="AO27" s="101">
        <f>(AM27*($Z$1+1)*0.002488974)/($Z$1+1)*Module!$I$5*Module!$I$7</f>
        <v>102.62345540579445</v>
      </c>
      <c r="AP27" s="101">
        <f>$P$120*Module!$I$7*X27*Module!$I$5</f>
        <v>56.451989639745889</v>
      </c>
      <c r="AQ27" s="151">
        <f t="shared" si="7"/>
        <v>1000000</v>
      </c>
      <c r="AS27" s="101">
        <f t="shared" si="8"/>
        <v>0</v>
      </c>
      <c r="AT27" s="101">
        <f>10+Module!$K$57/($AA$1+1)</f>
        <v>92.438394151029627</v>
      </c>
      <c r="AU27" s="101">
        <f>$AA$1*(25+Module!$I$6)</f>
        <v>101</v>
      </c>
      <c r="AV27" s="101">
        <f>(AT27*($Z$1+1)*0.002488974)/($Z$1+1)*Module!$I$5*Module!$I$7</f>
        <v>70.974999121916298</v>
      </c>
      <c r="AW27" s="101">
        <f>$P$120*Module!$I$7*X27*Module!$I$5</f>
        <v>56.451989639745889</v>
      </c>
      <c r="AX27" s="151">
        <f t="shared" si="9"/>
        <v>1000000</v>
      </c>
      <c r="AZ27" s="101">
        <f t="shared" si="10"/>
        <v>0</v>
      </c>
      <c r="BA27" s="101">
        <f>10+Module!$K$57/($AB$1+1)</f>
        <v>71.82879561327222</v>
      </c>
      <c r="BB27" s="101">
        <f>$AB$1*(25+Module!$I$6)</f>
        <v>151.5</v>
      </c>
      <c r="BC27" s="101">
        <f>(BA27*($AB$1+1)*0.002488974)/($AB$1+1)*Module!$I$5*Module!$I$7</f>
        <v>55.150770979977231</v>
      </c>
      <c r="BD27" s="101">
        <f>$P$120*Module!$I$7*X27*Module!$I$5</f>
        <v>56.451989639745889</v>
      </c>
      <c r="BE27" s="151">
        <f t="shared" si="11"/>
        <v>1000000</v>
      </c>
      <c r="BG27" s="101">
        <f t="shared" si="12"/>
        <v>0</v>
      </c>
      <c r="BH27" s="101">
        <f>10+Module!$K$57/($AC$1+1)</f>
        <v>59.463036490617775</v>
      </c>
      <c r="BI27" s="101">
        <f>$AC$1*(25+Module!$I$6)</f>
        <v>202</v>
      </c>
      <c r="BJ27" s="101">
        <f>(BH27*($AC$1+1)*0.002488974)/($AC$1+1)*Module!$I$5*Module!$I$7</f>
        <v>45.656234094813776</v>
      </c>
      <c r="BK27" s="101">
        <f>$P$120*Module!$I$7*X27*Module!$I$5</f>
        <v>56.451989639745889</v>
      </c>
      <c r="BL27" s="151">
        <f t="shared" si="13"/>
        <v>1000000</v>
      </c>
    </row>
    <row r="28" spans="1:64" ht="15.75" hidden="1" customHeight="1" thickBot="1">
      <c r="A28" s="101">
        <f t="shared" si="5"/>
        <v>28</v>
      </c>
      <c r="B28" s="100"/>
      <c r="C28" s="100"/>
      <c r="D28" s="100"/>
      <c r="E28" s="100"/>
      <c r="F28" s="100"/>
      <c r="I28" s="100"/>
      <c r="J28" s="100"/>
      <c r="K28" s="100"/>
      <c r="L28" s="100"/>
      <c r="M28" s="100"/>
      <c r="N28" s="100"/>
      <c r="O28" s="100"/>
      <c r="P28" s="100"/>
      <c r="Q28" s="100"/>
      <c r="R28" s="100"/>
      <c r="W28" s="780"/>
      <c r="X28" s="121">
        <f t="shared" si="14"/>
        <v>26</v>
      </c>
      <c r="Y28" s="122">
        <f>'calcul pneu pour calculateur'!P29</f>
        <v>98.500131550552609</v>
      </c>
      <c r="Z28" s="123">
        <f t="shared" si="16"/>
        <v>197.00026310110522</v>
      </c>
      <c r="AA28" s="123">
        <f t="shared" si="2"/>
        <v>295.50039465165781</v>
      </c>
      <c r="AB28" s="123">
        <f t="shared" si="3"/>
        <v>394.00052620221044</v>
      </c>
      <c r="AC28" s="123">
        <f t="shared" si="4"/>
        <v>492.50065775276306</v>
      </c>
      <c r="AK28" s="121">
        <f t="shared" si="15"/>
        <v>26</v>
      </c>
      <c r="AL28" s="101">
        <f t="shared" si="6"/>
        <v>0</v>
      </c>
      <c r="AM28" s="101">
        <f>10+Module!$K$57/($Z$1+1)</f>
        <v>133.65759122654444</v>
      </c>
      <c r="AN28" s="101">
        <f>$Z$1*(25+Module!$I$6)</f>
        <v>50.5</v>
      </c>
      <c r="AO28" s="101">
        <f>(AM28*($Z$1+1)*0.002488974)/($Z$1+1)*Module!$I$5*Module!$I$7</f>
        <v>102.62345540579445</v>
      </c>
      <c r="AP28" s="101">
        <f>$P$120*Module!$I$7*X28*Module!$I$5</f>
        <v>58.710069225335722</v>
      </c>
      <c r="AQ28" s="151">
        <f t="shared" si="7"/>
        <v>1000000</v>
      </c>
      <c r="AS28" s="101">
        <f t="shared" si="8"/>
        <v>0</v>
      </c>
      <c r="AT28" s="101">
        <f>10+Module!$K$57/($AA$1+1)</f>
        <v>92.438394151029627</v>
      </c>
      <c r="AU28" s="101">
        <f>$AA$1*(25+Module!$I$6)</f>
        <v>101</v>
      </c>
      <c r="AV28" s="101">
        <f>(AT28*($Z$1+1)*0.002488974)/($Z$1+1)*Module!$I$5*Module!$I$7</f>
        <v>70.974999121916298</v>
      </c>
      <c r="AW28" s="101">
        <f>$P$120*Module!$I$7*X28*Module!$I$5</f>
        <v>58.710069225335722</v>
      </c>
      <c r="AX28" s="151">
        <f t="shared" si="9"/>
        <v>1000000</v>
      </c>
      <c r="AZ28" s="101">
        <f t="shared" si="10"/>
        <v>0</v>
      </c>
      <c r="BA28" s="101">
        <f>10+Module!$K$57/($AB$1+1)</f>
        <v>71.82879561327222</v>
      </c>
      <c r="BB28" s="101">
        <f>$AB$1*(25+Module!$I$6)</f>
        <v>151.5</v>
      </c>
      <c r="BC28" s="101">
        <f>(BA28*($AB$1+1)*0.002488974)/($AB$1+1)*Module!$I$5*Module!$I$7</f>
        <v>55.150770979977231</v>
      </c>
      <c r="BD28" s="101">
        <f>$P$120*Module!$I$7*X28*Module!$I$5</f>
        <v>58.710069225335722</v>
      </c>
      <c r="BE28" s="151">
        <f t="shared" si="11"/>
        <v>1000000</v>
      </c>
      <c r="BG28" s="101">
        <f t="shared" si="12"/>
        <v>0</v>
      </c>
      <c r="BH28" s="101">
        <f>10+Module!$K$57/($AC$1+1)</f>
        <v>59.463036490617775</v>
      </c>
      <c r="BI28" s="101">
        <f>$AC$1*(25+Module!$I$6)</f>
        <v>202</v>
      </c>
      <c r="BJ28" s="101">
        <f>(BH28*($AC$1+1)*0.002488974)/($AC$1+1)*Module!$I$5*Module!$I$7</f>
        <v>45.656234094813776</v>
      </c>
      <c r="BK28" s="101">
        <f>$P$120*Module!$I$7*X28*Module!$I$5</f>
        <v>58.710069225335722</v>
      </c>
      <c r="BL28" s="151">
        <f t="shared" si="13"/>
        <v>1000000</v>
      </c>
    </row>
    <row r="29" spans="1:64" ht="15.75" hidden="1" customHeight="1" thickBot="1">
      <c r="A29" s="101">
        <f t="shared" si="5"/>
        <v>29</v>
      </c>
      <c r="B29" s="100"/>
      <c r="C29" s="100"/>
      <c r="D29" s="100"/>
      <c r="E29" s="100"/>
      <c r="F29" s="100"/>
      <c r="I29" s="100"/>
      <c r="J29" s="100"/>
      <c r="K29" s="100"/>
      <c r="L29" s="100"/>
      <c r="M29" s="100"/>
      <c r="N29" s="100"/>
      <c r="O29" s="100"/>
      <c r="P29" s="100"/>
      <c r="Q29" s="100"/>
      <c r="R29" s="100"/>
      <c r="W29" s="780"/>
      <c r="X29" s="121">
        <f t="shared" si="14"/>
        <v>27</v>
      </c>
      <c r="Y29" s="122">
        <f>'calcul pneu pour calculateur'!P30</f>
        <v>98.269128339211434</v>
      </c>
      <c r="Z29" s="123">
        <f t="shared" si="16"/>
        <v>196.53825667842287</v>
      </c>
      <c r="AA29" s="123">
        <f t="shared" si="2"/>
        <v>294.80738501763432</v>
      </c>
      <c r="AB29" s="123">
        <f t="shared" si="3"/>
        <v>393.07651335684574</v>
      </c>
      <c r="AC29" s="123">
        <f t="shared" si="4"/>
        <v>491.34564169605716</v>
      </c>
      <c r="AK29" s="121">
        <f t="shared" si="15"/>
        <v>27</v>
      </c>
      <c r="AL29" s="101">
        <f t="shared" si="6"/>
        <v>0</v>
      </c>
      <c r="AM29" s="101">
        <f>10+Module!$K$57/($Z$1+1)</f>
        <v>133.65759122654444</v>
      </c>
      <c r="AN29" s="101">
        <f>$Z$1*(25+Module!$I$6)</f>
        <v>50.5</v>
      </c>
      <c r="AO29" s="101">
        <f>(AM29*($Z$1+1)*0.002488974)/($Z$1+1)*Module!$I$5*Module!$I$7</f>
        <v>102.62345540579445</v>
      </c>
      <c r="AP29" s="101">
        <f>$P$120*Module!$I$7*X29*Module!$I$5</f>
        <v>60.968148810925555</v>
      </c>
      <c r="AQ29" s="151">
        <f t="shared" si="7"/>
        <v>1000000</v>
      </c>
      <c r="AS29" s="101">
        <f t="shared" si="8"/>
        <v>0</v>
      </c>
      <c r="AT29" s="101">
        <f>10+Module!$K$57/($AA$1+1)</f>
        <v>92.438394151029627</v>
      </c>
      <c r="AU29" s="101">
        <f>$AA$1*(25+Module!$I$6)</f>
        <v>101</v>
      </c>
      <c r="AV29" s="101">
        <f>(AT29*($Z$1+1)*0.002488974)/($Z$1+1)*Module!$I$5*Module!$I$7</f>
        <v>70.974999121916298</v>
      </c>
      <c r="AW29" s="101">
        <f>$P$120*Module!$I$7*X29*Module!$I$5</f>
        <v>60.968148810925555</v>
      </c>
      <c r="AX29" s="151">
        <f t="shared" si="9"/>
        <v>1000000</v>
      </c>
      <c r="AZ29" s="101">
        <f t="shared" si="10"/>
        <v>0</v>
      </c>
      <c r="BA29" s="101">
        <f>10+Module!$K$57/($AB$1+1)</f>
        <v>71.82879561327222</v>
      </c>
      <c r="BB29" s="101">
        <f>$AB$1*(25+Module!$I$6)</f>
        <v>151.5</v>
      </c>
      <c r="BC29" s="101">
        <f>(BA29*($AB$1+1)*0.002488974)/($AB$1+1)*Module!$I$5*Module!$I$7</f>
        <v>55.150770979977231</v>
      </c>
      <c r="BD29" s="101">
        <f>$P$120*Module!$I$7*X29*Module!$I$5</f>
        <v>60.968148810925555</v>
      </c>
      <c r="BE29" s="151">
        <f t="shared" si="11"/>
        <v>1000000</v>
      </c>
      <c r="BG29" s="101">
        <f t="shared" si="12"/>
        <v>0</v>
      </c>
      <c r="BH29" s="101">
        <f>10+Module!$K$57/($AC$1+1)</f>
        <v>59.463036490617775</v>
      </c>
      <c r="BI29" s="101">
        <f>$AC$1*(25+Module!$I$6)</f>
        <v>202</v>
      </c>
      <c r="BJ29" s="101">
        <f>(BH29*($AC$1+1)*0.002488974)/($AC$1+1)*Module!$I$5*Module!$I$7</f>
        <v>45.656234094813776</v>
      </c>
      <c r="BK29" s="101">
        <f>$P$120*Module!$I$7*X29*Module!$I$5</f>
        <v>60.968148810925555</v>
      </c>
      <c r="BL29" s="151">
        <f t="shared" si="13"/>
        <v>1000000</v>
      </c>
    </row>
    <row r="30" spans="1:64" ht="15.75" hidden="1" customHeight="1" thickBot="1">
      <c r="A30" s="101">
        <f t="shared" si="5"/>
        <v>30</v>
      </c>
      <c r="B30" s="100"/>
      <c r="C30" s="100"/>
      <c r="D30" s="100"/>
      <c r="E30" s="100"/>
      <c r="F30" s="100"/>
      <c r="I30" s="100"/>
      <c r="J30" s="100"/>
      <c r="K30" s="100"/>
      <c r="L30" s="100"/>
      <c r="M30" s="100"/>
      <c r="N30" s="100"/>
      <c r="O30" s="100"/>
      <c r="P30" s="100"/>
      <c r="Q30" s="100"/>
      <c r="R30" s="100"/>
      <c r="W30" s="780"/>
      <c r="X30" s="121">
        <f t="shared" si="14"/>
        <v>28</v>
      </c>
      <c r="Y30" s="122">
        <f>'calcul pneu pour calculateur'!P31</f>
        <v>98.038125127870245</v>
      </c>
      <c r="Z30" s="123">
        <f t="shared" si="16"/>
        <v>196.07625025574049</v>
      </c>
      <c r="AA30" s="123">
        <f t="shared" si="2"/>
        <v>294.11437538361076</v>
      </c>
      <c r="AB30" s="123">
        <f t="shared" si="3"/>
        <v>392.15250051148098</v>
      </c>
      <c r="AC30" s="123">
        <f t="shared" si="4"/>
        <v>490.1906256393512</v>
      </c>
      <c r="AK30" s="121">
        <f t="shared" si="15"/>
        <v>28</v>
      </c>
      <c r="AL30" s="101">
        <f t="shared" si="6"/>
        <v>0</v>
      </c>
      <c r="AM30" s="101">
        <f>10+Module!$K$57/($Z$1+1)</f>
        <v>133.65759122654444</v>
      </c>
      <c r="AN30" s="101">
        <f>$Z$1*(25+Module!$I$6)</f>
        <v>50.5</v>
      </c>
      <c r="AO30" s="101">
        <f>(AM30*($Z$1+1)*0.002488974)/($Z$1+1)*Module!$I$5*Module!$I$7</f>
        <v>102.62345540579445</v>
      </c>
      <c r="AP30" s="101">
        <f>$P$120*Module!$I$7*X30*Module!$I$5</f>
        <v>63.226228396515388</v>
      </c>
      <c r="AQ30" s="151">
        <f t="shared" si="7"/>
        <v>1000000</v>
      </c>
      <c r="AS30" s="101">
        <f t="shared" si="8"/>
        <v>0</v>
      </c>
      <c r="AT30" s="101">
        <f>10+Module!$K$57/($AA$1+1)</f>
        <v>92.438394151029627</v>
      </c>
      <c r="AU30" s="101">
        <f>$AA$1*(25+Module!$I$6)</f>
        <v>101</v>
      </c>
      <c r="AV30" s="101">
        <f>(AT30*($Z$1+1)*0.002488974)/($Z$1+1)*Module!$I$5*Module!$I$7</f>
        <v>70.974999121916298</v>
      </c>
      <c r="AW30" s="101">
        <f>$P$120*Module!$I$7*X30*Module!$I$5</f>
        <v>63.226228396515388</v>
      </c>
      <c r="AX30" s="151">
        <f t="shared" si="9"/>
        <v>1000000</v>
      </c>
      <c r="AZ30" s="101">
        <f t="shared" si="10"/>
        <v>0</v>
      </c>
      <c r="BA30" s="101">
        <f>10+Module!$K$57/($AB$1+1)</f>
        <v>71.82879561327222</v>
      </c>
      <c r="BB30" s="101">
        <f>$AB$1*(25+Module!$I$6)</f>
        <v>151.5</v>
      </c>
      <c r="BC30" s="101">
        <f>(BA30*($AB$1+1)*0.002488974)/($AB$1+1)*Module!$I$5*Module!$I$7</f>
        <v>55.150770979977231</v>
      </c>
      <c r="BD30" s="101">
        <f>$P$120*Module!$I$7*X30*Module!$I$5</f>
        <v>63.226228396515388</v>
      </c>
      <c r="BE30" s="151">
        <f t="shared" si="11"/>
        <v>1000000</v>
      </c>
      <c r="BG30" s="101">
        <f t="shared" si="12"/>
        <v>0</v>
      </c>
      <c r="BH30" s="101">
        <f>10+Module!$K$57/($AC$1+1)</f>
        <v>59.463036490617775</v>
      </c>
      <c r="BI30" s="101">
        <f>$AC$1*(25+Module!$I$6)</f>
        <v>202</v>
      </c>
      <c r="BJ30" s="101">
        <f>(BH30*($AC$1+1)*0.002488974)/($AC$1+1)*Module!$I$5*Module!$I$7</f>
        <v>45.656234094813776</v>
      </c>
      <c r="BK30" s="101">
        <f>$P$120*Module!$I$7*X30*Module!$I$5</f>
        <v>63.226228396515388</v>
      </c>
      <c r="BL30" s="151">
        <f t="shared" si="13"/>
        <v>1000000</v>
      </c>
    </row>
    <row r="31" spans="1:64" ht="15" hidden="1" customHeight="1" thickBot="1">
      <c r="A31" s="101">
        <f t="shared" si="5"/>
        <v>31</v>
      </c>
      <c r="B31" s="100"/>
      <c r="C31" s="100"/>
      <c r="D31" s="100"/>
      <c r="E31" s="100"/>
      <c r="F31" s="100"/>
      <c r="I31" s="100"/>
      <c r="J31" s="100"/>
      <c r="K31" s="100"/>
      <c r="L31" s="100"/>
      <c r="M31" s="100"/>
      <c r="N31" s="100"/>
      <c r="O31" s="100"/>
      <c r="P31" s="100"/>
      <c r="Q31" s="100"/>
      <c r="R31" s="100"/>
      <c r="W31" s="780"/>
      <c r="X31" s="121">
        <f t="shared" si="14"/>
        <v>29</v>
      </c>
      <c r="Y31" s="122">
        <f>'calcul pneu pour calculateur'!P32</f>
        <v>97.80712191652907</v>
      </c>
      <c r="Z31" s="123">
        <f t="shared" si="16"/>
        <v>195.61424383305814</v>
      </c>
      <c r="AA31" s="123">
        <f t="shared" si="2"/>
        <v>293.42136574958721</v>
      </c>
      <c r="AB31" s="123">
        <f t="shared" si="3"/>
        <v>391.22848766611628</v>
      </c>
      <c r="AC31" s="123">
        <f t="shared" si="4"/>
        <v>489.03560958264535</v>
      </c>
      <c r="AK31" s="121">
        <f t="shared" si="15"/>
        <v>29</v>
      </c>
      <c r="AL31" s="101">
        <f t="shared" si="6"/>
        <v>0</v>
      </c>
      <c r="AM31" s="101">
        <f>10+Module!$K$57/($Z$1+1)</f>
        <v>133.65759122654444</v>
      </c>
      <c r="AN31" s="101">
        <f>$Z$1*(25+Module!$I$6)</f>
        <v>50.5</v>
      </c>
      <c r="AO31" s="101">
        <f>(AM31*($Z$1+1)*0.002488974)/($Z$1+1)*Module!$I$5*Module!$I$7</f>
        <v>102.62345540579445</v>
      </c>
      <c r="AP31" s="101">
        <f>$P$120*Module!$I$7*X31*Module!$I$5</f>
        <v>65.484307982105236</v>
      </c>
      <c r="AQ31" s="151">
        <f t="shared" si="7"/>
        <v>1000000</v>
      </c>
      <c r="AS31" s="101">
        <f t="shared" si="8"/>
        <v>0</v>
      </c>
      <c r="AT31" s="101">
        <f>10+Module!$K$57/($AA$1+1)</f>
        <v>92.438394151029627</v>
      </c>
      <c r="AU31" s="101">
        <f>$AA$1*(25+Module!$I$6)</f>
        <v>101</v>
      </c>
      <c r="AV31" s="101">
        <f>(AT31*($Z$1+1)*0.002488974)/($Z$1+1)*Module!$I$5*Module!$I$7</f>
        <v>70.974999121916298</v>
      </c>
      <c r="AW31" s="101">
        <f>$P$120*Module!$I$7*X31*Module!$I$5</f>
        <v>65.484307982105236</v>
      </c>
      <c r="AX31" s="151">
        <f t="shared" si="9"/>
        <v>1000000</v>
      </c>
      <c r="AZ31" s="101">
        <f t="shared" si="10"/>
        <v>0</v>
      </c>
      <c r="BA31" s="101">
        <f>10+Module!$K$57/($AB$1+1)</f>
        <v>71.82879561327222</v>
      </c>
      <c r="BB31" s="101">
        <f>$AB$1*(25+Module!$I$6)</f>
        <v>151.5</v>
      </c>
      <c r="BC31" s="101">
        <f>(BA31*($AB$1+1)*0.002488974)/($AB$1+1)*Module!$I$5*Module!$I$7</f>
        <v>55.150770979977231</v>
      </c>
      <c r="BD31" s="101">
        <f>$P$120*Module!$I$7*X31*Module!$I$5</f>
        <v>65.484307982105236</v>
      </c>
      <c r="BE31" s="151">
        <f t="shared" si="11"/>
        <v>1000000</v>
      </c>
      <c r="BG31" s="101">
        <f t="shared" si="12"/>
        <v>0</v>
      </c>
      <c r="BH31" s="101">
        <f>10+Module!$K$57/($AC$1+1)</f>
        <v>59.463036490617775</v>
      </c>
      <c r="BI31" s="101">
        <f>$AC$1*(25+Module!$I$6)</f>
        <v>202</v>
      </c>
      <c r="BJ31" s="101">
        <f>(BH31*($AC$1+1)*0.002488974)/($AC$1+1)*Module!$I$5*Module!$I$7</f>
        <v>45.656234094813776</v>
      </c>
      <c r="BK31" s="101">
        <f>$P$120*Module!$I$7*X31*Module!$I$5</f>
        <v>65.484307982105236</v>
      </c>
      <c r="BL31" s="151">
        <f t="shared" si="13"/>
        <v>1000000</v>
      </c>
    </row>
    <row r="32" spans="1:64" ht="15" hidden="1" customHeight="1" thickBot="1">
      <c r="A32" s="101">
        <f t="shared" si="5"/>
        <v>32</v>
      </c>
      <c r="B32" s="100"/>
      <c r="C32" s="100"/>
      <c r="D32" s="100"/>
      <c r="E32" s="100"/>
      <c r="F32" s="100"/>
      <c r="I32" s="100"/>
      <c r="J32" s="100"/>
      <c r="K32" s="100"/>
      <c r="L32" s="100"/>
      <c r="M32" s="100"/>
      <c r="N32" s="100"/>
      <c r="O32" s="100"/>
      <c r="P32" s="100"/>
      <c r="Q32" s="100"/>
      <c r="R32" s="100"/>
      <c r="W32" s="780"/>
      <c r="X32" s="121">
        <f t="shared" si="14"/>
        <v>30</v>
      </c>
      <c r="Y32" s="122">
        <f>'calcul pneu pour calculateur'!P33</f>
        <v>97.576118705187895</v>
      </c>
      <c r="Z32" s="123">
        <f t="shared" si="16"/>
        <v>195.15223741037579</v>
      </c>
      <c r="AA32" s="123">
        <f t="shared" si="2"/>
        <v>292.72835611556366</v>
      </c>
      <c r="AB32" s="123">
        <f t="shared" si="3"/>
        <v>390.30447482075158</v>
      </c>
      <c r="AC32" s="123">
        <f t="shared" si="4"/>
        <v>487.8805935259395</v>
      </c>
      <c r="AK32" s="121">
        <f t="shared" si="15"/>
        <v>30</v>
      </c>
      <c r="AL32" s="101">
        <f t="shared" si="6"/>
        <v>0</v>
      </c>
      <c r="AM32" s="101">
        <f>10+Module!$K$57/($Z$1+1)</f>
        <v>133.65759122654444</v>
      </c>
      <c r="AN32" s="101">
        <f>$Z$1*(25+Module!$I$6)</f>
        <v>50.5</v>
      </c>
      <c r="AO32" s="101">
        <f>(AM32*($Z$1+1)*0.002488974)/($Z$1+1)*Module!$I$5*Module!$I$7</f>
        <v>102.62345540579445</v>
      </c>
      <c r="AP32" s="101">
        <f>$P$120*Module!$I$7*X32*Module!$I$5</f>
        <v>67.742387567695062</v>
      </c>
      <c r="AQ32" s="151">
        <f t="shared" si="7"/>
        <v>1000000</v>
      </c>
      <c r="AS32" s="101">
        <f t="shared" si="8"/>
        <v>0</v>
      </c>
      <c r="AT32" s="101">
        <f>10+Module!$K$57/($AA$1+1)</f>
        <v>92.438394151029627</v>
      </c>
      <c r="AU32" s="101">
        <f>$AA$1*(25+Module!$I$6)</f>
        <v>101</v>
      </c>
      <c r="AV32" s="101">
        <f>(AT32*($Z$1+1)*0.002488974)/($Z$1+1)*Module!$I$5*Module!$I$7</f>
        <v>70.974999121916298</v>
      </c>
      <c r="AW32" s="101">
        <f>$P$120*Module!$I$7*X32*Module!$I$5</f>
        <v>67.742387567695062</v>
      </c>
      <c r="AX32" s="151">
        <f t="shared" si="9"/>
        <v>1000000</v>
      </c>
      <c r="AZ32" s="101">
        <f t="shared" si="10"/>
        <v>0</v>
      </c>
      <c r="BA32" s="101">
        <f>10+Module!$K$57/($AB$1+1)</f>
        <v>71.82879561327222</v>
      </c>
      <c r="BB32" s="101">
        <f>$AB$1*(25+Module!$I$6)</f>
        <v>151.5</v>
      </c>
      <c r="BC32" s="101">
        <f>(BA32*($AB$1+1)*0.002488974)/($AB$1+1)*Module!$I$5*Module!$I$7</f>
        <v>55.150770979977231</v>
      </c>
      <c r="BD32" s="101">
        <f>$P$120*Module!$I$7*X32*Module!$I$5</f>
        <v>67.742387567695062</v>
      </c>
      <c r="BE32" s="151">
        <f t="shared" si="11"/>
        <v>1000000</v>
      </c>
      <c r="BG32" s="101">
        <f t="shared" si="12"/>
        <v>0</v>
      </c>
      <c r="BH32" s="101">
        <f>10+Module!$K$57/($AC$1+1)</f>
        <v>59.463036490617775</v>
      </c>
      <c r="BI32" s="101">
        <f>$AC$1*(25+Module!$I$6)</f>
        <v>202</v>
      </c>
      <c r="BJ32" s="101">
        <f>(BH32*($AC$1+1)*0.002488974)/($AC$1+1)*Module!$I$5*Module!$I$7</f>
        <v>45.656234094813776</v>
      </c>
      <c r="BK32" s="101">
        <f>$P$120*Module!$I$7*X32*Module!$I$5</f>
        <v>67.742387567695062</v>
      </c>
      <c r="BL32" s="151">
        <f t="shared" si="13"/>
        <v>1000000</v>
      </c>
    </row>
    <row r="33" spans="1:64" ht="13.5" hidden="1" customHeight="1" thickBot="1">
      <c r="A33" s="101">
        <f t="shared" si="5"/>
        <v>33</v>
      </c>
      <c r="B33" s="100"/>
      <c r="C33" s="100"/>
      <c r="D33" s="100"/>
      <c r="E33" s="100"/>
      <c r="F33" s="100"/>
      <c r="I33" s="100"/>
      <c r="J33" s="100"/>
      <c r="K33" s="100"/>
      <c r="L33" s="100"/>
      <c r="M33" s="100"/>
      <c r="N33" s="100"/>
      <c r="O33" s="100"/>
      <c r="P33" s="100"/>
      <c r="Q33" s="100"/>
      <c r="R33" s="100"/>
      <c r="W33" s="780"/>
      <c r="X33" s="121">
        <f t="shared" si="14"/>
        <v>31</v>
      </c>
      <c r="Y33" s="122">
        <f>'calcul pneu pour calculateur'!P34</f>
        <v>97.345115493846706</v>
      </c>
      <c r="Z33" s="123">
        <f t="shared" si="16"/>
        <v>194.69023098769341</v>
      </c>
      <c r="AA33" s="123">
        <f t="shared" si="2"/>
        <v>292.0353464815401</v>
      </c>
      <c r="AB33" s="123">
        <f t="shared" si="3"/>
        <v>389.38046197538682</v>
      </c>
      <c r="AC33" s="123">
        <f t="shared" si="4"/>
        <v>486.72557746923354</v>
      </c>
      <c r="AK33" s="121">
        <f t="shared" si="15"/>
        <v>31</v>
      </c>
      <c r="AL33" s="101">
        <f t="shared" si="6"/>
        <v>0</v>
      </c>
      <c r="AM33" s="101">
        <f>10+Module!$K$57/($Z$1+1)</f>
        <v>133.65759122654444</v>
      </c>
      <c r="AN33" s="101">
        <f>$Z$1*(25+Module!$I$6)</f>
        <v>50.5</v>
      </c>
      <c r="AO33" s="101">
        <f>(AM33*($Z$1+1)*0.002488974)/($Z$1+1)*Module!$I$5*Module!$I$7</f>
        <v>102.62345540579445</v>
      </c>
      <c r="AP33" s="101">
        <f>$P$120*Module!$I$7*X33*Module!$I$5</f>
        <v>70.000467153284902</v>
      </c>
      <c r="AQ33" s="151">
        <f t="shared" si="7"/>
        <v>1000000</v>
      </c>
      <c r="AS33" s="101">
        <f t="shared" si="8"/>
        <v>0</v>
      </c>
      <c r="AT33" s="101">
        <f>10+Module!$K$57/($AA$1+1)</f>
        <v>92.438394151029627</v>
      </c>
      <c r="AU33" s="101">
        <f>$AA$1*(25+Module!$I$6)</f>
        <v>101</v>
      </c>
      <c r="AV33" s="101">
        <f>(AT33*($Z$1+1)*0.002488974)/($Z$1+1)*Module!$I$5*Module!$I$7</f>
        <v>70.974999121916298</v>
      </c>
      <c r="AW33" s="101">
        <f>$P$120*Module!$I$7*X33*Module!$I$5</f>
        <v>70.000467153284902</v>
      </c>
      <c r="AX33" s="151">
        <f t="shared" si="9"/>
        <v>1000000</v>
      </c>
      <c r="AZ33" s="101">
        <f t="shared" si="10"/>
        <v>0</v>
      </c>
      <c r="BA33" s="101">
        <f>10+Module!$K$57/($AB$1+1)</f>
        <v>71.82879561327222</v>
      </c>
      <c r="BB33" s="101">
        <f>$AB$1*(25+Module!$I$6)</f>
        <v>151.5</v>
      </c>
      <c r="BC33" s="101">
        <f>(BA33*($AB$1+1)*0.002488974)/($AB$1+1)*Module!$I$5*Module!$I$7</f>
        <v>55.150770979977231</v>
      </c>
      <c r="BD33" s="101">
        <f>$P$120*Module!$I$7*X33*Module!$I$5</f>
        <v>70.000467153284902</v>
      </c>
      <c r="BE33" s="151">
        <f t="shared" si="11"/>
        <v>1000000</v>
      </c>
      <c r="BG33" s="101">
        <f t="shared" si="12"/>
        <v>0</v>
      </c>
      <c r="BH33" s="101">
        <f>10+Module!$K$57/($AC$1+1)</f>
        <v>59.463036490617775</v>
      </c>
      <c r="BI33" s="101">
        <f>$AC$1*(25+Module!$I$6)</f>
        <v>202</v>
      </c>
      <c r="BJ33" s="101">
        <f>(BH33*($AC$1+1)*0.002488974)/($AC$1+1)*Module!$I$5*Module!$I$7</f>
        <v>45.656234094813776</v>
      </c>
      <c r="BK33" s="101">
        <f>$P$120*Module!$I$7*X33*Module!$I$5</f>
        <v>70.000467153284902</v>
      </c>
      <c r="BL33" s="151">
        <f t="shared" si="13"/>
        <v>1000000</v>
      </c>
    </row>
    <row r="34" spans="1:64" ht="13.5" hidden="1" customHeight="1" thickBot="1">
      <c r="A34" s="101">
        <f t="shared" si="5"/>
        <v>34</v>
      </c>
      <c r="B34" s="100"/>
      <c r="C34" s="100"/>
      <c r="D34" s="100"/>
      <c r="E34" s="100"/>
      <c r="F34" s="100"/>
      <c r="I34" s="100"/>
      <c r="J34" s="100"/>
      <c r="K34" s="100"/>
      <c r="L34" s="100"/>
      <c r="M34" s="100"/>
      <c r="N34" s="100"/>
      <c r="O34" s="100"/>
      <c r="P34" s="100"/>
      <c r="Q34" s="100"/>
      <c r="R34" s="100"/>
      <c r="W34" s="780"/>
      <c r="X34" s="121">
        <f t="shared" si="14"/>
        <v>32</v>
      </c>
      <c r="Y34" s="122">
        <f>'calcul pneu pour calculateur'!P35</f>
        <v>97.114112282505531</v>
      </c>
      <c r="Z34" s="123">
        <f t="shared" si="16"/>
        <v>194.22822456501106</v>
      </c>
      <c r="AA34" s="123">
        <f t="shared" si="2"/>
        <v>291.34233684751661</v>
      </c>
      <c r="AB34" s="123">
        <f t="shared" si="3"/>
        <v>388.45644913002212</v>
      </c>
      <c r="AC34" s="123">
        <f t="shared" si="4"/>
        <v>485.57056141252764</v>
      </c>
      <c r="AK34" s="121">
        <f t="shared" si="15"/>
        <v>32</v>
      </c>
      <c r="AL34" s="101">
        <f t="shared" si="6"/>
        <v>0</v>
      </c>
      <c r="AM34" s="101">
        <f>10+Module!$K$57/($Z$1+1)</f>
        <v>133.65759122654444</v>
      </c>
      <c r="AN34" s="101">
        <f>$Z$1*(25+Module!$I$6)</f>
        <v>50.5</v>
      </c>
      <c r="AO34" s="101">
        <f>(AM34*($Z$1+1)*0.002488974)/($Z$1+1)*Module!$I$5*Module!$I$7</f>
        <v>102.62345540579445</v>
      </c>
      <c r="AP34" s="101">
        <f>$P$120*Module!$I$7*X34*Module!$I$5</f>
        <v>72.258546738874728</v>
      </c>
      <c r="AQ34" s="151">
        <f t="shared" si="7"/>
        <v>1000000</v>
      </c>
      <c r="AS34" s="101">
        <f t="shared" si="8"/>
        <v>0</v>
      </c>
      <c r="AT34" s="101">
        <f>10+Module!$K$57/($AA$1+1)</f>
        <v>92.438394151029627</v>
      </c>
      <c r="AU34" s="101">
        <f>$AA$1*(25+Module!$I$6)</f>
        <v>101</v>
      </c>
      <c r="AV34" s="101">
        <f>(AT34*($Z$1+1)*0.002488974)/($Z$1+1)*Module!$I$5*Module!$I$7</f>
        <v>70.974999121916298</v>
      </c>
      <c r="AW34" s="101">
        <f>$P$120*Module!$I$7*X34*Module!$I$5</f>
        <v>72.258546738874728</v>
      </c>
      <c r="AX34" s="151">
        <f t="shared" si="9"/>
        <v>1000000</v>
      </c>
      <c r="AZ34" s="101">
        <f t="shared" si="10"/>
        <v>0</v>
      </c>
      <c r="BA34" s="101">
        <f>10+Module!$K$57/($AB$1+1)</f>
        <v>71.82879561327222</v>
      </c>
      <c r="BB34" s="101">
        <f>$AB$1*(25+Module!$I$6)</f>
        <v>151.5</v>
      </c>
      <c r="BC34" s="101">
        <f>(BA34*($AB$1+1)*0.002488974)/($AB$1+1)*Module!$I$5*Module!$I$7</f>
        <v>55.150770979977231</v>
      </c>
      <c r="BD34" s="101">
        <f>$P$120*Module!$I$7*X34*Module!$I$5</f>
        <v>72.258546738874728</v>
      </c>
      <c r="BE34" s="151">
        <f t="shared" si="11"/>
        <v>1000000</v>
      </c>
      <c r="BG34" s="101">
        <f t="shared" si="12"/>
        <v>0</v>
      </c>
      <c r="BH34" s="101">
        <f>10+Module!$K$57/($AC$1+1)</f>
        <v>59.463036490617775</v>
      </c>
      <c r="BI34" s="101">
        <f>$AC$1*(25+Module!$I$6)</f>
        <v>202</v>
      </c>
      <c r="BJ34" s="101">
        <f>(BH34*($AC$1+1)*0.002488974)/($AC$1+1)*Module!$I$5*Module!$I$7</f>
        <v>45.656234094813776</v>
      </c>
      <c r="BK34" s="101">
        <f>$P$120*Module!$I$7*X34*Module!$I$5</f>
        <v>72.258546738874728</v>
      </c>
      <c r="BL34" s="151">
        <f t="shared" si="13"/>
        <v>1000000</v>
      </c>
    </row>
    <row r="35" spans="1:64" ht="13.5" hidden="1" customHeight="1" thickBot="1">
      <c r="A35" s="101">
        <f t="shared" si="5"/>
        <v>35</v>
      </c>
      <c r="B35" s="100"/>
      <c r="C35" s="100"/>
      <c r="D35" s="100"/>
      <c r="E35" s="100"/>
      <c r="F35" s="100"/>
      <c r="I35" s="100"/>
      <c r="J35" s="100"/>
      <c r="K35" s="100"/>
      <c r="L35" s="100"/>
      <c r="M35" s="100"/>
      <c r="N35" s="100"/>
      <c r="O35" s="100"/>
      <c r="P35" s="100"/>
      <c r="Q35" s="100"/>
      <c r="R35" s="100"/>
      <c r="W35" s="780"/>
      <c r="X35" s="121">
        <f t="shared" si="14"/>
        <v>33</v>
      </c>
      <c r="Y35" s="122">
        <f>'calcul pneu pour calculateur'!P36</f>
        <v>96.883109071164341</v>
      </c>
      <c r="Z35" s="123">
        <f t="shared" si="16"/>
        <v>193.76621814232868</v>
      </c>
      <c r="AA35" s="123">
        <f t="shared" si="2"/>
        <v>290.64932721349305</v>
      </c>
      <c r="AB35" s="123">
        <f t="shared" si="3"/>
        <v>387.53243628465736</v>
      </c>
      <c r="AC35" s="123">
        <f t="shared" si="4"/>
        <v>484.41554535582168</v>
      </c>
      <c r="AK35" s="121">
        <f t="shared" si="15"/>
        <v>33</v>
      </c>
      <c r="AL35" s="101">
        <f t="shared" si="6"/>
        <v>0</v>
      </c>
      <c r="AM35" s="101">
        <f>10+Module!$K$57/($Z$1+1)</f>
        <v>133.65759122654444</v>
      </c>
      <c r="AN35" s="101">
        <f>$Z$1*(25+Module!$I$6)</f>
        <v>50.5</v>
      </c>
      <c r="AO35" s="101">
        <f>(AM35*($Z$1+1)*0.002488974)/($Z$1+1)*Module!$I$5*Module!$I$7</f>
        <v>102.62345540579445</v>
      </c>
      <c r="AP35" s="101">
        <f>$P$120*Module!$I$7*X35*Module!$I$5</f>
        <v>74.516626324464568</v>
      </c>
      <c r="AQ35" s="151">
        <f t="shared" si="7"/>
        <v>1000000</v>
      </c>
      <c r="AS35" s="101">
        <f t="shared" si="8"/>
        <v>0</v>
      </c>
      <c r="AT35" s="101">
        <f>10+Module!$K$57/($AA$1+1)</f>
        <v>92.438394151029627</v>
      </c>
      <c r="AU35" s="101">
        <f>$AA$1*(25+Module!$I$6)</f>
        <v>101</v>
      </c>
      <c r="AV35" s="101">
        <f>(AT35*($Z$1+1)*0.002488974)/($Z$1+1)*Module!$I$5*Module!$I$7</f>
        <v>70.974999121916298</v>
      </c>
      <c r="AW35" s="101">
        <f>$P$120*Module!$I$7*X35*Module!$I$5</f>
        <v>74.516626324464568</v>
      </c>
      <c r="AX35" s="151">
        <f t="shared" si="9"/>
        <v>1000000</v>
      </c>
      <c r="AZ35" s="101">
        <f t="shared" si="10"/>
        <v>0</v>
      </c>
      <c r="BA35" s="101">
        <f>10+Module!$K$57/($AB$1+1)</f>
        <v>71.82879561327222</v>
      </c>
      <c r="BB35" s="101">
        <f>$AB$1*(25+Module!$I$6)</f>
        <v>151.5</v>
      </c>
      <c r="BC35" s="101">
        <f>(BA35*($AB$1+1)*0.002488974)/($AB$1+1)*Module!$I$5*Module!$I$7</f>
        <v>55.150770979977231</v>
      </c>
      <c r="BD35" s="101">
        <f>$P$120*Module!$I$7*X35*Module!$I$5</f>
        <v>74.516626324464568</v>
      </c>
      <c r="BE35" s="151">
        <f t="shared" si="11"/>
        <v>1000000</v>
      </c>
      <c r="BG35" s="101">
        <f t="shared" si="12"/>
        <v>0</v>
      </c>
      <c r="BH35" s="101">
        <f>10+Module!$K$57/($AC$1+1)</f>
        <v>59.463036490617775</v>
      </c>
      <c r="BI35" s="101">
        <f>$AC$1*(25+Module!$I$6)</f>
        <v>202</v>
      </c>
      <c r="BJ35" s="101">
        <f>(BH35*($AC$1+1)*0.002488974)/($AC$1+1)*Module!$I$5*Module!$I$7</f>
        <v>45.656234094813776</v>
      </c>
      <c r="BK35" s="101">
        <f>$P$120*Module!$I$7*X35*Module!$I$5</f>
        <v>74.516626324464568</v>
      </c>
      <c r="BL35" s="151">
        <f t="shared" si="13"/>
        <v>1000000</v>
      </c>
    </row>
    <row r="36" spans="1:64" ht="13.5" hidden="1" customHeight="1" thickBot="1">
      <c r="A36" s="101">
        <f t="shared" si="5"/>
        <v>36</v>
      </c>
      <c r="B36" s="100"/>
      <c r="C36" s="100"/>
      <c r="D36" s="100"/>
      <c r="E36" s="100"/>
      <c r="F36" s="100"/>
      <c r="I36" s="100"/>
      <c r="J36" s="100"/>
      <c r="K36" s="100"/>
      <c r="L36" s="100"/>
      <c r="M36" s="100"/>
      <c r="N36" s="100"/>
      <c r="O36" s="100"/>
      <c r="P36" s="100"/>
      <c r="Q36" s="100"/>
      <c r="R36" s="100"/>
      <c r="W36" s="780"/>
      <c r="X36" s="121">
        <f t="shared" si="14"/>
        <v>34</v>
      </c>
      <c r="Y36" s="122">
        <f>'calcul pneu pour calculateur'!P37</f>
        <v>96.652105859823166</v>
      </c>
      <c r="Z36" s="123">
        <f t="shared" si="16"/>
        <v>193.30421171964633</v>
      </c>
      <c r="AA36" s="123">
        <f t="shared" si="2"/>
        <v>289.9563175794695</v>
      </c>
      <c r="AB36" s="123">
        <f t="shared" si="3"/>
        <v>386.60842343929266</v>
      </c>
      <c r="AC36" s="123">
        <f t="shared" si="4"/>
        <v>483.26052929911583</v>
      </c>
      <c r="AK36" s="121">
        <f t="shared" si="15"/>
        <v>34</v>
      </c>
      <c r="AL36" s="101">
        <f t="shared" si="6"/>
        <v>0</v>
      </c>
      <c r="AM36" s="101">
        <f>10+Module!$K$57/($Z$1+1)</f>
        <v>133.65759122654444</v>
      </c>
      <c r="AN36" s="101">
        <f>$Z$1*(25+Module!$I$6)</f>
        <v>50.5</v>
      </c>
      <c r="AO36" s="101">
        <f>(AM36*($Z$1+1)*0.002488974)/($Z$1+1)*Module!$I$5*Module!$I$7</f>
        <v>102.62345540579445</v>
      </c>
      <c r="AP36" s="101">
        <f>$P$120*Module!$I$7*X36*Module!$I$5</f>
        <v>76.774705910054408</v>
      </c>
      <c r="AQ36" s="151">
        <f t="shared" si="7"/>
        <v>1000000</v>
      </c>
      <c r="AS36" s="101">
        <f t="shared" si="8"/>
        <v>0</v>
      </c>
      <c r="AT36" s="101">
        <f>10+Module!$K$57/($AA$1+1)</f>
        <v>92.438394151029627</v>
      </c>
      <c r="AU36" s="101">
        <f>$AA$1*(25+Module!$I$6)</f>
        <v>101</v>
      </c>
      <c r="AV36" s="101">
        <f>(AT36*($Z$1+1)*0.002488974)/($Z$1+1)*Module!$I$5*Module!$I$7</f>
        <v>70.974999121916298</v>
      </c>
      <c r="AW36" s="101">
        <f>$P$120*Module!$I$7*X36*Module!$I$5</f>
        <v>76.774705910054408</v>
      </c>
      <c r="AX36" s="151">
        <f t="shared" si="9"/>
        <v>1000000</v>
      </c>
      <c r="AZ36" s="101">
        <f t="shared" si="10"/>
        <v>0</v>
      </c>
      <c r="BA36" s="101">
        <f>10+Module!$K$57/($AB$1+1)</f>
        <v>71.82879561327222</v>
      </c>
      <c r="BB36" s="101">
        <f>$AB$1*(25+Module!$I$6)</f>
        <v>151.5</v>
      </c>
      <c r="BC36" s="101">
        <f>(BA36*($AB$1+1)*0.002488974)/($AB$1+1)*Module!$I$5*Module!$I$7</f>
        <v>55.150770979977231</v>
      </c>
      <c r="BD36" s="101">
        <f>$P$120*Module!$I$7*X36*Module!$I$5</f>
        <v>76.774705910054408</v>
      </c>
      <c r="BE36" s="151">
        <f t="shared" si="11"/>
        <v>1000000</v>
      </c>
      <c r="BG36" s="101">
        <f t="shared" si="12"/>
        <v>0</v>
      </c>
      <c r="BH36" s="101">
        <f>10+Module!$K$57/($AC$1+1)</f>
        <v>59.463036490617775</v>
      </c>
      <c r="BI36" s="101">
        <f>$AC$1*(25+Module!$I$6)</f>
        <v>202</v>
      </c>
      <c r="BJ36" s="101">
        <f>(BH36*($AC$1+1)*0.002488974)/($AC$1+1)*Module!$I$5*Module!$I$7</f>
        <v>45.656234094813776</v>
      </c>
      <c r="BK36" s="101">
        <f>$P$120*Module!$I$7*X36*Module!$I$5</f>
        <v>76.774705910054408</v>
      </c>
      <c r="BL36" s="151">
        <f t="shared" si="13"/>
        <v>1000000</v>
      </c>
    </row>
    <row r="37" spans="1:64" ht="13.5" hidden="1" customHeight="1" thickBot="1">
      <c r="A37" s="101">
        <f t="shared" si="5"/>
        <v>37</v>
      </c>
      <c r="B37" s="100"/>
      <c r="C37" s="100"/>
      <c r="D37" s="100"/>
      <c r="E37" s="100"/>
      <c r="F37" s="100"/>
      <c r="I37" s="100"/>
      <c r="J37" s="100"/>
      <c r="K37" s="100"/>
      <c r="L37" s="100"/>
      <c r="M37" s="100"/>
      <c r="N37" s="100"/>
      <c r="O37" s="100"/>
      <c r="P37" s="100"/>
      <c r="Q37" s="100"/>
      <c r="R37" s="100"/>
      <c r="W37" s="780"/>
      <c r="X37" s="121">
        <f t="shared" si="14"/>
        <v>35</v>
      </c>
      <c r="Y37" s="122">
        <f>'calcul pneu pour calculateur'!P38</f>
        <v>96.421102648481977</v>
      </c>
      <c r="Z37" s="123">
        <f t="shared" si="16"/>
        <v>192.84220529696395</v>
      </c>
      <c r="AA37" s="123">
        <f t="shared" si="2"/>
        <v>289.26330794544594</v>
      </c>
      <c r="AB37" s="123">
        <f t="shared" si="3"/>
        <v>385.68441059392791</v>
      </c>
      <c r="AC37" s="123">
        <f t="shared" si="4"/>
        <v>482.10551324240987</v>
      </c>
      <c r="AK37" s="121">
        <f t="shared" si="15"/>
        <v>35</v>
      </c>
      <c r="AL37" s="101">
        <f t="shared" si="6"/>
        <v>0</v>
      </c>
      <c r="AM37" s="101">
        <f>10+Module!$K$57/($Z$1+1)</f>
        <v>133.65759122654444</v>
      </c>
      <c r="AN37" s="101">
        <f>$Z$1*(25+Module!$I$6)</f>
        <v>50.5</v>
      </c>
      <c r="AO37" s="101">
        <f>(AM37*($Z$1+1)*0.002488974)/($Z$1+1)*Module!$I$5*Module!$I$7</f>
        <v>102.62345540579445</v>
      </c>
      <c r="AP37" s="101">
        <f>$P$120*Module!$I$7*X37*Module!$I$5</f>
        <v>79.032785495644234</v>
      </c>
      <c r="AQ37" s="151">
        <f t="shared" si="7"/>
        <v>1000000</v>
      </c>
      <c r="AS37" s="101">
        <f t="shared" si="8"/>
        <v>0</v>
      </c>
      <c r="AT37" s="101">
        <f>10+Module!$K$57/($AA$1+1)</f>
        <v>92.438394151029627</v>
      </c>
      <c r="AU37" s="101">
        <f>$AA$1*(25+Module!$I$6)</f>
        <v>101</v>
      </c>
      <c r="AV37" s="101">
        <f>(AT37*($Z$1+1)*0.002488974)/($Z$1+1)*Module!$I$5*Module!$I$7</f>
        <v>70.974999121916298</v>
      </c>
      <c r="AW37" s="101">
        <f>$P$120*Module!$I$7*X37*Module!$I$5</f>
        <v>79.032785495644234</v>
      </c>
      <c r="AX37" s="151">
        <f t="shared" si="9"/>
        <v>1000000</v>
      </c>
      <c r="AZ37" s="101">
        <f t="shared" si="10"/>
        <v>0</v>
      </c>
      <c r="BA37" s="101">
        <f>10+Module!$K$57/($AB$1+1)</f>
        <v>71.82879561327222</v>
      </c>
      <c r="BB37" s="101">
        <f>$AB$1*(25+Module!$I$6)</f>
        <v>151.5</v>
      </c>
      <c r="BC37" s="101">
        <f>(BA37*($AB$1+1)*0.002488974)/($AB$1+1)*Module!$I$5*Module!$I$7</f>
        <v>55.150770979977231</v>
      </c>
      <c r="BD37" s="101">
        <f>$P$120*Module!$I$7*X37*Module!$I$5</f>
        <v>79.032785495644234</v>
      </c>
      <c r="BE37" s="151">
        <f t="shared" si="11"/>
        <v>1000000</v>
      </c>
      <c r="BG37" s="101">
        <f t="shared" si="12"/>
        <v>0</v>
      </c>
      <c r="BH37" s="101">
        <f>10+Module!$K$57/($AC$1+1)</f>
        <v>59.463036490617775</v>
      </c>
      <c r="BI37" s="101">
        <f>$AC$1*(25+Module!$I$6)</f>
        <v>202</v>
      </c>
      <c r="BJ37" s="101">
        <f>(BH37*($AC$1+1)*0.002488974)/($AC$1+1)*Module!$I$5*Module!$I$7</f>
        <v>45.656234094813776</v>
      </c>
      <c r="BK37" s="101">
        <f>$P$120*Module!$I$7*X37*Module!$I$5</f>
        <v>79.032785495644234</v>
      </c>
      <c r="BL37" s="151">
        <f t="shared" si="13"/>
        <v>1000000</v>
      </c>
    </row>
    <row r="38" spans="1:64" ht="13.5" hidden="1" customHeight="1" thickBot="1">
      <c r="A38" s="101">
        <f t="shared" si="5"/>
        <v>38</v>
      </c>
      <c r="B38" s="100"/>
      <c r="C38" s="100"/>
      <c r="D38" s="100"/>
      <c r="E38" s="100"/>
      <c r="F38" s="100"/>
      <c r="I38" s="100"/>
      <c r="J38" s="100"/>
      <c r="K38" s="100"/>
      <c r="L38" s="100"/>
      <c r="M38" s="100"/>
      <c r="N38" s="100"/>
      <c r="O38" s="100"/>
      <c r="P38" s="100"/>
      <c r="Q38" s="100"/>
      <c r="R38" s="100"/>
      <c r="W38" s="780"/>
      <c r="X38" s="121">
        <f t="shared" si="14"/>
        <v>36</v>
      </c>
      <c r="Y38" s="122">
        <f>'calcul pneu pour calculateur'!P39</f>
        <v>96.190099437140788</v>
      </c>
      <c r="Z38" s="123">
        <f t="shared" si="16"/>
        <v>192.38019887428158</v>
      </c>
      <c r="AA38" s="123">
        <f t="shared" si="2"/>
        <v>288.57029831142233</v>
      </c>
      <c r="AB38" s="123">
        <f t="shared" si="3"/>
        <v>384.76039774856315</v>
      </c>
      <c r="AC38" s="123">
        <f t="shared" si="4"/>
        <v>480.95049718570397</v>
      </c>
      <c r="AK38" s="121">
        <f t="shared" si="15"/>
        <v>36</v>
      </c>
      <c r="AL38" s="101">
        <f t="shared" si="6"/>
        <v>0</v>
      </c>
      <c r="AM38" s="101">
        <f>10+Module!$K$57/($Z$1+1)</f>
        <v>133.65759122654444</v>
      </c>
      <c r="AN38" s="101">
        <f>$Z$1*(25+Module!$I$6)</f>
        <v>50.5</v>
      </c>
      <c r="AO38" s="101">
        <f>(AM38*($Z$1+1)*0.002488974)/($Z$1+1)*Module!$I$5*Module!$I$7</f>
        <v>102.62345540579445</v>
      </c>
      <c r="AP38" s="101">
        <f>$P$120*Module!$I$7*X38*Module!$I$5</f>
        <v>81.290865081234074</v>
      </c>
      <c r="AQ38" s="151">
        <f t="shared" si="7"/>
        <v>1000000</v>
      </c>
      <c r="AS38" s="101">
        <f t="shared" si="8"/>
        <v>0</v>
      </c>
      <c r="AT38" s="101">
        <f>10+Module!$K$57/($AA$1+1)</f>
        <v>92.438394151029627</v>
      </c>
      <c r="AU38" s="101">
        <f>$AA$1*(25+Module!$I$6)</f>
        <v>101</v>
      </c>
      <c r="AV38" s="101">
        <f>(AT38*($Z$1+1)*0.002488974)/($Z$1+1)*Module!$I$5*Module!$I$7</f>
        <v>70.974999121916298</v>
      </c>
      <c r="AW38" s="101">
        <f>$P$120*Module!$I$7*X38*Module!$I$5</f>
        <v>81.290865081234074</v>
      </c>
      <c r="AX38" s="151">
        <f t="shared" si="9"/>
        <v>1000000</v>
      </c>
      <c r="AZ38" s="101">
        <f t="shared" si="10"/>
        <v>0</v>
      </c>
      <c r="BA38" s="101">
        <f>10+Module!$K$57/($AB$1+1)</f>
        <v>71.82879561327222</v>
      </c>
      <c r="BB38" s="101">
        <f>$AB$1*(25+Module!$I$6)</f>
        <v>151.5</v>
      </c>
      <c r="BC38" s="101">
        <f>(BA38*($AB$1+1)*0.002488974)/($AB$1+1)*Module!$I$5*Module!$I$7</f>
        <v>55.150770979977231</v>
      </c>
      <c r="BD38" s="101">
        <f>$P$120*Module!$I$7*X38*Module!$I$5</f>
        <v>81.290865081234074</v>
      </c>
      <c r="BE38" s="151">
        <f t="shared" si="11"/>
        <v>1000000</v>
      </c>
      <c r="BG38" s="101">
        <f t="shared" si="12"/>
        <v>0</v>
      </c>
      <c r="BH38" s="101">
        <f>10+Module!$K$57/($AC$1+1)</f>
        <v>59.463036490617775</v>
      </c>
      <c r="BI38" s="101">
        <f>$AC$1*(25+Module!$I$6)</f>
        <v>202</v>
      </c>
      <c r="BJ38" s="101">
        <f>(BH38*($AC$1+1)*0.002488974)/($AC$1+1)*Module!$I$5*Module!$I$7</f>
        <v>45.656234094813776</v>
      </c>
      <c r="BK38" s="101">
        <f>$P$120*Module!$I$7*X38*Module!$I$5</f>
        <v>81.290865081234074</v>
      </c>
      <c r="BL38" s="151">
        <f t="shared" si="13"/>
        <v>1000000</v>
      </c>
    </row>
    <row r="39" spans="1:64" ht="13.5" hidden="1" customHeight="1" thickBot="1">
      <c r="A39" s="101">
        <f t="shared" si="5"/>
        <v>39</v>
      </c>
      <c r="B39" s="100"/>
      <c r="C39" s="100"/>
      <c r="D39" s="100"/>
      <c r="E39" s="100"/>
      <c r="F39" s="100"/>
      <c r="I39" s="100"/>
      <c r="J39" s="100"/>
      <c r="K39" s="100"/>
      <c r="L39" s="100"/>
      <c r="M39" s="100"/>
      <c r="N39" s="100"/>
      <c r="O39" s="100"/>
      <c r="P39" s="100"/>
      <c r="Q39" s="100"/>
      <c r="R39" s="100"/>
      <c r="W39" s="780"/>
      <c r="X39" s="121">
        <f t="shared" si="14"/>
        <v>37</v>
      </c>
      <c r="Y39" s="122">
        <f>'calcul pneu pour calculateur'!P40</f>
        <v>95.959096225799613</v>
      </c>
      <c r="Z39" s="123">
        <f t="shared" si="16"/>
        <v>191.91819245159923</v>
      </c>
      <c r="AA39" s="123">
        <f t="shared" si="2"/>
        <v>287.87728867739884</v>
      </c>
      <c r="AB39" s="123">
        <f t="shared" si="3"/>
        <v>383.83638490319845</v>
      </c>
      <c r="AC39" s="123">
        <f t="shared" si="4"/>
        <v>479.79548112899806</v>
      </c>
      <c r="AK39" s="121">
        <f t="shared" si="15"/>
        <v>37</v>
      </c>
      <c r="AL39" s="101">
        <f t="shared" si="6"/>
        <v>0</v>
      </c>
      <c r="AM39" s="101">
        <f>10+Module!$K$57/($Z$1+1)</f>
        <v>133.65759122654444</v>
      </c>
      <c r="AN39" s="101">
        <f>$Z$1*(25+Module!$I$6)</f>
        <v>50.5</v>
      </c>
      <c r="AO39" s="101">
        <f>(AM39*($Z$1+1)*0.002488974)/($Z$1+1)*Module!$I$5*Module!$I$7</f>
        <v>102.62345540579445</v>
      </c>
      <c r="AP39" s="101">
        <f>$P$120*Module!$I$7*X39*Module!$I$5</f>
        <v>83.548944666823914</v>
      </c>
      <c r="AQ39" s="151">
        <f t="shared" si="7"/>
        <v>1000000</v>
      </c>
      <c r="AS39" s="101">
        <f t="shared" si="8"/>
        <v>0</v>
      </c>
      <c r="AT39" s="101">
        <f>10+Module!$K$57/($AA$1+1)</f>
        <v>92.438394151029627</v>
      </c>
      <c r="AU39" s="101">
        <f>$AA$1*(25+Module!$I$6)</f>
        <v>101</v>
      </c>
      <c r="AV39" s="101">
        <f>(AT39*($Z$1+1)*0.002488974)/($Z$1+1)*Module!$I$5*Module!$I$7</f>
        <v>70.974999121916298</v>
      </c>
      <c r="AW39" s="101">
        <f>$P$120*Module!$I$7*X39*Module!$I$5</f>
        <v>83.548944666823914</v>
      </c>
      <c r="AX39" s="151">
        <f t="shared" si="9"/>
        <v>1000000</v>
      </c>
      <c r="AZ39" s="101">
        <f t="shared" si="10"/>
        <v>0</v>
      </c>
      <c r="BA39" s="101">
        <f>10+Module!$K$57/($AB$1+1)</f>
        <v>71.82879561327222</v>
      </c>
      <c r="BB39" s="101">
        <f>$AB$1*(25+Module!$I$6)</f>
        <v>151.5</v>
      </c>
      <c r="BC39" s="101">
        <f>(BA39*($AB$1+1)*0.002488974)/($AB$1+1)*Module!$I$5*Module!$I$7</f>
        <v>55.150770979977231</v>
      </c>
      <c r="BD39" s="101">
        <f>$P$120*Module!$I$7*X39*Module!$I$5</f>
        <v>83.548944666823914</v>
      </c>
      <c r="BE39" s="151">
        <f t="shared" si="11"/>
        <v>1000000</v>
      </c>
      <c r="BG39" s="101">
        <f t="shared" si="12"/>
        <v>0</v>
      </c>
      <c r="BH39" s="101">
        <f>10+Module!$K$57/($AC$1+1)</f>
        <v>59.463036490617775</v>
      </c>
      <c r="BI39" s="101">
        <f>$AC$1*(25+Module!$I$6)</f>
        <v>202</v>
      </c>
      <c r="BJ39" s="101">
        <f>(BH39*($AC$1+1)*0.002488974)/($AC$1+1)*Module!$I$5*Module!$I$7</f>
        <v>45.656234094813776</v>
      </c>
      <c r="BK39" s="101">
        <f>$P$120*Module!$I$7*X39*Module!$I$5</f>
        <v>83.548944666823914</v>
      </c>
      <c r="BL39" s="151">
        <f t="shared" si="13"/>
        <v>1000000</v>
      </c>
    </row>
    <row r="40" spans="1:64" ht="13.5" hidden="1" customHeight="1" thickBot="1">
      <c r="A40" s="101">
        <f t="shared" si="5"/>
        <v>40</v>
      </c>
      <c r="B40" s="100"/>
      <c r="C40" s="100"/>
      <c r="D40" s="100"/>
      <c r="E40" s="100"/>
      <c r="F40" s="100"/>
      <c r="I40" s="100"/>
      <c r="J40" s="100"/>
      <c r="K40" s="100"/>
      <c r="L40" s="100"/>
      <c r="M40" s="100"/>
      <c r="N40" s="100"/>
      <c r="O40" s="100"/>
      <c r="P40" s="100"/>
      <c r="Q40" s="100"/>
      <c r="R40" s="100"/>
      <c r="W40" s="780"/>
      <c r="X40" s="121">
        <f t="shared" si="14"/>
        <v>38</v>
      </c>
      <c r="Y40" s="122">
        <f>'calcul pneu pour calculateur'!P41</f>
        <v>95.728093014458437</v>
      </c>
      <c r="Z40" s="123">
        <f t="shared" si="16"/>
        <v>191.45618602891687</v>
      </c>
      <c r="AA40" s="123">
        <f t="shared" si="2"/>
        <v>287.18427904337534</v>
      </c>
      <c r="AB40" s="123">
        <f t="shared" si="3"/>
        <v>382.91237205783375</v>
      </c>
      <c r="AC40" s="123">
        <f t="shared" si="4"/>
        <v>478.64046507229216</v>
      </c>
      <c r="AK40" s="121">
        <f t="shared" si="15"/>
        <v>38</v>
      </c>
      <c r="AL40" s="101">
        <f t="shared" si="6"/>
        <v>0</v>
      </c>
      <c r="AM40" s="101">
        <f>10+Module!$K$57/($Z$1+1)</f>
        <v>133.65759122654444</v>
      </c>
      <c r="AN40" s="101">
        <f>$Z$1*(25+Module!$I$6)</f>
        <v>50.5</v>
      </c>
      <c r="AO40" s="101">
        <f>(AM40*($Z$1+1)*0.002488974)/($Z$1+1)*Module!$I$5*Module!$I$7</f>
        <v>102.62345540579445</v>
      </c>
      <c r="AP40" s="101">
        <f>$P$120*Module!$I$7*X40*Module!$I$5</f>
        <v>85.807024252413754</v>
      </c>
      <c r="AQ40" s="151">
        <f t="shared" si="7"/>
        <v>1000000</v>
      </c>
      <c r="AS40" s="101">
        <f t="shared" si="8"/>
        <v>0</v>
      </c>
      <c r="AT40" s="101">
        <f>10+Module!$K$57/($AA$1+1)</f>
        <v>92.438394151029627</v>
      </c>
      <c r="AU40" s="101">
        <f>$AA$1*(25+Module!$I$6)</f>
        <v>101</v>
      </c>
      <c r="AV40" s="101">
        <f>(AT40*($Z$1+1)*0.002488974)/($Z$1+1)*Module!$I$5*Module!$I$7</f>
        <v>70.974999121916298</v>
      </c>
      <c r="AW40" s="101">
        <f>$P$120*Module!$I$7*X40*Module!$I$5</f>
        <v>85.807024252413754</v>
      </c>
      <c r="AX40" s="151">
        <f t="shared" si="9"/>
        <v>1000000</v>
      </c>
      <c r="AZ40" s="101">
        <f t="shared" si="10"/>
        <v>0</v>
      </c>
      <c r="BA40" s="101">
        <f>10+Module!$K$57/($AB$1+1)</f>
        <v>71.82879561327222</v>
      </c>
      <c r="BB40" s="101">
        <f>$AB$1*(25+Module!$I$6)</f>
        <v>151.5</v>
      </c>
      <c r="BC40" s="101">
        <f>(BA40*($AB$1+1)*0.002488974)/($AB$1+1)*Module!$I$5*Module!$I$7</f>
        <v>55.150770979977231</v>
      </c>
      <c r="BD40" s="101">
        <f>$P$120*Module!$I$7*X40*Module!$I$5</f>
        <v>85.807024252413754</v>
      </c>
      <c r="BE40" s="151">
        <f t="shared" si="11"/>
        <v>1000000</v>
      </c>
      <c r="BG40" s="101">
        <f t="shared" si="12"/>
        <v>0</v>
      </c>
      <c r="BH40" s="101">
        <f>10+Module!$K$57/($AC$1+1)</f>
        <v>59.463036490617775</v>
      </c>
      <c r="BI40" s="101">
        <f>$AC$1*(25+Module!$I$6)</f>
        <v>202</v>
      </c>
      <c r="BJ40" s="101">
        <f>(BH40*($AC$1+1)*0.002488974)/($AC$1+1)*Module!$I$5*Module!$I$7</f>
        <v>45.656234094813776</v>
      </c>
      <c r="BK40" s="101">
        <f>$P$120*Module!$I$7*X40*Module!$I$5</f>
        <v>85.807024252413754</v>
      </c>
      <c r="BL40" s="151">
        <f t="shared" si="13"/>
        <v>1000000</v>
      </c>
    </row>
    <row r="41" spans="1:64" ht="13.5" hidden="1" customHeight="1" thickBot="1">
      <c r="A41" s="101">
        <f t="shared" si="5"/>
        <v>41</v>
      </c>
      <c r="B41" s="100"/>
      <c r="C41" s="100"/>
      <c r="D41" s="100"/>
      <c r="E41" s="100"/>
      <c r="F41" s="100"/>
      <c r="I41" s="100"/>
      <c r="J41" s="100"/>
      <c r="K41" s="100"/>
      <c r="L41" s="100"/>
      <c r="M41" s="100"/>
      <c r="N41" s="100"/>
      <c r="O41" s="100"/>
      <c r="P41" s="100"/>
      <c r="Q41" s="100"/>
      <c r="R41" s="100"/>
      <c r="W41" s="780"/>
      <c r="X41" s="121">
        <f t="shared" si="14"/>
        <v>39</v>
      </c>
      <c r="Y41" s="122">
        <f>'calcul pneu pour calculateur'!P42</f>
        <v>95.497089803117248</v>
      </c>
      <c r="Z41" s="123">
        <f t="shared" si="16"/>
        <v>190.9941796062345</v>
      </c>
      <c r="AA41" s="123">
        <f t="shared" si="2"/>
        <v>286.49126940935173</v>
      </c>
      <c r="AB41" s="123">
        <f t="shared" si="3"/>
        <v>381.98835921246899</v>
      </c>
      <c r="AC41" s="123">
        <f t="shared" si="4"/>
        <v>477.48544901558625</v>
      </c>
      <c r="AK41" s="121">
        <f t="shared" si="15"/>
        <v>39</v>
      </c>
      <c r="AL41" s="101">
        <f t="shared" si="6"/>
        <v>0</v>
      </c>
      <c r="AM41" s="101">
        <f>10+Module!$K$57/($Z$1+1)</f>
        <v>133.65759122654444</v>
      </c>
      <c r="AN41" s="101">
        <f>$Z$1*(25+Module!$I$6)</f>
        <v>50.5</v>
      </c>
      <c r="AO41" s="101">
        <f>(AM41*($Z$1+1)*0.002488974)/($Z$1+1)*Module!$I$5*Module!$I$7</f>
        <v>102.62345540579445</v>
      </c>
      <c r="AP41" s="101">
        <f>$P$120*Module!$I$7*X41*Module!$I$5</f>
        <v>88.06510383800358</v>
      </c>
      <c r="AQ41" s="151">
        <f t="shared" si="7"/>
        <v>1000000</v>
      </c>
      <c r="AS41" s="101">
        <f t="shared" si="8"/>
        <v>0</v>
      </c>
      <c r="AT41" s="101">
        <f>10+Module!$K$57/($AA$1+1)</f>
        <v>92.438394151029627</v>
      </c>
      <c r="AU41" s="101">
        <f>$AA$1*(25+Module!$I$6)</f>
        <v>101</v>
      </c>
      <c r="AV41" s="101">
        <f>(AT41*($Z$1+1)*0.002488974)/($Z$1+1)*Module!$I$5*Module!$I$7</f>
        <v>70.974999121916298</v>
      </c>
      <c r="AW41" s="101">
        <f>$P$120*Module!$I$7*X41*Module!$I$5</f>
        <v>88.06510383800358</v>
      </c>
      <c r="AX41" s="151">
        <f t="shared" si="9"/>
        <v>1000000</v>
      </c>
      <c r="AZ41" s="101">
        <f t="shared" si="10"/>
        <v>0</v>
      </c>
      <c r="BA41" s="101">
        <f>10+Module!$K$57/($AB$1+1)</f>
        <v>71.82879561327222</v>
      </c>
      <c r="BB41" s="101">
        <f>$AB$1*(25+Module!$I$6)</f>
        <v>151.5</v>
      </c>
      <c r="BC41" s="101">
        <f>(BA41*($AB$1+1)*0.002488974)/($AB$1+1)*Module!$I$5*Module!$I$7</f>
        <v>55.150770979977231</v>
      </c>
      <c r="BD41" s="101">
        <f>$P$120*Module!$I$7*X41*Module!$I$5</f>
        <v>88.06510383800358</v>
      </c>
      <c r="BE41" s="151">
        <f t="shared" si="11"/>
        <v>1000000</v>
      </c>
      <c r="BG41" s="101">
        <f t="shared" si="12"/>
        <v>0</v>
      </c>
      <c r="BH41" s="101">
        <f>10+Module!$K$57/($AC$1+1)</f>
        <v>59.463036490617775</v>
      </c>
      <c r="BI41" s="101">
        <f>$AC$1*(25+Module!$I$6)</f>
        <v>202</v>
      </c>
      <c r="BJ41" s="101">
        <f>(BH41*($AC$1+1)*0.002488974)/($AC$1+1)*Module!$I$5*Module!$I$7</f>
        <v>45.656234094813776</v>
      </c>
      <c r="BK41" s="101">
        <f>$P$120*Module!$I$7*X41*Module!$I$5</f>
        <v>88.06510383800358</v>
      </c>
      <c r="BL41" s="151">
        <f t="shared" si="13"/>
        <v>1000000</v>
      </c>
    </row>
    <row r="42" spans="1:64" ht="13.5" hidden="1" customHeight="1" thickBot="1">
      <c r="A42" s="101">
        <f t="shared" si="5"/>
        <v>42</v>
      </c>
      <c r="B42" s="100"/>
      <c r="C42" s="100"/>
      <c r="D42" s="100"/>
      <c r="E42" s="100"/>
      <c r="F42" s="100"/>
      <c r="I42" s="100"/>
      <c r="J42" s="100"/>
      <c r="K42" s="100"/>
      <c r="L42" s="100"/>
      <c r="M42" s="100"/>
      <c r="N42" s="100"/>
      <c r="O42" s="100"/>
      <c r="P42" s="100"/>
      <c r="Q42" s="100"/>
      <c r="R42" s="100"/>
      <c r="W42" s="780"/>
      <c r="X42" s="121">
        <f t="shared" si="14"/>
        <v>40</v>
      </c>
      <c r="Y42" s="122">
        <f>'calcul pneu pour calculateur'!P43</f>
        <v>95.266086591776073</v>
      </c>
      <c r="Z42" s="123">
        <f t="shared" si="16"/>
        <v>190.53217318355215</v>
      </c>
      <c r="AA42" s="123">
        <f t="shared" si="2"/>
        <v>285.79825977532823</v>
      </c>
      <c r="AB42" s="123">
        <f t="shared" si="3"/>
        <v>381.06434636710429</v>
      </c>
      <c r="AC42" s="123">
        <f t="shared" si="4"/>
        <v>476.33043295888035</v>
      </c>
      <c r="AK42" s="121">
        <f t="shared" si="15"/>
        <v>40</v>
      </c>
      <c r="AL42" s="101">
        <f t="shared" si="6"/>
        <v>0</v>
      </c>
      <c r="AM42" s="101">
        <f>10+Module!$K$57/($Z$1+1)</f>
        <v>133.65759122654444</v>
      </c>
      <c r="AN42" s="101">
        <f>$Z$1*(25+Module!$I$6)</f>
        <v>50.5</v>
      </c>
      <c r="AO42" s="101">
        <f>(AM42*($Z$1+1)*0.002488974)/($Z$1+1)*Module!$I$5*Module!$I$7</f>
        <v>102.62345540579445</v>
      </c>
      <c r="AP42" s="101">
        <f>$P$120*Module!$I$7*X42*Module!$I$5</f>
        <v>90.32318342359342</v>
      </c>
      <c r="AQ42" s="151">
        <f t="shared" si="7"/>
        <v>1000000</v>
      </c>
      <c r="AS42" s="101">
        <f t="shared" si="8"/>
        <v>0</v>
      </c>
      <c r="AT42" s="101">
        <f>10+Module!$K$57/($AA$1+1)</f>
        <v>92.438394151029627</v>
      </c>
      <c r="AU42" s="101">
        <f>$AA$1*(25+Module!$I$6)</f>
        <v>101</v>
      </c>
      <c r="AV42" s="101">
        <f>(AT42*($Z$1+1)*0.002488974)/($Z$1+1)*Module!$I$5*Module!$I$7</f>
        <v>70.974999121916298</v>
      </c>
      <c r="AW42" s="101">
        <f>$P$120*Module!$I$7*X42*Module!$I$5</f>
        <v>90.32318342359342</v>
      </c>
      <c r="AX42" s="151">
        <f t="shared" si="9"/>
        <v>1000000</v>
      </c>
      <c r="AZ42" s="101">
        <f t="shared" si="10"/>
        <v>0</v>
      </c>
      <c r="BA42" s="101">
        <f>10+Module!$K$57/($AB$1+1)</f>
        <v>71.82879561327222</v>
      </c>
      <c r="BB42" s="101">
        <f>$AB$1*(25+Module!$I$6)</f>
        <v>151.5</v>
      </c>
      <c r="BC42" s="101">
        <f>(BA42*($AB$1+1)*0.002488974)/($AB$1+1)*Module!$I$5*Module!$I$7</f>
        <v>55.150770979977231</v>
      </c>
      <c r="BD42" s="101">
        <f>$P$120*Module!$I$7*X42*Module!$I$5</f>
        <v>90.32318342359342</v>
      </c>
      <c r="BE42" s="151">
        <f t="shared" si="11"/>
        <v>1000000</v>
      </c>
      <c r="BG42" s="101">
        <f t="shared" si="12"/>
        <v>0</v>
      </c>
      <c r="BH42" s="101">
        <f>10+Module!$K$57/($AC$1+1)</f>
        <v>59.463036490617775</v>
      </c>
      <c r="BI42" s="101">
        <f>$AC$1*(25+Module!$I$6)</f>
        <v>202</v>
      </c>
      <c r="BJ42" s="101">
        <f>(BH42*($AC$1+1)*0.002488974)/($AC$1+1)*Module!$I$5*Module!$I$7</f>
        <v>45.656234094813776</v>
      </c>
      <c r="BK42" s="101">
        <f>$P$120*Module!$I$7*X42*Module!$I$5</f>
        <v>90.32318342359342</v>
      </c>
      <c r="BL42" s="151">
        <f t="shared" si="13"/>
        <v>1000000</v>
      </c>
    </row>
    <row r="43" spans="1:64" ht="13.5" hidden="1" customHeight="1" thickBot="1">
      <c r="A43" s="101">
        <f t="shared" si="5"/>
        <v>43</v>
      </c>
      <c r="B43" s="100"/>
      <c r="C43" s="100"/>
      <c r="D43" s="100"/>
      <c r="E43" s="100"/>
      <c r="F43" s="100"/>
      <c r="I43" s="100"/>
      <c r="J43" s="100"/>
      <c r="K43" s="100"/>
      <c r="L43" s="100"/>
      <c r="M43" s="100"/>
      <c r="N43" s="100"/>
      <c r="O43" s="100"/>
      <c r="P43" s="100"/>
      <c r="Q43" s="100"/>
      <c r="R43" s="100"/>
      <c r="W43" s="780"/>
      <c r="X43" s="121">
        <f t="shared" si="14"/>
        <v>41</v>
      </c>
      <c r="Y43" s="122">
        <f>'calcul pneu pour calculateur'!P44</f>
        <v>95.035083380434884</v>
      </c>
      <c r="Z43" s="123">
        <f t="shared" si="16"/>
        <v>190.07016676086977</v>
      </c>
      <c r="AA43" s="123">
        <f t="shared" si="2"/>
        <v>285.10525014130462</v>
      </c>
      <c r="AB43" s="123">
        <f t="shared" si="3"/>
        <v>380.14033352173954</v>
      </c>
      <c r="AC43" s="123">
        <f t="shared" si="4"/>
        <v>475.17541690217445</v>
      </c>
      <c r="AK43" s="121">
        <f t="shared" si="15"/>
        <v>41</v>
      </c>
      <c r="AL43" s="101">
        <f t="shared" si="6"/>
        <v>0</v>
      </c>
      <c r="AM43" s="101">
        <f>10+Module!$K$57/($Z$1+1)</f>
        <v>133.65759122654444</v>
      </c>
      <c r="AN43" s="101">
        <f>$Z$1*(25+Module!$I$6)</f>
        <v>50.5</v>
      </c>
      <c r="AO43" s="101">
        <f>(AM43*($Z$1+1)*0.002488974)/($Z$1+1)*Module!$I$5*Module!$I$7</f>
        <v>102.62345540579445</v>
      </c>
      <c r="AP43" s="101">
        <f>$P$120*Module!$I$7*X43*Module!$I$5</f>
        <v>92.581263009183246</v>
      </c>
      <c r="AQ43" s="151">
        <f t="shared" si="7"/>
        <v>1000000</v>
      </c>
      <c r="AS43" s="101">
        <f t="shared" si="8"/>
        <v>0</v>
      </c>
      <c r="AT43" s="101">
        <f>10+Module!$K$57/($AA$1+1)</f>
        <v>92.438394151029627</v>
      </c>
      <c r="AU43" s="101">
        <f>$AA$1*(25+Module!$I$6)</f>
        <v>101</v>
      </c>
      <c r="AV43" s="101">
        <f>(AT43*($Z$1+1)*0.002488974)/($Z$1+1)*Module!$I$5*Module!$I$7</f>
        <v>70.974999121916298</v>
      </c>
      <c r="AW43" s="101">
        <f>$P$120*Module!$I$7*X43*Module!$I$5</f>
        <v>92.581263009183246</v>
      </c>
      <c r="AX43" s="151">
        <f t="shared" si="9"/>
        <v>1000000</v>
      </c>
      <c r="AZ43" s="101">
        <f t="shared" si="10"/>
        <v>0</v>
      </c>
      <c r="BA43" s="101">
        <f>10+Module!$K$57/($AB$1+1)</f>
        <v>71.82879561327222</v>
      </c>
      <c r="BB43" s="101">
        <f>$AB$1*(25+Module!$I$6)</f>
        <v>151.5</v>
      </c>
      <c r="BC43" s="101">
        <f>(BA43*($AB$1+1)*0.002488974)/($AB$1+1)*Module!$I$5*Module!$I$7</f>
        <v>55.150770979977231</v>
      </c>
      <c r="BD43" s="101">
        <f>$P$120*Module!$I$7*X43*Module!$I$5</f>
        <v>92.581263009183246</v>
      </c>
      <c r="BE43" s="151">
        <f t="shared" si="11"/>
        <v>1000000</v>
      </c>
      <c r="BG43" s="101">
        <f t="shared" si="12"/>
        <v>0</v>
      </c>
      <c r="BH43" s="101">
        <f>10+Module!$K$57/($AC$1+1)</f>
        <v>59.463036490617775</v>
      </c>
      <c r="BI43" s="101">
        <f>$AC$1*(25+Module!$I$6)</f>
        <v>202</v>
      </c>
      <c r="BJ43" s="101">
        <f>(BH43*($AC$1+1)*0.002488974)/($AC$1+1)*Module!$I$5*Module!$I$7</f>
        <v>45.656234094813776</v>
      </c>
      <c r="BK43" s="101">
        <f>$P$120*Module!$I$7*X43*Module!$I$5</f>
        <v>92.581263009183246</v>
      </c>
      <c r="BL43" s="151">
        <f t="shared" si="13"/>
        <v>1000000</v>
      </c>
    </row>
    <row r="44" spans="1:64" ht="13.5" hidden="1" customHeight="1" thickBot="1">
      <c r="A44" s="101">
        <f t="shared" si="5"/>
        <v>44</v>
      </c>
      <c r="B44" s="100"/>
      <c r="C44" s="100"/>
      <c r="D44" s="100"/>
      <c r="E44" s="100"/>
      <c r="F44" s="100"/>
      <c r="I44" s="100"/>
      <c r="J44" s="100"/>
      <c r="K44" s="100"/>
      <c r="L44" s="100"/>
      <c r="M44" s="100"/>
      <c r="N44" s="100"/>
      <c r="O44" s="100"/>
      <c r="P44" s="100"/>
      <c r="Q44" s="100"/>
      <c r="R44" s="100"/>
      <c r="W44" s="780"/>
      <c r="X44" s="121">
        <f t="shared" si="14"/>
        <v>42</v>
      </c>
      <c r="Y44" s="122">
        <f>'calcul pneu pour calculateur'!P45</f>
        <v>94.804080169093709</v>
      </c>
      <c r="Z44" s="123">
        <f t="shared" si="16"/>
        <v>189.60816033818742</v>
      </c>
      <c r="AA44" s="123">
        <f t="shared" si="2"/>
        <v>284.41224050728113</v>
      </c>
      <c r="AB44" s="123">
        <f t="shared" si="3"/>
        <v>379.21632067637483</v>
      </c>
      <c r="AC44" s="123">
        <f t="shared" si="4"/>
        <v>474.02040084546854</v>
      </c>
      <c r="AD44" s="123"/>
      <c r="AK44" s="121">
        <f t="shared" si="15"/>
        <v>42</v>
      </c>
      <c r="AL44" s="101">
        <f t="shared" si="6"/>
        <v>0</v>
      </c>
      <c r="AM44" s="101">
        <f>10+Module!$K$57/($Z$1+1)</f>
        <v>133.65759122654444</v>
      </c>
      <c r="AN44" s="101">
        <f>$Z$1*(25+Module!$I$6)</f>
        <v>50.5</v>
      </c>
      <c r="AO44" s="101">
        <f>(AM44*($Z$1+1)*0.002488974)/($Z$1+1)*Module!$I$5*Module!$I$7</f>
        <v>102.62345540579445</v>
      </c>
      <c r="AP44" s="101">
        <f>$P$120*Module!$I$7*X44*Module!$I$5</f>
        <v>94.8393425947731</v>
      </c>
      <c r="AQ44" s="151">
        <f t="shared" si="7"/>
        <v>1000000</v>
      </c>
      <c r="AS44" s="101">
        <f t="shared" si="8"/>
        <v>0</v>
      </c>
      <c r="AT44" s="101">
        <f>10+Module!$K$57/($AA$1+1)</f>
        <v>92.438394151029627</v>
      </c>
      <c r="AU44" s="101">
        <f>$AA$1*(25+Module!$I$6)</f>
        <v>101</v>
      </c>
      <c r="AV44" s="101">
        <f>(AT44*($Z$1+1)*0.002488974)/($Z$1+1)*Module!$I$5*Module!$I$7</f>
        <v>70.974999121916298</v>
      </c>
      <c r="AW44" s="101">
        <f>$P$120*Module!$I$7*X44*Module!$I$5</f>
        <v>94.8393425947731</v>
      </c>
      <c r="AX44" s="151">
        <f t="shared" si="9"/>
        <v>1000000</v>
      </c>
      <c r="AZ44" s="101">
        <f t="shared" si="10"/>
        <v>0</v>
      </c>
      <c r="BA44" s="101">
        <f>10+Module!$K$57/($AB$1+1)</f>
        <v>71.82879561327222</v>
      </c>
      <c r="BB44" s="101">
        <f>$AB$1*(25+Module!$I$6)</f>
        <v>151.5</v>
      </c>
      <c r="BC44" s="101">
        <f>(BA44*($AB$1+1)*0.002488974)/($AB$1+1)*Module!$I$5*Module!$I$7</f>
        <v>55.150770979977231</v>
      </c>
      <c r="BD44" s="101">
        <f>$P$120*Module!$I$7*X44*Module!$I$5</f>
        <v>94.8393425947731</v>
      </c>
      <c r="BE44" s="151">
        <f t="shared" si="11"/>
        <v>1000000</v>
      </c>
      <c r="BG44" s="101">
        <f t="shared" si="12"/>
        <v>0</v>
      </c>
      <c r="BH44" s="101">
        <f>10+Module!$K$57/($AC$1+1)</f>
        <v>59.463036490617775</v>
      </c>
      <c r="BI44" s="101">
        <f>$AC$1*(25+Module!$I$6)</f>
        <v>202</v>
      </c>
      <c r="BJ44" s="101">
        <f>(BH44*($AC$1+1)*0.002488974)/($AC$1+1)*Module!$I$5*Module!$I$7</f>
        <v>45.656234094813776</v>
      </c>
      <c r="BK44" s="101">
        <f>$P$120*Module!$I$7*X44*Module!$I$5</f>
        <v>94.8393425947731</v>
      </c>
      <c r="BL44" s="151">
        <f t="shared" si="13"/>
        <v>1000000</v>
      </c>
    </row>
    <row r="45" spans="1:64" ht="15.75" hidden="1" customHeight="1" thickBot="1">
      <c r="A45" s="101">
        <f t="shared" si="5"/>
        <v>45</v>
      </c>
      <c r="B45" s="100"/>
      <c r="C45" s="100"/>
      <c r="D45" s="100"/>
      <c r="E45" s="100"/>
      <c r="F45" s="100"/>
      <c r="I45" s="100"/>
      <c r="J45" s="100"/>
      <c r="K45" s="100"/>
      <c r="L45" s="100"/>
      <c r="M45" s="100"/>
      <c r="N45" s="100"/>
      <c r="O45" s="100"/>
      <c r="P45" s="100"/>
      <c r="Q45" s="100"/>
      <c r="R45" s="100"/>
      <c r="W45" s="780"/>
      <c r="X45" s="121">
        <f t="shared" si="14"/>
        <v>43</v>
      </c>
      <c r="Y45" s="122">
        <f>'calcul pneu pour calculateur'!P46</f>
        <v>94.573076957752519</v>
      </c>
      <c r="Z45" s="123">
        <f t="shared" si="16"/>
        <v>189.14615391550504</v>
      </c>
      <c r="AA45" s="123">
        <f t="shared" si="2"/>
        <v>283.71923087325757</v>
      </c>
      <c r="AB45" s="123">
        <f t="shared" si="3"/>
        <v>378.29230783101008</v>
      </c>
      <c r="AC45" s="123">
        <f t="shared" si="4"/>
        <v>472.86538478876258</v>
      </c>
      <c r="AD45" s="123"/>
      <c r="AK45" s="121">
        <f t="shared" si="15"/>
        <v>43</v>
      </c>
      <c r="AL45" s="101">
        <f t="shared" si="6"/>
        <v>0</v>
      </c>
      <c r="AM45" s="101">
        <f>10+Module!$K$57/($Z$1+1)</f>
        <v>133.65759122654444</v>
      </c>
      <c r="AN45" s="101">
        <f>$Z$1*(25+Module!$I$6)</f>
        <v>50.5</v>
      </c>
      <c r="AO45" s="101">
        <f>(AM45*($Z$1+1)*0.002488974)/($Z$1+1)*Module!$I$5*Module!$I$7</f>
        <v>102.62345540579445</v>
      </c>
      <c r="AP45" s="101">
        <f>$P$120*Module!$I$7*X45*Module!$I$5</f>
        <v>97.097422180362926</v>
      </c>
      <c r="AQ45" s="151">
        <f t="shared" si="7"/>
        <v>1000000</v>
      </c>
      <c r="AS45" s="101">
        <f t="shared" si="8"/>
        <v>0</v>
      </c>
      <c r="AT45" s="101">
        <f>10+Module!$K$57/($AA$1+1)</f>
        <v>92.438394151029627</v>
      </c>
      <c r="AU45" s="101">
        <f>$AA$1*(25+Module!$I$6)</f>
        <v>101</v>
      </c>
      <c r="AV45" s="101">
        <f>(AT45*($Z$1+1)*0.002488974)/($Z$1+1)*Module!$I$5*Module!$I$7</f>
        <v>70.974999121916298</v>
      </c>
      <c r="AW45" s="101">
        <f>$P$120*Module!$I$7*X45*Module!$I$5</f>
        <v>97.097422180362926</v>
      </c>
      <c r="AX45" s="151">
        <f t="shared" si="9"/>
        <v>1000000</v>
      </c>
      <c r="AZ45" s="101">
        <f t="shared" si="10"/>
        <v>0</v>
      </c>
      <c r="BA45" s="101">
        <f>10+Module!$K$57/($AB$1+1)</f>
        <v>71.82879561327222</v>
      </c>
      <c r="BB45" s="101">
        <f>$AB$1*(25+Module!$I$6)</f>
        <v>151.5</v>
      </c>
      <c r="BC45" s="101">
        <f>(BA45*($AB$1+1)*0.002488974)/($AB$1+1)*Module!$I$5*Module!$I$7</f>
        <v>55.150770979977231</v>
      </c>
      <c r="BD45" s="101">
        <f>$P$120*Module!$I$7*X45*Module!$I$5</f>
        <v>97.097422180362926</v>
      </c>
      <c r="BE45" s="151">
        <f t="shared" si="11"/>
        <v>1000000</v>
      </c>
      <c r="BG45" s="101">
        <f t="shared" si="12"/>
        <v>0</v>
      </c>
      <c r="BH45" s="101">
        <f>10+Module!$K$57/($AC$1+1)</f>
        <v>59.463036490617775</v>
      </c>
      <c r="BI45" s="101">
        <f>$AC$1*(25+Module!$I$6)</f>
        <v>202</v>
      </c>
      <c r="BJ45" s="101">
        <f>(BH45*($AC$1+1)*0.002488974)/($AC$1+1)*Module!$I$5*Module!$I$7</f>
        <v>45.656234094813776</v>
      </c>
      <c r="BK45" s="101">
        <f>$P$120*Module!$I$7*X45*Module!$I$5</f>
        <v>97.097422180362926</v>
      </c>
      <c r="BL45" s="151">
        <f t="shared" si="13"/>
        <v>1000000</v>
      </c>
    </row>
    <row r="46" spans="1:64" ht="15" hidden="1" customHeight="1" thickBot="1">
      <c r="A46" s="101">
        <f t="shared" si="5"/>
        <v>46</v>
      </c>
      <c r="B46" s="100"/>
      <c r="C46" s="100"/>
      <c r="D46" s="100"/>
      <c r="E46" s="100"/>
      <c r="F46" s="100"/>
      <c r="I46" s="100"/>
      <c r="J46" s="100"/>
      <c r="K46" s="100"/>
      <c r="L46" s="100"/>
      <c r="M46" s="100"/>
      <c r="N46" s="100"/>
      <c r="O46" s="100"/>
      <c r="P46" s="100"/>
      <c r="Q46" s="100"/>
      <c r="R46" s="100"/>
      <c r="W46" s="780"/>
      <c r="X46" s="121">
        <f t="shared" si="14"/>
        <v>44</v>
      </c>
      <c r="Y46" s="122">
        <f>'calcul pneu pour calculateur'!P47</f>
        <v>94.342073746411344</v>
      </c>
      <c r="Z46" s="123">
        <f t="shared" si="16"/>
        <v>188.68414749282269</v>
      </c>
      <c r="AA46" s="123">
        <f t="shared" si="2"/>
        <v>283.02622123923402</v>
      </c>
      <c r="AB46" s="123">
        <f t="shared" si="3"/>
        <v>377.36829498564538</v>
      </c>
      <c r="AC46" s="123">
        <f t="shared" si="4"/>
        <v>471.71036873205674</v>
      </c>
      <c r="AD46" s="123"/>
      <c r="AK46" s="121">
        <f t="shared" si="15"/>
        <v>44</v>
      </c>
      <c r="AL46" s="101">
        <f t="shared" si="6"/>
        <v>0</v>
      </c>
      <c r="AM46" s="101">
        <f>10+Module!$K$57/($Z$1+1)</f>
        <v>133.65759122654444</v>
      </c>
      <c r="AN46" s="101">
        <f>$Z$1*(25+Module!$I$6)</f>
        <v>50.5</v>
      </c>
      <c r="AO46" s="101">
        <f>(AM46*($Z$1+1)*0.002488974)/($Z$1+1)*Module!$I$5*Module!$I$7</f>
        <v>102.62345540579445</v>
      </c>
      <c r="AP46" s="101">
        <f>$P$120*Module!$I$7*X46*Module!$I$5</f>
        <v>99.355501765952766</v>
      </c>
      <c r="AQ46" s="151">
        <f t="shared" si="7"/>
        <v>1000000</v>
      </c>
      <c r="AS46" s="101">
        <f t="shared" si="8"/>
        <v>0</v>
      </c>
      <c r="AT46" s="101">
        <f>10+Module!$K$57/($AA$1+1)</f>
        <v>92.438394151029627</v>
      </c>
      <c r="AU46" s="101">
        <f>$AA$1*(25+Module!$I$6)</f>
        <v>101</v>
      </c>
      <c r="AV46" s="101">
        <f>(AT46*($Z$1+1)*0.002488974)/($Z$1+1)*Module!$I$5*Module!$I$7</f>
        <v>70.974999121916298</v>
      </c>
      <c r="AW46" s="101">
        <f>$P$120*Module!$I$7*X46*Module!$I$5</f>
        <v>99.355501765952766</v>
      </c>
      <c r="AX46" s="151">
        <f t="shared" si="9"/>
        <v>1000000</v>
      </c>
      <c r="AZ46" s="101">
        <f t="shared" si="10"/>
        <v>0</v>
      </c>
      <c r="BA46" s="101">
        <f>10+Module!$K$57/($AB$1+1)</f>
        <v>71.82879561327222</v>
      </c>
      <c r="BB46" s="101">
        <f>$AB$1*(25+Module!$I$6)</f>
        <v>151.5</v>
      </c>
      <c r="BC46" s="101">
        <f>(BA46*($AB$1+1)*0.002488974)/($AB$1+1)*Module!$I$5*Module!$I$7</f>
        <v>55.150770979977231</v>
      </c>
      <c r="BD46" s="101">
        <f>$P$120*Module!$I$7*X46*Module!$I$5</f>
        <v>99.355501765952766</v>
      </c>
      <c r="BE46" s="151">
        <f t="shared" si="11"/>
        <v>1000000</v>
      </c>
      <c r="BG46" s="101">
        <f t="shared" si="12"/>
        <v>0</v>
      </c>
      <c r="BH46" s="101">
        <f>10+Module!$K$57/($AC$1+1)</f>
        <v>59.463036490617775</v>
      </c>
      <c r="BI46" s="101">
        <f>$AC$1*(25+Module!$I$6)</f>
        <v>202</v>
      </c>
      <c r="BJ46" s="101">
        <f>(BH46*($AC$1+1)*0.002488974)/($AC$1+1)*Module!$I$5*Module!$I$7</f>
        <v>45.656234094813776</v>
      </c>
      <c r="BK46" s="101">
        <f>$P$120*Module!$I$7*X46*Module!$I$5</f>
        <v>99.355501765952766</v>
      </c>
      <c r="BL46" s="151">
        <f t="shared" si="13"/>
        <v>1000000</v>
      </c>
    </row>
    <row r="47" spans="1:64" ht="15" hidden="1" customHeight="1" thickBot="1">
      <c r="A47" s="101">
        <f t="shared" si="5"/>
        <v>47</v>
      </c>
      <c r="B47" s="100"/>
      <c r="C47" s="100"/>
      <c r="D47" s="100"/>
      <c r="E47" s="100"/>
      <c r="F47" s="100"/>
      <c r="I47" s="100"/>
      <c r="J47" s="100"/>
      <c r="K47" s="100"/>
      <c r="L47" s="100"/>
      <c r="M47" s="100"/>
      <c r="N47" s="100"/>
      <c r="O47" s="100"/>
      <c r="P47" s="100"/>
      <c r="Q47" s="100"/>
      <c r="R47" s="100"/>
      <c r="W47" s="780"/>
      <c r="X47" s="121">
        <f t="shared" si="14"/>
        <v>45</v>
      </c>
      <c r="Y47" s="122">
        <f>'calcul pneu pour calculateur'!P48</f>
        <v>94.111070535070155</v>
      </c>
      <c r="Z47" s="123">
        <f t="shared" si="16"/>
        <v>188.22214107014031</v>
      </c>
      <c r="AA47" s="123">
        <f t="shared" si="2"/>
        <v>282.33321160521047</v>
      </c>
      <c r="AB47" s="123">
        <f t="shared" si="3"/>
        <v>376.44428214028062</v>
      </c>
      <c r="AC47" s="123">
        <f t="shared" si="4"/>
        <v>470.55535267535078</v>
      </c>
      <c r="AD47" s="123"/>
      <c r="AK47" s="121">
        <f t="shared" si="15"/>
        <v>45</v>
      </c>
      <c r="AL47" s="101">
        <f t="shared" si="6"/>
        <v>0</v>
      </c>
      <c r="AM47" s="101">
        <f>10+Module!$K$57/($Z$1+1)</f>
        <v>133.65759122654444</v>
      </c>
      <c r="AN47" s="101">
        <f>$Z$1*(25+Module!$I$6)</f>
        <v>50.5</v>
      </c>
      <c r="AO47" s="101">
        <f>(AM47*($Z$1+1)*0.002488974)/($Z$1+1)*Module!$I$5*Module!$I$7</f>
        <v>102.62345540579445</v>
      </c>
      <c r="AP47" s="101">
        <f>$P$120*Module!$I$7*X47*Module!$I$5</f>
        <v>101.61358135154259</v>
      </c>
      <c r="AQ47" s="151">
        <f t="shared" si="7"/>
        <v>1000000</v>
      </c>
      <c r="AS47" s="101">
        <f t="shared" si="8"/>
        <v>0</v>
      </c>
      <c r="AT47" s="101">
        <f>10+Module!$K$57/($AA$1+1)</f>
        <v>92.438394151029627</v>
      </c>
      <c r="AU47" s="101">
        <f>$AA$1*(25+Module!$I$6)</f>
        <v>101</v>
      </c>
      <c r="AV47" s="101">
        <f>(AT47*($Z$1+1)*0.002488974)/($Z$1+1)*Module!$I$5*Module!$I$7</f>
        <v>70.974999121916298</v>
      </c>
      <c r="AW47" s="101">
        <f>$P$120*Module!$I$7*X47*Module!$I$5</f>
        <v>101.61358135154259</v>
      </c>
      <c r="AX47" s="151">
        <f t="shared" si="9"/>
        <v>1000000</v>
      </c>
      <c r="AZ47" s="101">
        <f t="shared" si="10"/>
        <v>0</v>
      </c>
      <c r="BA47" s="101">
        <f>10+Module!$K$57/($AB$1+1)</f>
        <v>71.82879561327222</v>
      </c>
      <c r="BB47" s="101">
        <f>$AB$1*(25+Module!$I$6)</f>
        <v>151.5</v>
      </c>
      <c r="BC47" s="101">
        <f>(BA47*($AB$1+1)*0.002488974)/($AB$1+1)*Module!$I$5*Module!$I$7</f>
        <v>55.150770979977231</v>
      </c>
      <c r="BD47" s="101">
        <f>$P$120*Module!$I$7*X47*Module!$I$5</f>
        <v>101.61358135154259</v>
      </c>
      <c r="BE47" s="151">
        <f t="shared" si="11"/>
        <v>1000000</v>
      </c>
      <c r="BG47" s="101">
        <f t="shared" si="12"/>
        <v>0</v>
      </c>
      <c r="BH47" s="101">
        <f>10+Module!$K$57/($AC$1+1)</f>
        <v>59.463036490617775</v>
      </c>
      <c r="BI47" s="101">
        <f>$AC$1*(25+Module!$I$6)</f>
        <v>202</v>
      </c>
      <c r="BJ47" s="101">
        <f>(BH47*($AC$1+1)*0.002488974)/($AC$1+1)*Module!$I$5*Module!$I$7</f>
        <v>45.656234094813776</v>
      </c>
      <c r="BK47" s="101">
        <f>$P$120*Module!$I$7*X47*Module!$I$5</f>
        <v>101.61358135154259</v>
      </c>
      <c r="BL47" s="151">
        <f t="shared" si="13"/>
        <v>1000000</v>
      </c>
    </row>
    <row r="48" spans="1:64" ht="15" hidden="1" customHeight="1" thickBot="1">
      <c r="A48" s="101">
        <f t="shared" si="5"/>
        <v>48</v>
      </c>
      <c r="B48" s="100"/>
      <c r="C48" s="100"/>
      <c r="D48" s="100"/>
      <c r="E48" s="100"/>
      <c r="F48" s="100"/>
      <c r="I48" s="100"/>
      <c r="J48" s="100"/>
      <c r="K48" s="100"/>
      <c r="L48" s="100"/>
      <c r="M48" s="100"/>
      <c r="N48" s="100"/>
      <c r="O48" s="100"/>
      <c r="P48" s="100"/>
      <c r="Q48" s="100"/>
      <c r="R48" s="100"/>
      <c r="W48" s="780"/>
      <c r="X48" s="121">
        <f t="shared" si="14"/>
        <v>46</v>
      </c>
      <c r="Y48" s="122">
        <f>'calcul pneu pour calculateur'!P49</f>
        <v>93.88006732372898</v>
      </c>
      <c r="Z48" s="123">
        <f t="shared" si="16"/>
        <v>187.76013464745796</v>
      </c>
      <c r="AA48" s="123">
        <f t="shared" si="2"/>
        <v>281.64020197118691</v>
      </c>
      <c r="AB48" s="123">
        <f t="shared" si="3"/>
        <v>375.52026929491592</v>
      </c>
      <c r="AC48" s="123">
        <f t="shared" si="4"/>
        <v>469.40033661864493</v>
      </c>
      <c r="AD48" s="123"/>
      <c r="AK48" s="121">
        <f t="shared" si="15"/>
        <v>46</v>
      </c>
      <c r="AL48" s="101">
        <f t="shared" si="6"/>
        <v>0</v>
      </c>
      <c r="AM48" s="101">
        <f>10+Module!$K$57/($Z$1+1)</f>
        <v>133.65759122654444</v>
      </c>
      <c r="AN48" s="101">
        <f>$Z$1*(25+Module!$I$6)</f>
        <v>50.5</v>
      </c>
      <c r="AO48" s="101">
        <f>(AM48*($Z$1+1)*0.002488974)/($Z$1+1)*Module!$I$5*Module!$I$7</f>
        <v>102.62345540579445</v>
      </c>
      <c r="AP48" s="101">
        <f>$P$120*Module!$I$7*X48*Module!$I$5</f>
        <v>103.87166093713243</v>
      </c>
      <c r="AQ48" s="151">
        <f t="shared" si="7"/>
        <v>1000000</v>
      </c>
      <c r="AS48" s="101">
        <f t="shared" si="8"/>
        <v>0</v>
      </c>
      <c r="AT48" s="101">
        <f>10+Module!$K$57/($AA$1+1)</f>
        <v>92.438394151029627</v>
      </c>
      <c r="AU48" s="101">
        <f>$AA$1*(25+Module!$I$6)</f>
        <v>101</v>
      </c>
      <c r="AV48" s="101">
        <f>(AT48*($Z$1+1)*0.002488974)/($Z$1+1)*Module!$I$5*Module!$I$7</f>
        <v>70.974999121916298</v>
      </c>
      <c r="AW48" s="101">
        <f>$P$120*Module!$I$7*X48*Module!$I$5</f>
        <v>103.87166093713243</v>
      </c>
      <c r="AX48" s="151">
        <f t="shared" si="9"/>
        <v>1000000</v>
      </c>
      <c r="AZ48" s="101">
        <f t="shared" si="10"/>
        <v>0</v>
      </c>
      <c r="BA48" s="101">
        <f>10+Module!$K$57/($AB$1+1)</f>
        <v>71.82879561327222</v>
      </c>
      <c r="BB48" s="101">
        <f>$AB$1*(25+Module!$I$6)</f>
        <v>151.5</v>
      </c>
      <c r="BC48" s="101">
        <f>(BA48*($AB$1+1)*0.002488974)/($AB$1+1)*Module!$I$5*Module!$I$7</f>
        <v>55.150770979977231</v>
      </c>
      <c r="BD48" s="101">
        <f>$P$120*Module!$I$7*X48*Module!$I$5</f>
        <v>103.87166093713243</v>
      </c>
      <c r="BE48" s="151">
        <f t="shared" si="11"/>
        <v>1000000</v>
      </c>
      <c r="BG48" s="101">
        <f t="shared" si="12"/>
        <v>0</v>
      </c>
      <c r="BH48" s="101">
        <f>10+Module!$K$57/($AC$1+1)</f>
        <v>59.463036490617775</v>
      </c>
      <c r="BI48" s="101">
        <f>$AC$1*(25+Module!$I$6)</f>
        <v>202</v>
      </c>
      <c r="BJ48" s="101">
        <f>(BH48*($AC$1+1)*0.002488974)/($AC$1+1)*Module!$I$5*Module!$I$7</f>
        <v>45.656234094813776</v>
      </c>
      <c r="BK48" s="101">
        <f>$P$120*Module!$I$7*X48*Module!$I$5</f>
        <v>103.87166093713243</v>
      </c>
      <c r="BL48" s="151">
        <f t="shared" si="13"/>
        <v>1000000</v>
      </c>
    </row>
    <row r="49" spans="1:64" ht="15.75" hidden="1" customHeight="1" thickBot="1">
      <c r="A49" s="101">
        <f t="shared" si="5"/>
        <v>49</v>
      </c>
      <c r="B49" s="100"/>
      <c r="C49" s="100"/>
      <c r="D49" s="100"/>
      <c r="E49" s="100"/>
      <c r="F49" s="100"/>
      <c r="I49" s="100"/>
      <c r="J49" s="100"/>
      <c r="K49" s="100"/>
      <c r="L49" s="100"/>
      <c r="M49" s="100"/>
      <c r="N49" s="100"/>
      <c r="O49" s="100"/>
      <c r="P49" s="100"/>
      <c r="Q49" s="100"/>
      <c r="R49" s="100"/>
      <c r="W49" s="780"/>
      <c r="X49" s="121">
        <f t="shared" si="14"/>
        <v>47</v>
      </c>
      <c r="Y49" s="122">
        <f>'calcul pneu pour calculateur'!P50</f>
        <v>93.649064112387791</v>
      </c>
      <c r="Z49" s="123">
        <f t="shared" si="16"/>
        <v>187.29812822477558</v>
      </c>
      <c r="AA49" s="123">
        <f t="shared" si="2"/>
        <v>280.94719233716336</v>
      </c>
      <c r="AB49" s="123">
        <f t="shared" si="3"/>
        <v>374.59625644955116</v>
      </c>
      <c r="AC49" s="123">
        <f t="shared" si="4"/>
        <v>468.24532056193897</v>
      </c>
      <c r="AD49" s="123"/>
      <c r="AK49" s="121">
        <f t="shared" si="15"/>
        <v>47</v>
      </c>
      <c r="AL49" s="101">
        <f t="shared" si="6"/>
        <v>0</v>
      </c>
      <c r="AM49" s="101">
        <f>10+Module!$K$57/($Z$1+1)</f>
        <v>133.65759122654444</v>
      </c>
      <c r="AN49" s="101">
        <f>$Z$1*(25+Module!$I$6)</f>
        <v>50.5</v>
      </c>
      <c r="AO49" s="101">
        <f>(AM49*($Z$1+1)*0.002488974)/($Z$1+1)*Module!$I$5*Module!$I$7</f>
        <v>102.62345540579445</v>
      </c>
      <c r="AP49" s="101">
        <f>$P$120*Module!$I$7*X49*Module!$I$5</f>
        <v>106.12974052272226</v>
      </c>
      <c r="AQ49" s="151">
        <f t="shared" si="7"/>
        <v>1000000</v>
      </c>
      <c r="AS49" s="101">
        <f t="shared" si="8"/>
        <v>0</v>
      </c>
      <c r="AT49" s="101">
        <f>10+Module!$K$57/($AA$1+1)</f>
        <v>92.438394151029627</v>
      </c>
      <c r="AU49" s="101">
        <f>$AA$1*(25+Module!$I$6)</f>
        <v>101</v>
      </c>
      <c r="AV49" s="101">
        <f>(AT49*($Z$1+1)*0.002488974)/($Z$1+1)*Module!$I$5*Module!$I$7</f>
        <v>70.974999121916298</v>
      </c>
      <c r="AW49" s="101">
        <f>$P$120*Module!$I$7*X49*Module!$I$5</f>
        <v>106.12974052272226</v>
      </c>
      <c r="AX49" s="151">
        <f t="shared" si="9"/>
        <v>1000000</v>
      </c>
      <c r="AZ49" s="101">
        <f t="shared" si="10"/>
        <v>0</v>
      </c>
      <c r="BA49" s="101">
        <f>10+Module!$K$57/($AB$1+1)</f>
        <v>71.82879561327222</v>
      </c>
      <c r="BB49" s="101">
        <f>$AB$1*(25+Module!$I$6)</f>
        <v>151.5</v>
      </c>
      <c r="BC49" s="101">
        <f>(BA49*($AB$1+1)*0.002488974)/($AB$1+1)*Module!$I$5*Module!$I$7</f>
        <v>55.150770979977231</v>
      </c>
      <c r="BD49" s="101">
        <f>$P$120*Module!$I$7*X49*Module!$I$5</f>
        <v>106.12974052272226</v>
      </c>
      <c r="BE49" s="151">
        <f t="shared" si="11"/>
        <v>1000000</v>
      </c>
      <c r="BG49" s="101">
        <f t="shared" si="12"/>
        <v>0</v>
      </c>
      <c r="BH49" s="101">
        <f>10+Module!$K$57/($AC$1+1)</f>
        <v>59.463036490617775</v>
      </c>
      <c r="BI49" s="101">
        <f>$AC$1*(25+Module!$I$6)</f>
        <v>202</v>
      </c>
      <c r="BJ49" s="101">
        <f>(BH49*($AC$1+1)*0.002488974)/($AC$1+1)*Module!$I$5*Module!$I$7</f>
        <v>45.656234094813776</v>
      </c>
      <c r="BK49" s="101">
        <f>$P$120*Module!$I$7*X49*Module!$I$5</f>
        <v>106.12974052272226</v>
      </c>
      <c r="BL49" s="151">
        <f t="shared" si="13"/>
        <v>1000000</v>
      </c>
    </row>
    <row r="50" spans="1:64" ht="15" hidden="1" customHeight="1" thickBot="1">
      <c r="A50" s="101">
        <f t="shared" si="5"/>
        <v>50</v>
      </c>
      <c r="B50" s="100"/>
      <c r="C50" s="100"/>
      <c r="D50" s="100"/>
      <c r="E50" s="100"/>
      <c r="F50" s="100"/>
      <c r="I50" s="100"/>
      <c r="J50" s="100"/>
      <c r="K50" s="100"/>
      <c r="L50" s="100"/>
      <c r="M50" s="100"/>
      <c r="N50" s="100"/>
      <c r="O50" s="100"/>
      <c r="P50" s="100"/>
      <c r="Q50" s="100"/>
      <c r="R50" s="100"/>
      <c r="W50" s="780"/>
      <c r="X50" s="121">
        <f t="shared" si="14"/>
        <v>48</v>
      </c>
      <c r="Y50" s="122">
        <f>'calcul pneu pour calculateur'!P51</f>
        <v>93.418060901046616</v>
      </c>
      <c r="Z50" s="123">
        <f t="shared" si="16"/>
        <v>186.83612180209323</v>
      </c>
      <c r="AA50" s="123">
        <f t="shared" si="2"/>
        <v>280.25418270313986</v>
      </c>
      <c r="AB50" s="123">
        <f t="shared" si="3"/>
        <v>373.67224360418646</v>
      </c>
      <c r="AC50" s="123">
        <f t="shared" si="4"/>
        <v>467.09030450523306</v>
      </c>
      <c r="AD50" s="123"/>
      <c r="AK50" s="121">
        <f t="shared" si="15"/>
        <v>48</v>
      </c>
      <c r="AL50" s="101">
        <f t="shared" si="6"/>
        <v>0</v>
      </c>
      <c r="AM50" s="101">
        <f>10+Module!$K$57/($Z$1+1)</f>
        <v>133.65759122654444</v>
      </c>
      <c r="AN50" s="101">
        <f>$Z$1*(25+Module!$I$6)</f>
        <v>50.5</v>
      </c>
      <c r="AO50" s="101">
        <f>(AM50*($Z$1+1)*0.002488974)/($Z$1+1)*Module!$I$5*Module!$I$7</f>
        <v>102.62345540579445</v>
      </c>
      <c r="AP50" s="101">
        <f>$P$120*Module!$I$7*X50*Module!$I$5</f>
        <v>108.38782010831211</v>
      </c>
      <c r="AQ50" s="151">
        <f t="shared" si="7"/>
        <v>1000000</v>
      </c>
      <c r="AS50" s="101">
        <f t="shared" si="8"/>
        <v>0</v>
      </c>
      <c r="AT50" s="101">
        <f>10+Module!$K$57/($AA$1+1)</f>
        <v>92.438394151029627</v>
      </c>
      <c r="AU50" s="101">
        <f>$AA$1*(25+Module!$I$6)</f>
        <v>101</v>
      </c>
      <c r="AV50" s="101">
        <f>(AT50*($Z$1+1)*0.002488974)/($Z$1+1)*Module!$I$5*Module!$I$7</f>
        <v>70.974999121916298</v>
      </c>
      <c r="AW50" s="101">
        <f>$P$120*Module!$I$7*X50*Module!$I$5</f>
        <v>108.38782010831211</v>
      </c>
      <c r="AX50" s="151">
        <f t="shared" si="9"/>
        <v>1000000</v>
      </c>
      <c r="AZ50" s="101">
        <f t="shared" si="10"/>
        <v>0</v>
      </c>
      <c r="BA50" s="101">
        <f>10+Module!$K$57/($AB$1+1)</f>
        <v>71.82879561327222</v>
      </c>
      <c r="BB50" s="101">
        <f>$AB$1*(25+Module!$I$6)</f>
        <v>151.5</v>
      </c>
      <c r="BC50" s="101">
        <f>(BA50*($AB$1+1)*0.002488974)/($AB$1+1)*Module!$I$5*Module!$I$7</f>
        <v>55.150770979977231</v>
      </c>
      <c r="BD50" s="101">
        <f>$P$120*Module!$I$7*X50*Module!$I$5</f>
        <v>108.38782010831211</v>
      </c>
      <c r="BE50" s="151">
        <f t="shared" si="11"/>
        <v>1000000</v>
      </c>
      <c r="BG50" s="101">
        <f t="shared" si="12"/>
        <v>0</v>
      </c>
      <c r="BH50" s="101">
        <f>10+Module!$K$57/($AC$1+1)</f>
        <v>59.463036490617775</v>
      </c>
      <c r="BI50" s="101">
        <f>$AC$1*(25+Module!$I$6)</f>
        <v>202</v>
      </c>
      <c r="BJ50" s="101">
        <f>(BH50*($AC$1+1)*0.002488974)/($AC$1+1)*Module!$I$5*Module!$I$7</f>
        <v>45.656234094813776</v>
      </c>
      <c r="BK50" s="101">
        <f>$P$120*Module!$I$7*X50*Module!$I$5</f>
        <v>108.38782010831211</v>
      </c>
      <c r="BL50" s="151">
        <f t="shared" si="13"/>
        <v>1000000</v>
      </c>
    </row>
    <row r="51" spans="1:64" ht="15" hidden="1" customHeight="1" thickBot="1">
      <c r="A51" s="101">
        <f t="shared" si="5"/>
        <v>51</v>
      </c>
      <c r="B51" s="100"/>
      <c r="C51" s="100"/>
      <c r="D51" s="100"/>
      <c r="E51" s="100"/>
      <c r="F51" s="100"/>
      <c r="I51" s="100"/>
      <c r="J51" s="100"/>
      <c r="K51" s="100"/>
      <c r="L51" s="100"/>
      <c r="M51" s="100"/>
      <c r="N51" s="100"/>
      <c r="O51" s="100"/>
      <c r="P51" s="100"/>
      <c r="Q51" s="100"/>
      <c r="R51" s="100"/>
      <c r="W51" s="780"/>
      <c r="X51" s="121">
        <f t="shared" si="14"/>
        <v>49</v>
      </c>
      <c r="Y51" s="122">
        <f>'calcul pneu pour calculateur'!P52</f>
        <v>93.187057689705426</v>
      </c>
      <c r="Z51" s="123">
        <f t="shared" si="16"/>
        <v>186.37411537941085</v>
      </c>
      <c r="AA51" s="123">
        <f t="shared" si="2"/>
        <v>279.56117306911631</v>
      </c>
      <c r="AB51" s="123">
        <f t="shared" si="3"/>
        <v>372.74823075882171</v>
      </c>
      <c r="AC51" s="123">
        <f t="shared" si="4"/>
        <v>465.9352884485271</v>
      </c>
      <c r="AD51" s="123"/>
      <c r="AK51" s="121">
        <f t="shared" si="15"/>
        <v>49</v>
      </c>
      <c r="AL51" s="101">
        <f t="shared" si="6"/>
        <v>0</v>
      </c>
      <c r="AM51" s="101">
        <f>10+Module!$K$57/($Z$1+1)</f>
        <v>133.65759122654444</v>
      </c>
      <c r="AN51" s="101">
        <f>$Z$1*(25+Module!$I$6)</f>
        <v>50.5</v>
      </c>
      <c r="AO51" s="101">
        <f>(AM51*($Z$1+1)*0.002488974)/($Z$1+1)*Module!$I$5*Module!$I$7</f>
        <v>102.62345540579445</v>
      </c>
      <c r="AP51" s="101">
        <f>$P$120*Module!$I$7*X51*Module!$I$5</f>
        <v>110.64589969390194</v>
      </c>
      <c r="AQ51" s="151">
        <f t="shared" si="7"/>
        <v>1000000</v>
      </c>
      <c r="AS51" s="101">
        <f t="shared" si="8"/>
        <v>0</v>
      </c>
      <c r="AT51" s="101">
        <f>10+Module!$K$57/($AA$1+1)</f>
        <v>92.438394151029627</v>
      </c>
      <c r="AU51" s="101">
        <f>$AA$1*(25+Module!$I$6)</f>
        <v>101</v>
      </c>
      <c r="AV51" s="101">
        <f>(AT51*($Z$1+1)*0.002488974)/($Z$1+1)*Module!$I$5*Module!$I$7</f>
        <v>70.974999121916298</v>
      </c>
      <c r="AW51" s="101">
        <f>$P$120*Module!$I$7*X51*Module!$I$5</f>
        <v>110.64589969390194</v>
      </c>
      <c r="AX51" s="151">
        <f t="shared" si="9"/>
        <v>1000000</v>
      </c>
      <c r="AZ51" s="101">
        <f t="shared" si="10"/>
        <v>0</v>
      </c>
      <c r="BA51" s="101">
        <f>10+Module!$K$57/($AB$1+1)</f>
        <v>71.82879561327222</v>
      </c>
      <c r="BB51" s="101">
        <f>$AB$1*(25+Module!$I$6)</f>
        <v>151.5</v>
      </c>
      <c r="BC51" s="101">
        <f>(BA51*($AB$1+1)*0.002488974)/($AB$1+1)*Module!$I$5*Module!$I$7</f>
        <v>55.150770979977231</v>
      </c>
      <c r="BD51" s="101">
        <f>$P$120*Module!$I$7*X51*Module!$I$5</f>
        <v>110.64589969390194</v>
      </c>
      <c r="BE51" s="151">
        <f t="shared" si="11"/>
        <v>1000000</v>
      </c>
      <c r="BG51" s="101">
        <f t="shared" si="12"/>
        <v>0</v>
      </c>
      <c r="BH51" s="101">
        <f>10+Module!$K$57/($AC$1+1)</f>
        <v>59.463036490617775</v>
      </c>
      <c r="BI51" s="101">
        <f>$AC$1*(25+Module!$I$6)</f>
        <v>202</v>
      </c>
      <c r="BJ51" s="101">
        <f>(BH51*($AC$1+1)*0.002488974)/($AC$1+1)*Module!$I$5*Module!$I$7</f>
        <v>45.656234094813776</v>
      </c>
      <c r="BK51" s="101">
        <f>$P$120*Module!$I$7*X51*Module!$I$5</f>
        <v>110.64589969390194</v>
      </c>
      <c r="BL51" s="151">
        <f t="shared" si="13"/>
        <v>1000000</v>
      </c>
    </row>
    <row r="52" spans="1:64" ht="15" hidden="1" customHeight="1" thickBot="1">
      <c r="A52" s="101">
        <f t="shared" si="5"/>
        <v>52</v>
      </c>
      <c r="B52" s="100"/>
      <c r="C52" s="100"/>
      <c r="D52" s="100"/>
      <c r="E52" s="100"/>
      <c r="F52" s="100"/>
      <c r="I52" s="100"/>
      <c r="J52" s="100"/>
      <c r="K52" s="100"/>
      <c r="L52" s="100"/>
      <c r="M52" s="100"/>
      <c r="N52" s="100"/>
      <c r="O52" s="100"/>
      <c r="P52" s="100"/>
      <c r="Q52" s="100"/>
      <c r="R52" s="100"/>
      <c r="W52" s="780"/>
      <c r="X52" s="121">
        <f t="shared" si="14"/>
        <v>50</v>
      </c>
      <c r="Y52" s="122">
        <f>'calcul pneu pour calculateur'!P53</f>
        <v>92.956054478364251</v>
      </c>
      <c r="Z52" s="123">
        <f t="shared" si="16"/>
        <v>185.9121089567285</v>
      </c>
      <c r="AA52" s="123">
        <f t="shared" si="2"/>
        <v>278.86816343509275</v>
      </c>
      <c r="AB52" s="123">
        <f t="shared" si="3"/>
        <v>371.82421791345701</v>
      </c>
      <c r="AC52" s="123">
        <f t="shared" si="4"/>
        <v>464.78027239182126</v>
      </c>
      <c r="AD52" s="123"/>
      <c r="AK52" s="121">
        <f t="shared" si="15"/>
        <v>50</v>
      </c>
      <c r="AL52" s="101">
        <f t="shared" si="6"/>
        <v>0</v>
      </c>
      <c r="AM52" s="101">
        <f>10+Module!$K$57/($Z$1+1)</f>
        <v>133.65759122654444</v>
      </c>
      <c r="AN52" s="101">
        <f>$Z$1*(25+Module!$I$6)</f>
        <v>50.5</v>
      </c>
      <c r="AO52" s="101">
        <f>(AM52*($Z$1+1)*0.002488974)/($Z$1+1)*Module!$I$5*Module!$I$7</f>
        <v>102.62345540579445</v>
      </c>
      <c r="AP52" s="101">
        <f>$P$120*Module!$I$7*X52*Module!$I$5</f>
        <v>112.90397927949178</v>
      </c>
      <c r="AQ52" s="151">
        <f t="shared" si="7"/>
        <v>1000000</v>
      </c>
      <c r="AS52" s="101">
        <f t="shared" si="8"/>
        <v>0</v>
      </c>
      <c r="AT52" s="101">
        <f>10+Module!$K$57/($AA$1+1)</f>
        <v>92.438394151029627</v>
      </c>
      <c r="AU52" s="101">
        <f>$AA$1*(25+Module!$I$6)</f>
        <v>101</v>
      </c>
      <c r="AV52" s="101">
        <f>(AT52*($Z$1+1)*0.002488974)/($Z$1+1)*Module!$I$5*Module!$I$7</f>
        <v>70.974999121916298</v>
      </c>
      <c r="AW52" s="101">
        <f>$P$120*Module!$I$7*X52*Module!$I$5</f>
        <v>112.90397927949178</v>
      </c>
      <c r="AX52" s="151">
        <f t="shared" si="9"/>
        <v>1000000</v>
      </c>
      <c r="AZ52" s="101">
        <f t="shared" si="10"/>
        <v>0</v>
      </c>
      <c r="BA52" s="101">
        <f>10+Module!$K$57/($AB$1+1)</f>
        <v>71.82879561327222</v>
      </c>
      <c r="BB52" s="101">
        <f>$AB$1*(25+Module!$I$6)</f>
        <v>151.5</v>
      </c>
      <c r="BC52" s="101">
        <f>(BA52*($AB$1+1)*0.002488974)/($AB$1+1)*Module!$I$5*Module!$I$7</f>
        <v>55.150770979977231</v>
      </c>
      <c r="BD52" s="101">
        <f>$P$120*Module!$I$7*X52*Module!$I$5</f>
        <v>112.90397927949178</v>
      </c>
      <c r="BE52" s="151">
        <f t="shared" si="11"/>
        <v>1000000</v>
      </c>
      <c r="BG52" s="101">
        <f t="shared" si="12"/>
        <v>0</v>
      </c>
      <c r="BH52" s="101">
        <f>10+Module!$K$57/($AC$1+1)</f>
        <v>59.463036490617775</v>
      </c>
      <c r="BI52" s="101">
        <f>$AC$1*(25+Module!$I$6)</f>
        <v>202</v>
      </c>
      <c r="BJ52" s="101">
        <f>(BH52*($AC$1+1)*0.002488974)/($AC$1+1)*Module!$I$5*Module!$I$7</f>
        <v>45.656234094813776</v>
      </c>
      <c r="BK52" s="101">
        <f>$P$120*Module!$I$7*X52*Module!$I$5</f>
        <v>112.90397927949178</v>
      </c>
      <c r="BL52" s="151">
        <f t="shared" si="13"/>
        <v>1000000</v>
      </c>
    </row>
    <row r="53" spans="1:64" ht="13.5" hidden="1" customHeight="1" thickBot="1">
      <c r="A53" s="101">
        <f t="shared" si="5"/>
        <v>53</v>
      </c>
      <c r="B53" s="100"/>
      <c r="C53" s="100"/>
      <c r="D53" s="100"/>
      <c r="E53" s="100"/>
      <c r="F53" s="100"/>
      <c r="I53" s="100"/>
      <c r="J53" s="100"/>
      <c r="K53" s="100"/>
      <c r="L53" s="100"/>
      <c r="M53" s="100"/>
      <c r="N53" s="100"/>
      <c r="O53" s="100"/>
      <c r="P53" s="100"/>
      <c r="Q53" s="100"/>
      <c r="R53" s="100"/>
      <c r="W53" s="780"/>
      <c r="X53" s="121">
        <f t="shared" si="14"/>
        <v>51</v>
      </c>
      <c r="Y53" s="122">
        <f>'calcul pneu pour calculateur'!P54</f>
        <v>92.725051267023076</v>
      </c>
      <c r="Z53" s="123">
        <f t="shared" si="16"/>
        <v>185.45010253404615</v>
      </c>
      <c r="AA53" s="49">
        <f t="shared" si="2"/>
        <v>278.1751538010692</v>
      </c>
      <c r="AB53" s="123">
        <f t="shared" si="3"/>
        <v>370.9002050680923</v>
      </c>
      <c r="AC53" s="123">
        <f t="shared" si="4"/>
        <v>463.62525633511541</v>
      </c>
      <c r="AD53" s="123"/>
      <c r="AK53" s="121">
        <f t="shared" si="15"/>
        <v>51</v>
      </c>
      <c r="AL53" s="101">
        <f t="shared" si="6"/>
        <v>0</v>
      </c>
      <c r="AM53" s="101">
        <f>10+Module!$K$57/($Z$1+1)</f>
        <v>133.65759122654444</v>
      </c>
      <c r="AN53" s="101">
        <f>$Z$1*(25+Module!$I$6)</f>
        <v>50.5</v>
      </c>
      <c r="AO53" s="101">
        <f>(AM53*($Z$1+1)*0.002488974)/($Z$1+1)*Module!$I$5*Module!$I$7</f>
        <v>102.62345540579445</v>
      </c>
      <c r="AP53" s="101">
        <f>$P$120*Module!$I$7*X53*Module!$I$5</f>
        <v>115.1620588650816</v>
      </c>
      <c r="AQ53" s="151">
        <f t="shared" si="7"/>
        <v>1000000</v>
      </c>
      <c r="AS53" s="101">
        <f t="shared" si="8"/>
        <v>0</v>
      </c>
      <c r="AT53" s="101">
        <f>10+Module!$K$57/($AA$1+1)</f>
        <v>92.438394151029627</v>
      </c>
      <c r="AU53" s="101">
        <f>$AA$1*(25+Module!$I$6)</f>
        <v>101</v>
      </c>
      <c r="AV53" s="101">
        <f>(AT53*($Z$1+1)*0.002488974)/($Z$1+1)*Module!$I$5*Module!$I$7</f>
        <v>70.974999121916298</v>
      </c>
      <c r="AW53" s="101">
        <f>$P$120*Module!$I$7*X53*Module!$I$5</f>
        <v>115.1620588650816</v>
      </c>
      <c r="AX53" s="151">
        <f t="shared" si="9"/>
        <v>1000000</v>
      </c>
      <c r="AZ53" s="101">
        <f t="shared" si="10"/>
        <v>0</v>
      </c>
      <c r="BA53" s="101">
        <f>10+Module!$K$57/($AB$1+1)</f>
        <v>71.82879561327222</v>
      </c>
      <c r="BB53" s="101">
        <f>$AB$1*(25+Module!$I$6)</f>
        <v>151.5</v>
      </c>
      <c r="BC53" s="101">
        <f>(BA53*($AB$1+1)*0.002488974)/($AB$1+1)*Module!$I$5*Module!$I$7</f>
        <v>55.150770979977231</v>
      </c>
      <c r="BD53" s="101">
        <f>$P$120*Module!$I$7*X53*Module!$I$5</f>
        <v>115.1620588650816</v>
      </c>
      <c r="BE53" s="151">
        <f t="shared" si="11"/>
        <v>1000000</v>
      </c>
      <c r="BG53" s="101">
        <f t="shared" si="12"/>
        <v>0</v>
      </c>
      <c r="BH53" s="101">
        <f>10+Module!$K$57/($AC$1+1)</f>
        <v>59.463036490617775</v>
      </c>
      <c r="BI53" s="101">
        <f>$AC$1*(25+Module!$I$6)</f>
        <v>202</v>
      </c>
      <c r="BJ53" s="101">
        <f>(BH53*($AC$1+1)*0.002488974)/($AC$1+1)*Module!$I$5*Module!$I$7</f>
        <v>45.656234094813776</v>
      </c>
      <c r="BK53" s="101">
        <f>$P$120*Module!$I$7*X53*Module!$I$5</f>
        <v>115.1620588650816</v>
      </c>
      <c r="BL53" s="151">
        <f t="shared" si="13"/>
        <v>1000000</v>
      </c>
    </row>
    <row r="54" spans="1:64" ht="13.5" hidden="1" customHeight="1" thickBot="1">
      <c r="A54" s="101">
        <f t="shared" si="5"/>
        <v>54</v>
      </c>
      <c r="B54" s="100"/>
      <c r="C54" s="100"/>
      <c r="D54" s="100"/>
      <c r="E54" s="100"/>
      <c r="F54" s="100"/>
      <c r="I54" s="100"/>
      <c r="J54" s="100"/>
      <c r="K54" s="100"/>
      <c r="L54" s="138" t="e">
        <f>IF(J70&lt;0,0,INT(U61/3600)&amp;"h "&amp;MOD(INT(U61/60),60)&amp;"m "&amp;MOD(U61,60)&amp;" s")</f>
        <v>#REF!</v>
      </c>
      <c r="M54" s="100"/>
      <c r="N54" s="100"/>
      <c r="O54" s="100"/>
      <c r="P54" s="100"/>
      <c r="Q54" s="100"/>
      <c r="R54" s="100"/>
      <c r="W54" s="780"/>
      <c r="X54" s="121">
        <f t="shared" si="14"/>
        <v>52</v>
      </c>
      <c r="Y54" s="122">
        <f>'calcul pneu pour calculateur'!P55</f>
        <v>92.494048055681887</v>
      </c>
      <c r="Z54" s="123">
        <f t="shared" si="16"/>
        <v>184.98809611136377</v>
      </c>
      <c r="AA54" s="123">
        <f t="shared" si="2"/>
        <v>277.48214416704565</v>
      </c>
      <c r="AB54" s="123">
        <f t="shared" si="3"/>
        <v>369.97619222272755</v>
      </c>
      <c r="AC54" s="123">
        <f t="shared" si="4"/>
        <v>462.47024027840945</v>
      </c>
      <c r="AD54" s="123"/>
      <c r="AK54" s="121">
        <f t="shared" si="15"/>
        <v>52</v>
      </c>
      <c r="AL54" s="101">
        <f t="shared" si="6"/>
        <v>0</v>
      </c>
      <c r="AM54" s="101">
        <f>10+Module!$K$57/($Z$1+1)</f>
        <v>133.65759122654444</v>
      </c>
      <c r="AN54" s="101">
        <f>$Z$1*(25+Module!$I$6)</f>
        <v>50.5</v>
      </c>
      <c r="AO54" s="101">
        <f>(AM54*($Z$1+1)*0.002488974)/($Z$1+1)*Module!$I$5*Module!$I$7</f>
        <v>102.62345540579445</v>
      </c>
      <c r="AP54" s="101">
        <f>$P$120*Module!$I$7*X54*Module!$I$5</f>
        <v>117.42013845067144</v>
      </c>
      <c r="AQ54" s="151">
        <f t="shared" si="7"/>
        <v>1000000</v>
      </c>
      <c r="AS54" s="101">
        <f t="shared" si="8"/>
        <v>0</v>
      </c>
      <c r="AT54" s="101">
        <f>10+Module!$K$57/($AA$1+1)</f>
        <v>92.438394151029627</v>
      </c>
      <c r="AU54" s="101">
        <f>$AA$1*(25+Module!$I$6)</f>
        <v>101</v>
      </c>
      <c r="AV54" s="101">
        <f>(AT54*($Z$1+1)*0.002488974)/($Z$1+1)*Module!$I$5*Module!$I$7</f>
        <v>70.974999121916298</v>
      </c>
      <c r="AW54" s="101">
        <f>$P$120*Module!$I$7*X54*Module!$I$5</f>
        <v>117.42013845067144</v>
      </c>
      <c r="AX54" s="151">
        <f t="shared" si="9"/>
        <v>1000000</v>
      </c>
      <c r="AZ54" s="101">
        <f t="shared" si="10"/>
        <v>0</v>
      </c>
      <c r="BA54" s="101">
        <f>10+Module!$K$57/($AB$1+1)</f>
        <v>71.82879561327222</v>
      </c>
      <c r="BB54" s="101">
        <f>$AB$1*(25+Module!$I$6)</f>
        <v>151.5</v>
      </c>
      <c r="BC54" s="101">
        <f>(BA54*($AB$1+1)*0.002488974)/($AB$1+1)*Module!$I$5*Module!$I$7</f>
        <v>55.150770979977231</v>
      </c>
      <c r="BD54" s="101">
        <f>$P$120*Module!$I$7*X54*Module!$I$5</f>
        <v>117.42013845067144</v>
      </c>
      <c r="BE54" s="151">
        <f t="shared" si="11"/>
        <v>1000000</v>
      </c>
      <c r="BG54" s="101">
        <f t="shared" si="12"/>
        <v>0</v>
      </c>
      <c r="BH54" s="101">
        <f>10+Module!$K$57/($AC$1+1)</f>
        <v>59.463036490617775</v>
      </c>
      <c r="BI54" s="101">
        <f>$AC$1*(25+Module!$I$6)</f>
        <v>202</v>
      </c>
      <c r="BJ54" s="101">
        <f>(BH54*($AC$1+1)*0.002488974)/($AC$1+1)*Module!$I$5*Module!$I$7</f>
        <v>45.656234094813776</v>
      </c>
      <c r="BK54" s="101">
        <f>$P$120*Module!$I$7*X54*Module!$I$5</f>
        <v>117.42013845067144</v>
      </c>
      <c r="BL54" s="151">
        <f t="shared" si="13"/>
        <v>1000000</v>
      </c>
    </row>
    <row r="55" spans="1:64" ht="13.5" hidden="1" customHeight="1" thickBot="1">
      <c r="A55" s="101">
        <f t="shared" si="5"/>
        <v>55</v>
      </c>
      <c r="B55" s="100"/>
      <c r="C55" s="100"/>
      <c r="D55" s="100"/>
      <c r="E55" s="100"/>
      <c r="F55" s="100"/>
      <c r="I55" s="100"/>
      <c r="J55" s="100"/>
      <c r="K55" s="100"/>
      <c r="L55" s="138" t="e">
        <f>IF(J78&lt;0,0,INT(U62/3600)&amp;"h "&amp;MOD(INT(U62/60),60)&amp;"m "&amp;MOD(U62,60)&amp;" s")</f>
        <v>#REF!</v>
      </c>
      <c r="M55" s="100"/>
      <c r="N55" s="100"/>
      <c r="O55" s="100"/>
      <c r="P55" s="100"/>
      <c r="Q55" s="100"/>
      <c r="R55" s="100"/>
      <c r="W55" s="780"/>
      <c r="X55" s="121">
        <f t="shared" si="14"/>
        <v>53</v>
      </c>
      <c r="Y55" s="122">
        <f>'calcul pneu pour calculateur'!P56</f>
        <v>92.263044844340698</v>
      </c>
      <c r="Z55" s="123">
        <f t="shared" si="16"/>
        <v>184.5260896886814</v>
      </c>
      <c r="AA55" s="123">
        <f t="shared" si="2"/>
        <v>276.78913453302209</v>
      </c>
      <c r="AB55" s="123">
        <f t="shared" si="3"/>
        <v>369.05217937736279</v>
      </c>
      <c r="AC55" s="123">
        <f t="shared" si="4"/>
        <v>461.31522422170349</v>
      </c>
      <c r="AD55" s="123"/>
      <c r="AK55" s="121">
        <f t="shared" si="15"/>
        <v>53</v>
      </c>
      <c r="AL55" s="101">
        <f t="shared" si="6"/>
        <v>0</v>
      </c>
      <c r="AM55" s="101">
        <f>10+Module!$K$57/($Z$1+1)</f>
        <v>133.65759122654444</v>
      </c>
      <c r="AN55" s="101">
        <f>$Z$1*(25+Module!$I$6)</f>
        <v>50.5</v>
      </c>
      <c r="AO55" s="101">
        <f>(AM55*($Z$1+1)*0.002488974)/($Z$1+1)*Module!$I$5*Module!$I$7</f>
        <v>102.62345540579445</v>
      </c>
      <c r="AP55" s="101">
        <f>$P$120*Module!$I$7*X55*Module!$I$5</f>
        <v>119.67821803626127</v>
      </c>
      <c r="AQ55" s="151">
        <f t="shared" si="7"/>
        <v>1000000</v>
      </c>
      <c r="AS55" s="101">
        <f t="shared" si="8"/>
        <v>0</v>
      </c>
      <c r="AT55" s="101">
        <f>10+Module!$K$57/($AA$1+1)</f>
        <v>92.438394151029627</v>
      </c>
      <c r="AU55" s="101">
        <f>$AA$1*(25+Module!$I$6)</f>
        <v>101</v>
      </c>
      <c r="AV55" s="101">
        <f>(AT55*($Z$1+1)*0.002488974)/($Z$1+1)*Module!$I$5*Module!$I$7</f>
        <v>70.974999121916298</v>
      </c>
      <c r="AW55" s="101">
        <f>$P$120*Module!$I$7*X55*Module!$I$5</f>
        <v>119.67821803626127</v>
      </c>
      <c r="AX55" s="151">
        <f t="shared" si="9"/>
        <v>1000000</v>
      </c>
      <c r="AZ55" s="101">
        <f t="shared" si="10"/>
        <v>0</v>
      </c>
      <c r="BA55" s="101">
        <f>10+Module!$K$57/($AB$1+1)</f>
        <v>71.82879561327222</v>
      </c>
      <c r="BB55" s="101">
        <f>$AB$1*(25+Module!$I$6)</f>
        <v>151.5</v>
      </c>
      <c r="BC55" s="101">
        <f>(BA55*($AB$1+1)*0.002488974)/($AB$1+1)*Module!$I$5*Module!$I$7</f>
        <v>55.150770979977231</v>
      </c>
      <c r="BD55" s="101">
        <f>$P$120*Module!$I$7*X55*Module!$I$5</f>
        <v>119.67821803626127</v>
      </c>
      <c r="BE55" s="151">
        <f t="shared" si="11"/>
        <v>1000000</v>
      </c>
      <c r="BG55" s="101">
        <f t="shared" si="12"/>
        <v>0</v>
      </c>
      <c r="BH55" s="101">
        <f>10+Module!$K$57/($AC$1+1)</f>
        <v>59.463036490617775</v>
      </c>
      <c r="BI55" s="101">
        <f>$AC$1*(25+Module!$I$6)</f>
        <v>202</v>
      </c>
      <c r="BJ55" s="101">
        <f>(BH55*($AC$1+1)*0.002488974)/($AC$1+1)*Module!$I$5*Module!$I$7</f>
        <v>45.656234094813776</v>
      </c>
      <c r="BK55" s="101">
        <f>$P$120*Module!$I$7*X55*Module!$I$5</f>
        <v>119.67821803626127</v>
      </c>
      <c r="BL55" s="151">
        <f t="shared" si="13"/>
        <v>1000000</v>
      </c>
    </row>
    <row r="56" spans="1:64" ht="13.5" hidden="1" customHeight="1" thickBot="1">
      <c r="A56" s="101">
        <f t="shared" si="5"/>
        <v>56</v>
      </c>
      <c r="B56" s="100"/>
      <c r="C56" s="100"/>
      <c r="D56" s="100"/>
      <c r="E56" s="100"/>
      <c r="F56" s="100"/>
      <c r="I56" s="100"/>
      <c r="J56" s="100"/>
      <c r="K56" s="100"/>
      <c r="L56" s="138" t="e">
        <f>IF(J86&lt;0,0,INT(U63/3600)&amp;"h "&amp;MOD(INT(U63/60),60)&amp;"m "&amp;MOD(U63,60)&amp;" s")</f>
        <v>#REF!</v>
      </c>
      <c r="M56" s="100"/>
      <c r="N56" s="100"/>
      <c r="O56" s="100"/>
      <c r="P56" s="100"/>
      <c r="Q56" s="100"/>
      <c r="R56" s="100"/>
      <c r="W56" s="780"/>
      <c r="X56" s="121">
        <f t="shared" si="14"/>
        <v>54</v>
      </c>
      <c r="Y56" s="122">
        <f>'calcul pneu pour calculateur'!P57</f>
        <v>92.032041632999523</v>
      </c>
      <c r="Z56" s="123">
        <f t="shared" si="16"/>
        <v>184.06408326599905</v>
      </c>
      <c r="AA56" s="123">
        <f t="shared" si="2"/>
        <v>276.0961248989986</v>
      </c>
      <c r="AB56" s="123">
        <f t="shared" si="3"/>
        <v>368.12816653199809</v>
      </c>
      <c r="AC56" s="123">
        <f t="shared" si="4"/>
        <v>460.16020816499758</v>
      </c>
      <c r="AD56" s="123"/>
      <c r="AK56" s="121">
        <f t="shared" si="15"/>
        <v>54</v>
      </c>
      <c r="AL56" s="101">
        <f t="shared" si="6"/>
        <v>0</v>
      </c>
      <c r="AM56" s="101">
        <f>10+Module!$K$57/($Z$1+1)</f>
        <v>133.65759122654444</v>
      </c>
      <c r="AN56" s="101">
        <f>$Z$1*(25+Module!$I$6)</f>
        <v>50.5</v>
      </c>
      <c r="AO56" s="101">
        <f>(AM56*($Z$1+1)*0.002488974)/($Z$1+1)*Module!$I$5*Module!$I$7</f>
        <v>102.62345540579445</v>
      </c>
      <c r="AP56" s="101">
        <f>$P$120*Module!$I$7*X56*Module!$I$5</f>
        <v>121.93629762185111</v>
      </c>
      <c r="AQ56" s="151">
        <f t="shared" si="7"/>
        <v>1000000</v>
      </c>
      <c r="AS56" s="101">
        <f t="shared" si="8"/>
        <v>0</v>
      </c>
      <c r="AT56" s="101">
        <f>10+Module!$K$57/($AA$1+1)</f>
        <v>92.438394151029627</v>
      </c>
      <c r="AU56" s="101">
        <f>$AA$1*(25+Module!$I$6)</f>
        <v>101</v>
      </c>
      <c r="AV56" s="101">
        <f>(AT56*($Z$1+1)*0.002488974)/($Z$1+1)*Module!$I$5*Module!$I$7</f>
        <v>70.974999121916298</v>
      </c>
      <c r="AW56" s="101">
        <f>$P$120*Module!$I$7*X56*Module!$I$5</f>
        <v>121.93629762185111</v>
      </c>
      <c r="AX56" s="151">
        <f t="shared" si="9"/>
        <v>1000000</v>
      </c>
      <c r="AZ56" s="101">
        <f t="shared" si="10"/>
        <v>0</v>
      </c>
      <c r="BA56" s="101">
        <f>10+Module!$K$57/($AB$1+1)</f>
        <v>71.82879561327222</v>
      </c>
      <c r="BB56" s="101">
        <f>$AB$1*(25+Module!$I$6)</f>
        <v>151.5</v>
      </c>
      <c r="BC56" s="101">
        <f>(BA56*($AB$1+1)*0.002488974)/($AB$1+1)*Module!$I$5*Module!$I$7</f>
        <v>55.150770979977231</v>
      </c>
      <c r="BD56" s="101">
        <f>$P$120*Module!$I$7*X56*Module!$I$5</f>
        <v>121.93629762185111</v>
      </c>
      <c r="BE56" s="151">
        <f t="shared" si="11"/>
        <v>1000000</v>
      </c>
      <c r="BG56" s="101">
        <f t="shared" si="12"/>
        <v>0</v>
      </c>
      <c r="BH56" s="101">
        <f>10+Module!$K$57/($AC$1+1)</f>
        <v>59.463036490617775</v>
      </c>
      <c r="BI56" s="101">
        <f>$AC$1*(25+Module!$I$6)</f>
        <v>202</v>
      </c>
      <c r="BJ56" s="101">
        <f>(BH56*($AC$1+1)*0.002488974)/($AC$1+1)*Module!$I$5*Module!$I$7</f>
        <v>45.656234094813776</v>
      </c>
      <c r="BK56" s="101">
        <f>$P$120*Module!$I$7*X56*Module!$I$5</f>
        <v>121.93629762185111</v>
      </c>
      <c r="BL56" s="151">
        <f t="shared" si="13"/>
        <v>1000000</v>
      </c>
    </row>
    <row r="57" spans="1:64" ht="13.5" hidden="1" customHeight="1" thickBot="1">
      <c r="A57" s="101">
        <f t="shared" si="5"/>
        <v>57</v>
      </c>
      <c r="B57" s="100"/>
      <c r="C57" s="100"/>
      <c r="D57" s="100"/>
      <c r="E57" s="100"/>
      <c r="F57" s="100"/>
      <c r="I57" s="100"/>
      <c r="J57" s="100"/>
      <c r="K57" s="100"/>
      <c r="L57" s="138" t="e">
        <f>IF(J94&lt;0,0,INT(U64/3600)&amp;"h "&amp;MOD(INT(U64/60),60)&amp;"m "&amp;MOD(U64,60)&amp;" s")</f>
        <v>#REF!</v>
      </c>
      <c r="M57" s="100"/>
      <c r="N57" s="100"/>
      <c r="O57" s="100"/>
      <c r="P57" s="100"/>
      <c r="Q57" s="100"/>
      <c r="R57" s="100"/>
      <c r="W57" s="780"/>
      <c r="X57" s="121">
        <f t="shared" si="14"/>
        <v>55</v>
      </c>
      <c r="Y57" s="122">
        <f>'calcul pneu pour calculateur'!P58</f>
        <v>91.801038421658347</v>
      </c>
      <c r="Z57" s="123">
        <f t="shared" si="16"/>
        <v>183.60207684331669</v>
      </c>
      <c r="AA57" s="123">
        <f t="shared" si="2"/>
        <v>275.40311526497504</v>
      </c>
      <c r="AB57" s="123">
        <f t="shared" si="3"/>
        <v>367.20415368663339</v>
      </c>
      <c r="AC57" s="123">
        <f t="shared" si="4"/>
        <v>459.00519210829174</v>
      </c>
      <c r="AD57" s="123"/>
      <c r="AK57" s="121">
        <f t="shared" si="15"/>
        <v>55</v>
      </c>
      <c r="AL57" s="101">
        <f t="shared" si="6"/>
        <v>0</v>
      </c>
      <c r="AM57" s="101">
        <f>10+Module!$K$57/($Z$1+1)</f>
        <v>133.65759122654444</v>
      </c>
      <c r="AN57" s="101">
        <f>$Z$1*(25+Module!$I$6)</f>
        <v>50.5</v>
      </c>
      <c r="AO57" s="101">
        <f>(AM57*($Z$1+1)*0.002488974)/($Z$1+1)*Module!$I$5*Module!$I$7</f>
        <v>102.62345540579445</v>
      </c>
      <c r="AP57" s="101">
        <f>$P$120*Module!$I$7*X57*Module!$I$5</f>
        <v>124.19437720744094</v>
      </c>
      <c r="AQ57" s="151">
        <f t="shared" si="7"/>
        <v>1000000</v>
      </c>
      <c r="AS57" s="101">
        <f t="shared" si="8"/>
        <v>0</v>
      </c>
      <c r="AT57" s="101">
        <f>10+Module!$K$57/($AA$1+1)</f>
        <v>92.438394151029627</v>
      </c>
      <c r="AU57" s="101">
        <f>$AA$1*(25+Module!$I$6)</f>
        <v>101</v>
      </c>
      <c r="AV57" s="101">
        <f>(AT57*($Z$1+1)*0.002488974)/($Z$1+1)*Module!$I$5*Module!$I$7</f>
        <v>70.974999121916298</v>
      </c>
      <c r="AW57" s="101">
        <f>$P$120*Module!$I$7*X57*Module!$I$5</f>
        <v>124.19437720744094</v>
      </c>
      <c r="AX57" s="151">
        <f t="shared" si="9"/>
        <v>1000000</v>
      </c>
      <c r="AZ57" s="101">
        <f t="shared" si="10"/>
        <v>0</v>
      </c>
      <c r="BA57" s="101">
        <f>10+Module!$K$57/($AB$1+1)</f>
        <v>71.82879561327222</v>
      </c>
      <c r="BB57" s="101">
        <f>$AB$1*(25+Module!$I$6)</f>
        <v>151.5</v>
      </c>
      <c r="BC57" s="101">
        <f>(BA57*($AB$1+1)*0.002488974)/($AB$1+1)*Module!$I$5*Module!$I$7</f>
        <v>55.150770979977231</v>
      </c>
      <c r="BD57" s="101">
        <f>$P$120*Module!$I$7*X57*Module!$I$5</f>
        <v>124.19437720744094</v>
      </c>
      <c r="BE57" s="151">
        <f t="shared" si="11"/>
        <v>1000000</v>
      </c>
      <c r="BG57" s="101">
        <f t="shared" si="12"/>
        <v>0</v>
      </c>
      <c r="BH57" s="101">
        <f>10+Module!$K$57/($AC$1+1)</f>
        <v>59.463036490617775</v>
      </c>
      <c r="BI57" s="101">
        <f>$AC$1*(25+Module!$I$6)</f>
        <v>202</v>
      </c>
      <c r="BJ57" s="101">
        <f>(BH57*($AC$1+1)*0.002488974)/($AC$1+1)*Module!$I$5*Module!$I$7</f>
        <v>45.656234094813776</v>
      </c>
      <c r="BK57" s="101">
        <f>$P$120*Module!$I$7*X57*Module!$I$5</f>
        <v>124.19437720744094</v>
      </c>
      <c r="BL57" s="151">
        <f t="shared" si="13"/>
        <v>1000000</v>
      </c>
    </row>
    <row r="58" spans="1:64" ht="13.5" hidden="1" customHeight="1" thickBot="1">
      <c r="A58" s="101">
        <f t="shared" si="5"/>
        <v>58</v>
      </c>
      <c r="B58" s="100"/>
      <c r="C58" s="100"/>
      <c r="D58" s="100"/>
      <c r="E58" s="100"/>
      <c r="F58" s="100"/>
      <c r="I58" s="100"/>
      <c r="J58" s="100"/>
      <c r="K58" s="100"/>
      <c r="L58" s="100"/>
      <c r="M58" s="100"/>
      <c r="N58" s="100"/>
      <c r="O58" s="100"/>
      <c r="P58" s="100"/>
      <c r="Q58" s="100"/>
      <c r="R58" s="100"/>
      <c r="W58" s="780"/>
      <c r="X58" s="121">
        <f t="shared" si="14"/>
        <v>56</v>
      </c>
      <c r="Y58" s="122">
        <f>'calcul pneu pour calculateur'!P59</f>
        <v>91.570035210317158</v>
      </c>
      <c r="Z58" s="123">
        <f t="shared" si="16"/>
        <v>183.14007042063432</v>
      </c>
      <c r="AA58" s="123">
        <f t="shared" si="2"/>
        <v>274.71010563095149</v>
      </c>
      <c r="AB58" s="123">
        <f t="shared" si="3"/>
        <v>366.28014084126863</v>
      </c>
      <c r="AC58" s="123">
        <f t="shared" si="4"/>
        <v>457.85017605158578</v>
      </c>
      <c r="AD58" s="123"/>
      <c r="AK58" s="121">
        <f t="shared" si="15"/>
        <v>56</v>
      </c>
      <c r="AL58" s="101">
        <f t="shared" si="6"/>
        <v>0</v>
      </c>
      <c r="AM58" s="101">
        <f>10+Module!$K$57/($Z$1+1)</f>
        <v>133.65759122654444</v>
      </c>
      <c r="AN58" s="101">
        <f>$Z$1*(25+Module!$I$6)</f>
        <v>50.5</v>
      </c>
      <c r="AO58" s="101">
        <f>(AM58*($Z$1+1)*0.002488974)/($Z$1+1)*Module!$I$5*Module!$I$7</f>
        <v>102.62345540579445</v>
      </c>
      <c r="AP58" s="101">
        <f>$P$120*Module!$I$7*X58*Module!$I$5</f>
        <v>126.45245679303078</v>
      </c>
      <c r="AQ58" s="151">
        <f t="shared" si="7"/>
        <v>1000000</v>
      </c>
      <c r="AS58" s="101">
        <f t="shared" si="8"/>
        <v>0</v>
      </c>
      <c r="AT58" s="101">
        <f>10+Module!$K$57/($AA$1+1)</f>
        <v>92.438394151029627</v>
      </c>
      <c r="AU58" s="101">
        <f>$AA$1*(25+Module!$I$6)</f>
        <v>101</v>
      </c>
      <c r="AV58" s="101">
        <f>(AT58*($Z$1+1)*0.002488974)/($Z$1+1)*Module!$I$5*Module!$I$7</f>
        <v>70.974999121916298</v>
      </c>
      <c r="AW58" s="101">
        <f>$P$120*Module!$I$7*X58*Module!$I$5</f>
        <v>126.45245679303078</v>
      </c>
      <c r="AX58" s="151">
        <f t="shared" si="9"/>
        <v>1000000</v>
      </c>
      <c r="AZ58" s="101">
        <f t="shared" si="10"/>
        <v>0</v>
      </c>
      <c r="BA58" s="101">
        <f>10+Module!$K$57/($AB$1+1)</f>
        <v>71.82879561327222</v>
      </c>
      <c r="BB58" s="101">
        <f>$AB$1*(25+Module!$I$6)</f>
        <v>151.5</v>
      </c>
      <c r="BC58" s="101">
        <f>(BA58*($AB$1+1)*0.002488974)/($AB$1+1)*Module!$I$5*Module!$I$7</f>
        <v>55.150770979977231</v>
      </c>
      <c r="BD58" s="101">
        <f>$P$120*Module!$I$7*X58*Module!$I$5</f>
        <v>126.45245679303078</v>
      </c>
      <c r="BE58" s="151">
        <f t="shared" si="11"/>
        <v>1000000</v>
      </c>
      <c r="BG58" s="101">
        <f t="shared" si="12"/>
        <v>0</v>
      </c>
      <c r="BH58" s="101">
        <f>10+Module!$K$57/($AC$1+1)</f>
        <v>59.463036490617775</v>
      </c>
      <c r="BI58" s="101">
        <f>$AC$1*(25+Module!$I$6)</f>
        <v>202</v>
      </c>
      <c r="BJ58" s="101">
        <f>(BH58*($AC$1+1)*0.002488974)/($AC$1+1)*Module!$I$5*Module!$I$7</f>
        <v>45.656234094813776</v>
      </c>
      <c r="BK58" s="101">
        <f>$P$120*Module!$I$7*X58*Module!$I$5</f>
        <v>126.45245679303078</v>
      </c>
      <c r="BL58" s="151">
        <f t="shared" si="13"/>
        <v>1000000</v>
      </c>
    </row>
    <row r="59" spans="1:64" ht="13.5" hidden="1" customHeight="1" thickBot="1">
      <c r="A59" s="101">
        <f t="shared" si="5"/>
        <v>59</v>
      </c>
      <c r="B59" s="100"/>
      <c r="C59" s="3">
        <v>7.8362724014337234E-2</v>
      </c>
      <c r="D59" s="149">
        <f>Module!I12-Module!I10</f>
        <v>-6</v>
      </c>
      <c r="E59" s="100">
        <f>D59*C59</f>
        <v>-0.47017634408602338</v>
      </c>
      <c r="F59" s="100"/>
      <c r="I59" s="3"/>
      <c r="J59" s="765" t="s">
        <v>229</v>
      </c>
      <c r="K59" s="765" t="s">
        <v>138</v>
      </c>
      <c r="L59" s="764" t="s">
        <v>228</v>
      </c>
      <c r="M59" s="764" t="s">
        <v>234</v>
      </c>
      <c r="N59" s="764" t="s">
        <v>227</v>
      </c>
      <c r="O59" s="750" t="s">
        <v>235</v>
      </c>
      <c r="P59" s="766" t="s">
        <v>226</v>
      </c>
      <c r="Q59" s="767"/>
      <c r="R59" s="750" t="s">
        <v>260</v>
      </c>
      <c r="W59" s="780"/>
      <c r="X59" s="121">
        <f t="shared" si="14"/>
        <v>57</v>
      </c>
      <c r="Y59" s="122">
        <f>'calcul pneu pour calculateur'!P60</f>
        <v>91.339031998975969</v>
      </c>
      <c r="Z59" s="123">
        <f t="shared" si="16"/>
        <v>182.67806399795194</v>
      </c>
      <c r="AA59" s="123">
        <f t="shared" si="2"/>
        <v>274.01709599692788</v>
      </c>
      <c r="AB59" s="123">
        <f t="shared" si="3"/>
        <v>365.35612799590388</v>
      </c>
      <c r="AC59" s="123">
        <f t="shared" si="4"/>
        <v>456.69515999487987</v>
      </c>
      <c r="AD59" s="123"/>
      <c r="AK59" s="121">
        <f t="shared" si="15"/>
        <v>57</v>
      </c>
      <c r="AL59" s="101">
        <f t="shared" si="6"/>
        <v>0</v>
      </c>
      <c r="AM59" s="101">
        <f>10+Module!$K$57/($Z$1+1)</f>
        <v>133.65759122654444</v>
      </c>
      <c r="AN59" s="101">
        <f>$Z$1*(25+Module!$I$6)</f>
        <v>50.5</v>
      </c>
      <c r="AO59" s="101">
        <f>(AM59*($Z$1+1)*0.002488974)/($Z$1+1)*Module!$I$5*Module!$I$7</f>
        <v>102.62345540579445</v>
      </c>
      <c r="AP59" s="101">
        <f>$P$120*Module!$I$7*X59*Module!$I$5</f>
        <v>128.71053637862062</v>
      </c>
      <c r="AQ59" s="151">
        <f t="shared" si="7"/>
        <v>1000000</v>
      </c>
      <c r="AS59" s="101">
        <f t="shared" si="8"/>
        <v>0</v>
      </c>
      <c r="AT59" s="101">
        <f>10+Module!$K$57/($AA$1+1)</f>
        <v>92.438394151029627</v>
      </c>
      <c r="AU59" s="101">
        <f>$AA$1*(25+Module!$I$6)</f>
        <v>101</v>
      </c>
      <c r="AV59" s="101">
        <f>(AT59*($Z$1+1)*0.002488974)/($Z$1+1)*Module!$I$5*Module!$I$7</f>
        <v>70.974999121916298</v>
      </c>
      <c r="AW59" s="101">
        <f>$P$120*Module!$I$7*X59*Module!$I$5</f>
        <v>128.71053637862062</v>
      </c>
      <c r="AX59" s="151">
        <f t="shared" si="9"/>
        <v>1000000</v>
      </c>
      <c r="AZ59" s="101">
        <f t="shared" si="10"/>
        <v>0</v>
      </c>
      <c r="BA59" s="101">
        <f>10+Module!$K$57/($AB$1+1)</f>
        <v>71.82879561327222</v>
      </c>
      <c r="BB59" s="101">
        <f>$AB$1*(25+Module!$I$6)</f>
        <v>151.5</v>
      </c>
      <c r="BC59" s="101">
        <f>(BA59*($AB$1+1)*0.002488974)/($AB$1+1)*Module!$I$5*Module!$I$7</f>
        <v>55.150770979977231</v>
      </c>
      <c r="BD59" s="101">
        <f>$P$120*Module!$I$7*X59*Module!$I$5</f>
        <v>128.71053637862062</v>
      </c>
      <c r="BE59" s="151">
        <f t="shared" si="11"/>
        <v>1000000</v>
      </c>
      <c r="BG59" s="101">
        <f t="shared" si="12"/>
        <v>0</v>
      </c>
      <c r="BH59" s="101">
        <f>10+Module!$K$57/($AC$1+1)</f>
        <v>59.463036490617775</v>
      </c>
      <c r="BI59" s="101">
        <f>$AC$1*(25+Module!$I$6)</f>
        <v>202</v>
      </c>
      <c r="BJ59" s="101">
        <f>(BH59*($AC$1+1)*0.002488974)/($AC$1+1)*Module!$I$5*Module!$I$7</f>
        <v>45.656234094813776</v>
      </c>
      <c r="BK59" s="101">
        <f>$P$120*Module!$I$7*X59*Module!$I$5</f>
        <v>128.71053637862062</v>
      </c>
      <c r="BL59" s="151">
        <f t="shared" si="13"/>
        <v>1000000</v>
      </c>
    </row>
    <row r="60" spans="1:64" ht="13.5" hidden="1" customHeight="1" thickBot="1">
      <c r="A60" s="101">
        <f t="shared" si="5"/>
        <v>60</v>
      </c>
      <c r="B60" s="100"/>
      <c r="C60" s="100">
        <f>Module!$H$12</f>
        <v>0.4158</v>
      </c>
      <c r="D60" s="13" t="s">
        <v>225</v>
      </c>
      <c r="E60" s="13" t="s">
        <v>186</v>
      </c>
      <c r="F60" s="13" t="s">
        <v>262</v>
      </c>
      <c r="G60" s="118" t="s">
        <v>261</v>
      </c>
      <c r="H60" s="63"/>
      <c r="I60" s="3"/>
      <c r="J60" s="765"/>
      <c r="K60" s="765"/>
      <c r="L60" s="765"/>
      <c r="M60" s="765"/>
      <c r="N60" s="765"/>
      <c r="O60" s="750"/>
      <c r="P60" s="766"/>
      <c r="Q60" s="767"/>
      <c r="R60" s="750"/>
      <c r="W60" s="780"/>
      <c r="X60" s="121">
        <f t="shared" si="14"/>
        <v>58</v>
      </c>
      <c r="Y60" s="122">
        <f>'calcul pneu pour calculateur'!P61</f>
        <v>91.108028787634794</v>
      </c>
      <c r="Z60" s="123">
        <f t="shared" si="16"/>
        <v>182.21605757526959</v>
      </c>
      <c r="AA60" s="123">
        <f t="shared" si="2"/>
        <v>273.32408636290438</v>
      </c>
      <c r="AB60" s="123">
        <f t="shared" si="3"/>
        <v>364.43211515053918</v>
      </c>
      <c r="AC60" s="123">
        <f t="shared" si="4"/>
        <v>455.54014393817397</v>
      </c>
      <c r="AD60" s="132"/>
      <c r="AE60" s="10"/>
      <c r="AF60" s="10"/>
      <c r="AG60" s="10"/>
      <c r="AH60" s="10"/>
      <c r="AJ60" s="10"/>
      <c r="AK60" s="121">
        <f t="shared" si="15"/>
        <v>58</v>
      </c>
      <c r="AL60" s="101">
        <f t="shared" si="6"/>
        <v>0</v>
      </c>
      <c r="AM60" s="101">
        <f>10+Module!$K$57/($Z$1+1)</f>
        <v>133.65759122654444</v>
      </c>
      <c r="AN60" s="101">
        <f>$Z$1*(25+Module!$I$6)</f>
        <v>50.5</v>
      </c>
      <c r="AO60" s="101">
        <f>(AM60*($Z$1+1)*0.002488974)/($Z$1+1)*Module!$I$5*Module!$I$7</f>
        <v>102.62345540579445</v>
      </c>
      <c r="AP60" s="101">
        <f>$P$120*Module!$I$7*X60*Module!$I$5</f>
        <v>130.96861596421047</v>
      </c>
      <c r="AQ60" s="151">
        <f t="shared" si="7"/>
        <v>1000000</v>
      </c>
      <c r="AS60" s="101">
        <f t="shared" si="8"/>
        <v>0</v>
      </c>
      <c r="AT60" s="101">
        <f>10+Module!$K$57/($AA$1+1)</f>
        <v>92.438394151029627</v>
      </c>
      <c r="AU60" s="101">
        <f>$AA$1*(25+Module!$I$6)</f>
        <v>101</v>
      </c>
      <c r="AV60" s="101">
        <f>(AT60*($Z$1+1)*0.002488974)/($Z$1+1)*Module!$I$5*Module!$I$7</f>
        <v>70.974999121916298</v>
      </c>
      <c r="AW60" s="101">
        <f>$P$120*Module!$I$7*X60*Module!$I$5</f>
        <v>130.96861596421047</v>
      </c>
      <c r="AX60" s="151">
        <f t="shared" si="9"/>
        <v>1000000</v>
      </c>
      <c r="AZ60" s="101">
        <f t="shared" si="10"/>
        <v>0</v>
      </c>
      <c r="BA60" s="101">
        <f>10+Module!$K$57/($AB$1+1)</f>
        <v>71.82879561327222</v>
      </c>
      <c r="BB60" s="101">
        <f>$AB$1*(25+Module!$I$6)</f>
        <v>151.5</v>
      </c>
      <c r="BC60" s="101">
        <f>(BA60*($AB$1+1)*0.002488974)/($AB$1+1)*Module!$I$5*Module!$I$7</f>
        <v>55.150770979977231</v>
      </c>
      <c r="BD60" s="101">
        <f>$P$120*Module!$I$7*X60*Module!$I$5</f>
        <v>130.96861596421047</v>
      </c>
      <c r="BE60" s="151">
        <f t="shared" si="11"/>
        <v>1000000</v>
      </c>
      <c r="BG60" s="101">
        <f t="shared" si="12"/>
        <v>0</v>
      </c>
      <c r="BH60" s="101">
        <f>10+Module!$K$57/($AC$1+1)</f>
        <v>59.463036490617775</v>
      </c>
      <c r="BI60" s="101">
        <f>$AC$1*(25+Module!$I$6)</f>
        <v>202</v>
      </c>
      <c r="BJ60" s="101">
        <f>(BH60*($AC$1+1)*0.002488974)/($AC$1+1)*Module!$I$5*Module!$I$7</f>
        <v>45.656234094813776</v>
      </c>
      <c r="BK60" s="101">
        <f>$P$120*Module!$I$7*X60*Module!$I$5</f>
        <v>130.96861596421047</v>
      </c>
      <c r="BL60" s="151">
        <f t="shared" si="13"/>
        <v>1000000</v>
      </c>
    </row>
    <row r="61" spans="1:64" ht="13.5" hidden="1" customHeight="1" thickBot="1">
      <c r="A61" s="101">
        <f t="shared" si="5"/>
        <v>61</v>
      </c>
      <c r="B61" s="100"/>
      <c r="C61" s="13" t="s">
        <v>225</v>
      </c>
      <c r="D61" s="110">
        <f>IF(D99=0,0,D99+E59)</f>
        <v>0</v>
      </c>
      <c r="E61" s="110">
        <f>IF(E99=0,0,E62-C60)</f>
        <v>0</v>
      </c>
      <c r="F61" s="110">
        <f>IF(F99=0,0,F62-C60)</f>
        <v>0</v>
      </c>
      <c r="G61" s="110">
        <f>IF(G99=0,0,G62-$C$60)</f>
        <v>0</v>
      </c>
      <c r="H61" s="101">
        <f>SUM(D61:G61)*Module!$I$5</f>
        <v>0</v>
      </c>
      <c r="I61" s="13" t="s">
        <v>225</v>
      </c>
      <c r="J61" s="67">
        <f>J67</f>
        <v>3</v>
      </c>
      <c r="K61" s="68">
        <f>$O$71/(J67+1)</f>
        <v>62.25</v>
      </c>
      <c r="L61" s="69">
        <f>J61*(25+Module!$I$6)</f>
        <v>151.5</v>
      </c>
      <c r="M61" s="69" t="e">
        <f>#REF!</f>
        <v>#REF!</v>
      </c>
      <c r="N61" s="69">
        <f>Module!F42</f>
        <v>0</v>
      </c>
      <c r="O61" s="69" t="e">
        <f>VLOOKUP($J$4,INFO!$A$136:$B$140,2,0)</f>
        <v>#N/A</v>
      </c>
      <c r="P61" s="768" t="e">
        <f>H61+L61+M61</f>
        <v>#REF!</v>
      </c>
      <c r="Q61" s="769"/>
      <c r="R61" s="69">
        <f>J99-(I99/((0.0004*O68)+1)*Module!I5)</f>
        <v>0</v>
      </c>
      <c r="S61" s="133" t="e">
        <f>IF(D79=0,0,P61-R61)</f>
        <v>#REF!</v>
      </c>
      <c r="T61" s="101" t="e">
        <f>P68</f>
        <v>#N/A</v>
      </c>
      <c r="U61" s="101" t="e">
        <f>(SUMIF(S61:T61,"&lt;&gt;#N/A"))</f>
        <v>#REF!</v>
      </c>
      <c r="W61" s="780"/>
      <c r="X61" s="121">
        <f t="shared" si="14"/>
        <v>59</v>
      </c>
      <c r="Y61" s="122">
        <f>'calcul pneu pour calculateur'!P62</f>
        <v>90.877025576293619</v>
      </c>
      <c r="Z61" s="123">
        <f t="shared" si="16"/>
        <v>181.75405115258724</v>
      </c>
      <c r="AA61" s="123">
        <f t="shared" si="2"/>
        <v>272.63107672888088</v>
      </c>
      <c r="AB61" s="123">
        <f t="shared" si="3"/>
        <v>363.50810230517448</v>
      </c>
      <c r="AC61" s="123">
        <f t="shared" si="4"/>
        <v>454.38512788146807</v>
      </c>
      <c r="AD61" s="132"/>
      <c r="AE61" s="10"/>
      <c r="AF61" s="10"/>
      <c r="AG61" s="10"/>
      <c r="AH61" s="10"/>
      <c r="AJ61" s="10"/>
      <c r="AK61" s="121">
        <f t="shared" si="15"/>
        <v>59</v>
      </c>
      <c r="AL61" s="101">
        <f t="shared" si="6"/>
        <v>0</v>
      </c>
      <c r="AM61" s="101">
        <f>10+Module!$K$57/($Z$1+1)</f>
        <v>133.65759122654444</v>
      </c>
      <c r="AN61" s="101">
        <f>$Z$1*(25+Module!$I$6)</f>
        <v>50.5</v>
      </c>
      <c r="AO61" s="101">
        <f>(AM61*($Z$1+1)*0.002488974)/($Z$1+1)*Module!$I$5*Module!$I$7</f>
        <v>102.62345540579445</v>
      </c>
      <c r="AP61" s="101">
        <f>$P$120*Module!$I$7*X61*Module!$I$5</f>
        <v>133.2266955498003</v>
      </c>
      <c r="AQ61" s="151">
        <f t="shared" si="7"/>
        <v>1000000</v>
      </c>
      <c r="AS61" s="101">
        <f t="shared" si="8"/>
        <v>0</v>
      </c>
      <c r="AT61" s="101">
        <f>10+Module!$K$57/($AA$1+1)</f>
        <v>92.438394151029627</v>
      </c>
      <c r="AU61" s="101">
        <f>$AA$1*(25+Module!$I$6)</f>
        <v>101</v>
      </c>
      <c r="AV61" s="101">
        <f>(AT61*($Z$1+1)*0.002488974)/($Z$1+1)*Module!$I$5*Module!$I$7</f>
        <v>70.974999121916298</v>
      </c>
      <c r="AW61" s="101">
        <f>$P$120*Module!$I$7*X61*Module!$I$5</f>
        <v>133.2266955498003</v>
      </c>
      <c r="AX61" s="151">
        <f t="shared" si="9"/>
        <v>1000000</v>
      </c>
      <c r="AZ61" s="101">
        <f t="shared" si="10"/>
        <v>0</v>
      </c>
      <c r="BA61" s="101">
        <f>10+Module!$K$57/($AB$1+1)</f>
        <v>71.82879561327222</v>
      </c>
      <c r="BB61" s="101">
        <f>$AB$1*(25+Module!$I$6)</f>
        <v>151.5</v>
      </c>
      <c r="BC61" s="101">
        <f>(BA61*($AB$1+1)*0.002488974)/($AB$1+1)*Module!$I$5*Module!$I$7</f>
        <v>55.150770979977231</v>
      </c>
      <c r="BD61" s="101">
        <f>$P$120*Module!$I$7*X61*Module!$I$5</f>
        <v>133.2266955498003</v>
      </c>
      <c r="BE61" s="151">
        <f t="shared" si="11"/>
        <v>1000000</v>
      </c>
      <c r="BG61" s="101">
        <f t="shared" si="12"/>
        <v>0</v>
      </c>
      <c r="BH61" s="101">
        <f>10+Module!$K$57/($AC$1+1)</f>
        <v>59.463036490617775</v>
      </c>
      <c r="BI61" s="101">
        <f>$AC$1*(25+Module!$I$6)</f>
        <v>202</v>
      </c>
      <c r="BJ61" s="101">
        <f>(BH61*($AC$1+1)*0.002488974)/($AC$1+1)*Module!$I$5*Module!$I$7</f>
        <v>45.656234094813776</v>
      </c>
      <c r="BK61" s="101">
        <f>$P$120*Module!$I$7*X61*Module!$I$5</f>
        <v>133.2266955498003</v>
      </c>
      <c r="BL61" s="151">
        <f t="shared" si="13"/>
        <v>1000000</v>
      </c>
    </row>
    <row r="62" spans="1:64" ht="13.5" hidden="1" customHeight="1" thickBot="1">
      <c r="A62" s="101">
        <f t="shared" si="5"/>
        <v>62</v>
      </c>
      <c r="B62" s="100"/>
      <c r="C62" s="13" t="s">
        <v>212</v>
      </c>
      <c r="D62" s="110">
        <f>IF(D100=0,0,D61+C60)</f>
        <v>0</v>
      </c>
      <c r="E62" s="110">
        <f>IF(E100=0,0,E100+E59)</f>
        <v>0</v>
      </c>
      <c r="F62" s="110">
        <f>IF(F100=0,0,F63-C60)</f>
        <v>0</v>
      </c>
      <c r="G62" s="110">
        <f>IF(G100=0,0,G63-$C$60)</f>
        <v>0</v>
      </c>
      <c r="H62" s="101">
        <f>SUM(D62:G62)*Module!$I$5</f>
        <v>0</v>
      </c>
      <c r="I62" s="13" t="s">
        <v>212</v>
      </c>
      <c r="J62" s="67">
        <f>J75</f>
        <v>2</v>
      </c>
      <c r="K62" s="68">
        <f>O79/(J62+1)</f>
        <v>83</v>
      </c>
      <c r="L62" s="69">
        <f>J62*(25+Module!$I$6)</f>
        <v>101</v>
      </c>
      <c r="M62" s="69" t="e">
        <f>#REF!</f>
        <v>#REF!</v>
      </c>
      <c r="N62" s="69">
        <f>Module!F43</f>
        <v>23.700600000000001</v>
      </c>
      <c r="O62" s="69" t="e">
        <f>VLOOKUP($J$4,INFO!$A$136:$B$140,2,0)</f>
        <v>#N/A</v>
      </c>
      <c r="P62" s="768" t="e">
        <f>H62+L62+M62</f>
        <v>#REF!</v>
      </c>
      <c r="Q62" s="769"/>
      <c r="R62" s="69">
        <f>J100-(I100/((0.0004*O76)+1)*Module!$I$5)</f>
        <v>0</v>
      </c>
      <c r="S62" s="133" t="e">
        <f>IF(D82=0,0,P62-R62)</f>
        <v>#REF!</v>
      </c>
      <c r="T62" s="101" t="e">
        <f>P76</f>
        <v>#N/A</v>
      </c>
      <c r="U62" s="101" t="e">
        <f>(SUMIF(S62:T62,"&lt;&gt;#N/A"))</f>
        <v>#REF!</v>
      </c>
      <c r="W62" s="780"/>
      <c r="X62" s="121">
        <f t="shared" si="14"/>
        <v>60</v>
      </c>
      <c r="Y62" s="122">
        <f>'calcul pneu pour calculateur'!P63</f>
        <v>90.646022364952429</v>
      </c>
      <c r="Z62" s="123">
        <f t="shared" si="16"/>
        <v>181.29204472990486</v>
      </c>
      <c r="AA62" s="123">
        <f t="shared" si="2"/>
        <v>271.93806709485727</v>
      </c>
      <c r="AB62" s="123">
        <f t="shared" si="3"/>
        <v>362.58408945980972</v>
      </c>
      <c r="AC62" s="123">
        <f t="shared" si="4"/>
        <v>453.23011182476216</v>
      </c>
      <c r="AD62" s="132"/>
      <c r="AE62" s="10"/>
      <c r="AF62" s="10"/>
      <c r="AG62" s="10"/>
      <c r="AH62" s="10"/>
      <c r="AJ62" s="10"/>
      <c r="AK62" s="121">
        <f t="shared" si="15"/>
        <v>60</v>
      </c>
      <c r="AL62" s="101">
        <f>$H$61</f>
        <v>0</v>
      </c>
      <c r="AM62" s="101">
        <f>10+Module!$K$57/($Z$1+1)</f>
        <v>133.65759122654444</v>
      </c>
      <c r="AN62" s="101">
        <f>$Z$1*(25+Module!$I$6)</f>
        <v>50.5</v>
      </c>
      <c r="AO62" s="101">
        <f>(AM62*($Z$1+1)*0.002488974)/($Z$1+1)*Module!$I$5*Module!$I$7</f>
        <v>102.62345540579445</v>
      </c>
      <c r="AP62" s="101">
        <f>$P$120*Module!$I$7*X62*Module!$I$5</f>
        <v>135.48477513539012</v>
      </c>
      <c r="AQ62" s="151">
        <f t="shared" si="7"/>
        <v>1000000</v>
      </c>
      <c r="AS62" s="101">
        <f t="shared" si="8"/>
        <v>0</v>
      </c>
      <c r="AT62" s="101">
        <f>10+Module!$K$57/($AA$1+1)</f>
        <v>92.438394151029627</v>
      </c>
      <c r="AU62" s="101">
        <f>$AA$1*(25+Module!$I$6)</f>
        <v>101</v>
      </c>
      <c r="AV62" s="101">
        <f>(AT62*($Z$1+1)*0.002488974)/($Z$1+1)*Module!$I$5*Module!$I$7</f>
        <v>70.974999121916298</v>
      </c>
      <c r="AW62" s="101">
        <f>$P$120*Module!$I$7*X62*Module!$I$5</f>
        <v>135.48477513539012</v>
      </c>
      <c r="AX62" s="151">
        <f t="shared" si="9"/>
        <v>1000000</v>
      </c>
      <c r="AZ62" s="101">
        <f t="shared" si="10"/>
        <v>0</v>
      </c>
      <c r="BA62" s="101">
        <f>10+Module!$K$57/($AB$1+1)</f>
        <v>71.82879561327222</v>
      </c>
      <c r="BB62" s="101">
        <f>$AB$1*(25+Module!$I$6)</f>
        <v>151.5</v>
      </c>
      <c r="BC62" s="101">
        <f>(BA62*($AB$1+1)*0.002488974)/($AB$1+1)*Module!$I$5*Module!$I$7</f>
        <v>55.150770979977231</v>
      </c>
      <c r="BD62" s="101">
        <f>$P$120*Module!$I$7*X62*Module!$I$5</f>
        <v>135.48477513539012</v>
      </c>
      <c r="BE62" s="151">
        <f t="shared" si="11"/>
        <v>1000000</v>
      </c>
      <c r="BG62" s="101">
        <f t="shared" si="12"/>
        <v>0</v>
      </c>
      <c r="BH62" s="101">
        <f>10+Module!$K$57/($AC$1+1)</f>
        <v>59.463036490617775</v>
      </c>
      <c r="BI62" s="101">
        <f>$AC$1*(25+Module!$I$6)</f>
        <v>202</v>
      </c>
      <c r="BJ62" s="101">
        <f>(BH62*($AC$1+1)*0.002488974)/($AC$1+1)*Module!$I$5*Module!$I$7</f>
        <v>45.656234094813776</v>
      </c>
      <c r="BK62" s="101">
        <f>$P$120*Module!$I$7*X62*Module!$I$5</f>
        <v>135.48477513539012</v>
      </c>
      <c r="BL62" s="151">
        <f t="shared" si="13"/>
        <v>1000000</v>
      </c>
    </row>
    <row r="63" spans="1:64" ht="13.5" hidden="1" customHeight="1" thickBot="1">
      <c r="A63" s="101">
        <f t="shared" si="5"/>
        <v>63</v>
      </c>
      <c r="B63" s="100"/>
      <c r="C63" s="13" t="s">
        <v>135</v>
      </c>
      <c r="D63" s="110">
        <f>IF(D101=0,0,D62+C60)</f>
        <v>0</v>
      </c>
      <c r="E63" s="110">
        <f>IF(E101=0,0,E62+C60)</f>
        <v>0</v>
      </c>
      <c r="F63" s="110">
        <f>IF(F101=0,0,F101+E59)</f>
        <v>0</v>
      </c>
      <c r="G63" s="110">
        <f>IF(G101=0,0,G64-$C$60)</f>
        <v>0</v>
      </c>
      <c r="H63" s="101">
        <f>SUM(D63:G63)*Module!$I$5</f>
        <v>0</v>
      </c>
      <c r="I63" s="13" t="s">
        <v>135</v>
      </c>
      <c r="J63" s="67">
        <f>J83</f>
        <v>1</v>
      </c>
      <c r="K63" s="68">
        <f>O87/(J63+1)</f>
        <v>124</v>
      </c>
      <c r="L63" s="69">
        <f>J63*(25+Module!$I$6)</f>
        <v>50.5</v>
      </c>
      <c r="M63" s="69" t="e">
        <f>#REF!</f>
        <v>#REF!</v>
      </c>
      <c r="N63" s="69">
        <f>Module!F44</f>
        <v>47.401200000000003</v>
      </c>
      <c r="O63" s="69" t="e">
        <f>VLOOKUP($J$4,INFO!$A$136:$B$140,2,0)</f>
        <v>#N/A</v>
      </c>
      <c r="P63" s="768" t="e">
        <f>H63+L63+M63</f>
        <v>#REF!</v>
      </c>
      <c r="Q63" s="769"/>
      <c r="R63" s="69">
        <f>J101-(I101/((0.0004*O84)+1)*Module!$I$5)</f>
        <v>0</v>
      </c>
      <c r="S63" s="133" t="e">
        <f>IF(D85=0,0,P63-R63)</f>
        <v>#REF!</v>
      </c>
      <c r="T63" s="101" t="e">
        <f>P84</f>
        <v>#REF!</v>
      </c>
      <c r="U63" s="101" t="e">
        <f>(SUMIF(S63:T63,"&lt;&gt;#N/A"))</f>
        <v>#REF!</v>
      </c>
      <c r="W63" s="780"/>
      <c r="X63" s="121">
        <f t="shared" si="14"/>
        <v>61</v>
      </c>
      <c r="Y63" s="122">
        <f>'calcul pneu pour calculateur'!P64</f>
        <v>90.415019153611254</v>
      </c>
      <c r="Z63" s="123">
        <f t="shared" si="16"/>
        <v>180.83003830722251</v>
      </c>
      <c r="AA63" s="123">
        <f t="shared" si="2"/>
        <v>271.24505746083378</v>
      </c>
      <c r="AB63" s="123">
        <f t="shared" si="3"/>
        <v>361.66007661444502</v>
      </c>
      <c r="AC63" s="123">
        <f t="shared" si="4"/>
        <v>452.07509576805626</v>
      </c>
      <c r="AD63" s="123"/>
      <c r="AK63" s="121">
        <f t="shared" si="15"/>
        <v>61</v>
      </c>
      <c r="AL63" s="101">
        <f t="shared" si="6"/>
        <v>0</v>
      </c>
      <c r="AM63" s="101">
        <f>10+Module!$K$57/($Z$1+1)</f>
        <v>133.65759122654444</v>
      </c>
      <c r="AN63" s="101">
        <f>$Z$1*(25+Module!$I$6)</f>
        <v>50.5</v>
      </c>
      <c r="AO63" s="101">
        <f>(AM63*($Z$1+1)*0.002488974)/($Z$1+1)*Module!$I$5*Module!$I$7</f>
        <v>102.62345540579445</v>
      </c>
      <c r="AP63" s="101">
        <f>$P$120*Module!$I$7*X63*Module!$I$5</f>
        <v>137.74285472097998</v>
      </c>
      <c r="AQ63" s="151">
        <f>IF(AK63 &gt;$AJ$17,1000000,AL63+AN63+AO63-AP63)</f>
        <v>1000000</v>
      </c>
      <c r="AS63" s="101">
        <f t="shared" si="8"/>
        <v>0</v>
      </c>
      <c r="AT63" s="101">
        <f>10+Module!$K$57/($AA$1+1)</f>
        <v>92.438394151029627</v>
      </c>
      <c r="AU63" s="101">
        <f>$AA$1*(25+Module!$I$6)</f>
        <v>101</v>
      </c>
      <c r="AV63" s="101">
        <f>(AT63*($Z$1+1)*0.002488974)/($Z$1+1)*Module!$I$5*Module!$I$7</f>
        <v>70.974999121916298</v>
      </c>
      <c r="AW63" s="101">
        <f>$P$120*Module!$I$7*X63*Module!$I$5</f>
        <v>137.74285472097998</v>
      </c>
      <c r="AX63" s="151">
        <f t="shared" si="9"/>
        <v>1000000</v>
      </c>
      <c r="AZ63" s="101">
        <f t="shared" si="10"/>
        <v>0</v>
      </c>
      <c r="BA63" s="101">
        <f>10+Module!$K$57/($AB$1+1)</f>
        <v>71.82879561327222</v>
      </c>
      <c r="BB63" s="101">
        <f>$AB$1*(25+Module!$I$6)</f>
        <v>151.5</v>
      </c>
      <c r="BC63" s="101">
        <f>(BA63*($AB$1+1)*0.002488974)/($AB$1+1)*Module!$I$5*Module!$I$7</f>
        <v>55.150770979977231</v>
      </c>
      <c r="BD63" s="101">
        <f>$P$120*Module!$I$7*X63*Module!$I$5</f>
        <v>137.74285472097998</v>
      </c>
      <c r="BE63" s="151">
        <f t="shared" si="11"/>
        <v>1000000</v>
      </c>
      <c r="BG63" s="101">
        <f t="shared" si="12"/>
        <v>0</v>
      </c>
      <c r="BH63" s="101">
        <f>10+Module!$K$57/($AC$1+1)</f>
        <v>59.463036490617775</v>
      </c>
      <c r="BI63" s="101">
        <f>$AC$1*(25+Module!$I$6)</f>
        <v>202</v>
      </c>
      <c r="BJ63" s="101">
        <f>(BH63*($AC$1+1)*0.002488974)/($AC$1+1)*Module!$I$5*Module!$I$7</f>
        <v>45.656234094813776</v>
      </c>
      <c r="BK63" s="101">
        <f>$P$120*Module!$I$7*X63*Module!$I$5</f>
        <v>137.74285472097998</v>
      </c>
      <c r="BL63" s="151">
        <f t="shared" si="13"/>
        <v>1000000</v>
      </c>
    </row>
    <row r="64" spans="1:64" ht="12.75" hidden="1" customHeight="1" thickBot="1">
      <c r="A64" s="101">
        <f t="shared" si="5"/>
        <v>64</v>
      </c>
      <c r="B64" s="100"/>
      <c r="C64" s="13" t="s">
        <v>152</v>
      </c>
      <c r="D64" s="110">
        <f>IF(D102=0,0,D63+C60)</f>
        <v>0</v>
      </c>
      <c r="E64" s="110">
        <f>IF(E102=0,0,E63+C60)</f>
        <v>0</v>
      </c>
      <c r="F64" s="110">
        <f>IF(F102=0,0,F63+C60)</f>
        <v>0</v>
      </c>
      <c r="G64" s="110">
        <f>IF(G102=0,0,G102+E59)</f>
        <v>0</v>
      </c>
      <c r="H64" s="101">
        <f>SUM(D64:G64)*Module!$I$5</f>
        <v>0</v>
      </c>
      <c r="I64" s="13" t="s">
        <v>152</v>
      </c>
      <c r="J64" s="67">
        <f>J91</f>
        <v>1</v>
      </c>
      <c r="K64" s="68">
        <f>O95/(J64+1)</f>
        <v>124</v>
      </c>
      <c r="L64" s="69">
        <f>J64*(25+Module!$I$6)</f>
        <v>50.5</v>
      </c>
      <c r="M64" s="69" t="e">
        <f>#REF!</f>
        <v>#REF!</v>
      </c>
      <c r="N64" s="69">
        <f>N62*3</f>
        <v>71.101799999999997</v>
      </c>
      <c r="O64" s="69" t="e">
        <f>VLOOKUP($J$4,INFO!$A$136:$B$140,2,0)</f>
        <v>#N/A</v>
      </c>
      <c r="P64" s="768" t="e">
        <f>H64+L64+M64</f>
        <v>#REF!</v>
      </c>
      <c r="Q64" s="769"/>
      <c r="R64" s="69">
        <f>J102-(I102/((0.0004*O92)+1)*Module!$I$5)</f>
        <v>0</v>
      </c>
      <c r="S64" s="133" t="e">
        <f>IF(D88=0,0,P64-R64)</f>
        <v>#REF!</v>
      </c>
      <c r="T64" s="101" t="e">
        <f>P92</f>
        <v>#N/A</v>
      </c>
      <c r="U64" s="101" t="e">
        <f>(SUMIF(S64:T64,"&lt;&gt;#N/A"))</f>
        <v>#REF!</v>
      </c>
      <c r="W64" s="780"/>
      <c r="X64" s="121">
        <f t="shared" si="14"/>
        <v>62</v>
      </c>
      <c r="Y64" s="122">
        <f>'calcul pneu pour calculateur'!P65</f>
        <v>90.184015942270065</v>
      </c>
      <c r="Z64" s="123">
        <f t="shared" si="16"/>
        <v>180.36803188454013</v>
      </c>
      <c r="AA64" s="123">
        <f t="shared" si="2"/>
        <v>270.55204782681017</v>
      </c>
      <c r="AB64" s="123">
        <f t="shared" si="3"/>
        <v>360.73606376908026</v>
      </c>
      <c r="AC64" s="123">
        <f t="shared" si="4"/>
        <v>450.92007971135035</v>
      </c>
      <c r="AD64" s="123"/>
      <c r="AK64" s="121">
        <f t="shared" si="15"/>
        <v>62</v>
      </c>
      <c r="AL64" s="101">
        <f t="shared" si="6"/>
        <v>0</v>
      </c>
      <c r="AM64" s="101">
        <f>10+Module!$K$57/($Z$1+1)</f>
        <v>133.65759122654444</v>
      </c>
      <c r="AN64" s="101">
        <f>$Z$1*(25+Module!$I$6)</f>
        <v>50.5</v>
      </c>
      <c r="AO64" s="101">
        <f>(AM64*($Z$1+1)*0.002488974)/($Z$1+1)*Module!$I$5*Module!$I$7</f>
        <v>102.62345540579445</v>
      </c>
      <c r="AP64" s="101">
        <f>$P$120*Module!$I$7*X64*Module!$I$5</f>
        <v>140.0009343065698</v>
      </c>
      <c r="AQ64" s="151">
        <f t="shared" si="7"/>
        <v>1000000</v>
      </c>
      <c r="AS64" s="101">
        <f t="shared" si="8"/>
        <v>0</v>
      </c>
      <c r="AT64" s="101">
        <f>10+Module!$K$57/($AA$1+1)</f>
        <v>92.438394151029627</v>
      </c>
      <c r="AU64" s="101">
        <f>$AA$1*(25+Module!$I$6)</f>
        <v>101</v>
      </c>
      <c r="AV64" s="101">
        <f>(AT64*($Z$1+1)*0.002488974)/($Z$1+1)*Module!$I$5*Module!$I$7</f>
        <v>70.974999121916298</v>
      </c>
      <c r="AW64" s="101">
        <f>$P$120*Module!$I$7*X64*Module!$I$5</f>
        <v>140.0009343065698</v>
      </c>
      <c r="AX64" s="151">
        <f t="shared" si="9"/>
        <v>1000000</v>
      </c>
      <c r="AZ64" s="101">
        <f t="shared" si="10"/>
        <v>0</v>
      </c>
      <c r="BA64" s="101">
        <f>10+Module!$K$57/($AB$1+1)</f>
        <v>71.82879561327222</v>
      </c>
      <c r="BB64" s="101">
        <f>$AB$1*(25+Module!$I$6)</f>
        <v>151.5</v>
      </c>
      <c r="BC64" s="101">
        <f>(BA64*($AB$1+1)*0.002488974)/($AB$1+1)*Module!$I$5*Module!$I$7</f>
        <v>55.150770979977231</v>
      </c>
      <c r="BD64" s="101">
        <f>$P$120*Module!$I$7*X64*Module!$I$5</f>
        <v>140.0009343065698</v>
      </c>
      <c r="BE64" s="151">
        <f t="shared" si="11"/>
        <v>1000000</v>
      </c>
      <c r="BG64" s="101">
        <f t="shared" si="12"/>
        <v>0</v>
      </c>
      <c r="BH64" s="101">
        <f>10+Module!$K$57/($AC$1+1)</f>
        <v>59.463036490617775</v>
      </c>
      <c r="BI64" s="101">
        <f>$AC$1*(25+Module!$I$6)</f>
        <v>202</v>
      </c>
      <c r="BJ64" s="101">
        <f>(BH64*($AC$1+1)*0.002488974)/($AC$1+1)*Module!$I$5*Module!$I$7</f>
        <v>45.656234094813776</v>
      </c>
      <c r="BK64" s="101">
        <f>$P$120*Module!$I$7*X64*Module!$I$5</f>
        <v>140.0009343065698</v>
      </c>
      <c r="BL64" s="151">
        <f t="shared" si="13"/>
        <v>1000000</v>
      </c>
    </row>
    <row r="65" spans="1:64" ht="15" hidden="1" customHeight="1" thickBot="1">
      <c r="A65" s="101">
        <f t="shared" si="5"/>
        <v>65</v>
      </c>
      <c r="B65" s="100"/>
      <c r="C65" s="100"/>
      <c r="D65" s="100"/>
      <c r="E65" s="100"/>
      <c r="F65" s="100"/>
      <c r="I65" s="100"/>
      <c r="J65" s="100"/>
      <c r="K65" s="100"/>
      <c r="L65" s="100"/>
      <c r="M65" s="100"/>
      <c r="N65" s="100"/>
      <c r="O65" s="100"/>
      <c r="P65" s="100"/>
      <c r="Q65" s="100"/>
      <c r="R65" s="100"/>
      <c r="W65" s="780"/>
      <c r="X65" s="121">
        <f t="shared" si="14"/>
        <v>63</v>
      </c>
      <c r="Y65" s="122">
        <f>'calcul pneu pour calculateur'!P66</f>
        <v>89.95301273092889</v>
      </c>
      <c r="Z65" s="123">
        <f t="shared" si="16"/>
        <v>179.90602546185778</v>
      </c>
      <c r="AA65" s="123">
        <f t="shared" si="2"/>
        <v>269.85903819278667</v>
      </c>
      <c r="AB65" s="123">
        <f t="shared" si="3"/>
        <v>359.81205092371556</v>
      </c>
      <c r="AC65" s="123">
        <f t="shared" si="4"/>
        <v>449.76506365464445</v>
      </c>
      <c r="AD65" s="123"/>
      <c r="AK65" s="121">
        <f t="shared" si="15"/>
        <v>63</v>
      </c>
      <c r="AL65" s="101">
        <f t="shared" si="6"/>
        <v>0</v>
      </c>
      <c r="AM65" s="101">
        <f>10+Module!$K$57/($Z$1+1)</f>
        <v>133.65759122654444</v>
      </c>
      <c r="AN65" s="101">
        <f>$Z$1*(25+Module!$I$6)</f>
        <v>50.5</v>
      </c>
      <c r="AO65" s="101">
        <f>(AM65*($Z$1+1)*0.002488974)/($Z$1+1)*Module!$I$5*Module!$I$7</f>
        <v>102.62345540579445</v>
      </c>
      <c r="AP65" s="101">
        <f>$P$120*Module!$I$7*X65*Module!$I$5</f>
        <v>142.25901389215963</v>
      </c>
      <c r="AQ65" s="151">
        <f t="shared" si="7"/>
        <v>1000000</v>
      </c>
      <c r="AS65" s="101">
        <f t="shared" si="8"/>
        <v>0</v>
      </c>
      <c r="AT65" s="101">
        <f>10+Module!$K$57/($AA$1+1)</f>
        <v>92.438394151029627</v>
      </c>
      <c r="AU65" s="101">
        <f>$AA$1*(25+Module!$I$6)</f>
        <v>101</v>
      </c>
      <c r="AV65" s="101">
        <f>(AT65*($Z$1+1)*0.002488974)/($Z$1+1)*Module!$I$5*Module!$I$7</f>
        <v>70.974999121916298</v>
      </c>
      <c r="AW65" s="101">
        <f>$P$120*Module!$I$7*X65*Module!$I$5</f>
        <v>142.25901389215963</v>
      </c>
      <c r="AX65" s="151">
        <f t="shared" si="9"/>
        <v>1000000</v>
      </c>
      <c r="AZ65" s="101">
        <f t="shared" si="10"/>
        <v>0</v>
      </c>
      <c r="BA65" s="101">
        <f>10+Module!$K$57/($AB$1+1)</f>
        <v>71.82879561327222</v>
      </c>
      <c r="BB65" s="101">
        <f>$AB$1*(25+Module!$I$6)</f>
        <v>151.5</v>
      </c>
      <c r="BC65" s="101">
        <f>(BA65*($AB$1+1)*0.002488974)/($AB$1+1)*Module!$I$5*Module!$I$7</f>
        <v>55.150770979977231</v>
      </c>
      <c r="BD65" s="101">
        <f>$P$120*Module!$I$7*X65*Module!$I$5</f>
        <v>142.25901389215963</v>
      </c>
      <c r="BE65" s="151">
        <f t="shared" si="11"/>
        <v>1000000</v>
      </c>
      <c r="BG65" s="101">
        <f t="shared" si="12"/>
        <v>0</v>
      </c>
      <c r="BH65" s="101">
        <f>10+Module!$K$57/($AC$1+1)</f>
        <v>59.463036490617775</v>
      </c>
      <c r="BI65" s="101">
        <f>$AC$1*(25+Module!$I$6)</f>
        <v>202</v>
      </c>
      <c r="BJ65" s="101">
        <f>(BH65*($AC$1+1)*0.002488974)/($AC$1+1)*Module!$I$5*Module!$I$7</f>
        <v>45.656234094813776</v>
      </c>
      <c r="BK65" s="101">
        <f>$P$120*Module!$I$7*X65*Module!$I$5</f>
        <v>142.25901389215963</v>
      </c>
      <c r="BL65" s="151">
        <f t="shared" si="13"/>
        <v>1000000</v>
      </c>
    </row>
    <row r="66" spans="1:64" ht="24.75" customHeight="1" thickBot="1">
      <c r="A66" s="101">
        <f t="shared" si="5"/>
        <v>66</v>
      </c>
      <c r="H66" s="119"/>
      <c r="I66" s="770" t="s">
        <v>272</v>
      </c>
      <c r="J66" s="771"/>
      <c r="K66" s="771"/>
      <c r="L66" s="771"/>
      <c r="M66" s="782" t="str">
        <f>IF(D79="",0,'CALCULETTE CHRONOS'!C9)</f>
        <v>1h 32m 29,6132154684055 s</v>
      </c>
      <c r="N66" s="783"/>
      <c r="O66" s="784"/>
      <c r="S66" s="101">
        <f>0+P71</f>
        <v>0</v>
      </c>
      <c r="T66" s="101" t="e">
        <f>VLOOKUP(S66,$U$66:$V$73,2,0)</f>
        <v>#N/A</v>
      </c>
      <c r="U66" s="101">
        <v>-1</v>
      </c>
      <c r="V66" s="101" t="e">
        <f>#REF!</f>
        <v>#REF!</v>
      </c>
      <c r="W66" s="780"/>
      <c r="X66" s="121">
        <f t="shared" si="14"/>
        <v>64</v>
      </c>
      <c r="Y66" s="122">
        <f>'calcul pneu pour calculateur'!P67</f>
        <v>89.722009519587715</v>
      </c>
      <c r="Z66" s="123">
        <f t="shared" si="16"/>
        <v>179.44401903917543</v>
      </c>
      <c r="AA66" s="123">
        <f t="shared" ref="AA66:AA106" si="17">Y66*3</f>
        <v>269.16602855876317</v>
      </c>
      <c r="AB66" s="123">
        <f t="shared" ref="AB66:AB106" si="18">Y66*4</f>
        <v>358.88803807835086</v>
      </c>
      <c r="AC66" s="123">
        <f t="shared" ref="AC66:AC106" si="19">Y66*5</f>
        <v>448.61004759793855</v>
      </c>
      <c r="AD66" s="123"/>
      <c r="AK66" s="121">
        <f t="shared" si="15"/>
        <v>64</v>
      </c>
      <c r="AL66" s="101">
        <f t="shared" si="6"/>
        <v>0</v>
      </c>
      <c r="AM66" s="101">
        <f>10+Module!$K$57/($Z$1+1)</f>
        <v>133.65759122654444</v>
      </c>
      <c r="AN66" s="101">
        <f>$Z$1*(25+Module!$I$6)</f>
        <v>50.5</v>
      </c>
      <c r="AO66" s="101">
        <f>(AM66*($Z$1+1)*0.002488974)/($Z$1+1)*Module!$I$5*Module!$I$7</f>
        <v>102.62345540579445</v>
      </c>
      <c r="AP66" s="101">
        <f>$P$120*Module!$I$7*X66*Module!$I$5</f>
        <v>144.51709347774946</v>
      </c>
      <c r="AQ66" s="151">
        <f t="shared" si="7"/>
        <v>1000000</v>
      </c>
      <c r="AS66" s="101">
        <f t="shared" si="8"/>
        <v>0</v>
      </c>
      <c r="AT66" s="101">
        <f>10+Module!$K$57/($AA$1+1)</f>
        <v>92.438394151029627</v>
      </c>
      <c r="AU66" s="101">
        <f>$AA$1*(25+Module!$I$6)</f>
        <v>101</v>
      </c>
      <c r="AV66" s="101">
        <f>(AT66*($Z$1+1)*0.002488974)/($Z$1+1)*Module!$I$5*Module!$I$7</f>
        <v>70.974999121916298</v>
      </c>
      <c r="AW66" s="101">
        <f>$P$120*Module!$I$7*X66*Module!$I$5</f>
        <v>144.51709347774946</v>
      </c>
      <c r="AX66" s="151">
        <f t="shared" si="9"/>
        <v>1000000</v>
      </c>
      <c r="AZ66" s="101">
        <f t="shared" si="10"/>
        <v>0</v>
      </c>
      <c r="BA66" s="101">
        <f>10+Module!$K$57/($AB$1+1)</f>
        <v>71.82879561327222</v>
      </c>
      <c r="BB66" s="101">
        <f>$AB$1*(25+Module!$I$6)</f>
        <v>151.5</v>
      </c>
      <c r="BC66" s="101">
        <f>(BA66*($AB$1+1)*0.002488974)/($AB$1+1)*Module!$I$5*Module!$I$7</f>
        <v>55.150770979977231</v>
      </c>
      <c r="BD66" s="101">
        <f>$P$120*Module!$I$7*X66*Module!$I$5</f>
        <v>144.51709347774946</v>
      </c>
      <c r="BE66" s="151">
        <f t="shared" si="11"/>
        <v>1000000</v>
      </c>
      <c r="BG66" s="101">
        <f t="shared" si="12"/>
        <v>0</v>
      </c>
      <c r="BH66" s="101">
        <f>10+Module!$K$57/($AC$1+1)</f>
        <v>59.463036490617775</v>
      </c>
      <c r="BI66" s="101">
        <f>$AC$1*(25+Module!$I$6)</f>
        <v>202</v>
      </c>
      <c r="BJ66" s="101">
        <f>(BH66*($AC$1+1)*0.002488974)/($AC$1+1)*Module!$I$5*Module!$I$7</f>
        <v>45.656234094813776</v>
      </c>
      <c r="BK66" s="101">
        <f>$P$120*Module!$I$7*X66*Module!$I$5</f>
        <v>144.51709347774946</v>
      </c>
      <c r="BL66" s="151">
        <f t="shared" si="13"/>
        <v>1000000</v>
      </c>
    </row>
    <row r="67" spans="1:64" ht="24.75" customHeight="1" thickBot="1">
      <c r="A67" s="101">
        <f t="shared" ref="A67:A88" si="20">A66+1</f>
        <v>67</v>
      </c>
      <c r="I67" s="11" t="s">
        <v>17</v>
      </c>
      <c r="J67" s="112">
        <f>F79</f>
        <v>3</v>
      </c>
      <c r="K67" s="774" t="s">
        <v>196</v>
      </c>
      <c r="L67" s="775"/>
      <c r="M67" s="116">
        <v>0</v>
      </c>
      <c r="N67" s="115">
        <f>ROUNDDOWN(O71-Module!$K$57,0)</f>
        <v>1</v>
      </c>
      <c r="O67" s="168" t="s">
        <v>16</v>
      </c>
      <c r="P67" s="147"/>
      <c r="Q67" s="147"/>
      <c r="R67" s="147"/>
      <c r="S67" s="101">
        <f t="shared" ref="S67:S73" si="21">S66+1</f>
        <v>1</v>
      </c>
      <c r="T67" s="101" t="e">
        <f t="shared" ref="T67:T73" si="22">VLOOKUP(S67,$U$66:$V$73,2,0)</f>
        <v>#N/A</v>
      </c>
      <c r="U67" s="101">
        <f>U66-1</f>
        <v>-2</v>
      </c>
      <c r="V67" s="101" t="e">
        <f>#REF!</f>
        <v>#REF!</v>
      </c>
      <c r="W67" s="780"/>
      <c r="X67" s="121">
        <f t="shared" si="14"/>
        <v>65</v>
      </c>
      <c r="Y67" s="122">
        <f>'calcul pneu pour calculateur'!P68</f>
        <v>89.491006308246511</v>
      </c>
      <c r="Z67" s="123">
        <f t="shared" si="16"/>
        <v>178.98201261649302</v>
      </c>
      <c r="AA67" s="123">
        <f t="shared" si="17"/>
        <v>268.47301892473956</v>
      </c>
      <c r="AB67" s="123">
        <f t="shared" si="18"/>
        <v>357.96402523298605</v>
      </c>
      <c r="AC67" s="123">
        <f t="shared" si="19"/>
        <v>447.45503154123253</v>
      </c>
      <c r="AD67" s="123"/>
      <c r="AK67" s="121">
        <f t="shared" si="15"/>
        <v>65</v>
      </c>
      <c r="AL67" s="101">
        <f t="shared" ref="AL67:AL102" si="23">$H$61</f>
        <v>0</v>
      </c>
      <c r="AM67" s="101">
        <f>10+Module!$K$57/($Z$1+1)</f>
        <v>133.65759122654444</v>
      </c>
      <c r="AN67" s="101">
        <f>$Z$1*(25+Module!$I$6)</f>
        <v>50.5</v>
      </c>
      <c r="AO67" s="101">
        <f>(AM67*($Z$1+1)*0.002488974)/($Z$1+1)*Module!$I$5*Module!$I$7</f>
        <v>102.62345540579445</v>
      </c>
      <c r="AP67" s="101">
        <f>$P$120*Module!$I$7*X67*Module!$I$5</f>
        <v>146.77517306333931</v>
      </c>
      <c r="AQ67" s="151">
        <f t="shared" ref="AQ67:AQ130" si="24">IF(AK67 &gt;$AJ$17,1000000,AL67+AN67+AO67-AP67)</f>
        <v>1000000</v>
      </c>
      <c r="AS67" s="101">
        <f t="shared" ref="AS67:AS102" si="25">$H$61</f>
        <v>0</v>
      </c>
      <c r="AT67" s="101">
        <f>10+Module!$K$57/($AA$1+1)</f>
        <v>92.438394151029627</v>
      </c>
      <c r="AU67" s="101">
        <f>$AA$1*(25+Module!$I$6)</f>
        <v>101</v>
      </c>
      <c r="AV67" s="101">
        <f>(AT67*($Z$1+1)*0.002488974)/($Z$1+1)*Module!$I$5*Module!$I$7</f>
        <v>70.974999121916298</v>
      </c>
      <c r="AW67" s="101">
        <f>$P$120*Module!$I$7*X67*Module!$I$5</f>
        <v>146.77517306333931</v>
      </c>
      <c r="AX67" s="151">
        <f t="shared" ref="AX67:AX130" si="26">IF(AK67 &gt;$AJ$17,1000000,AS67+AU67+AV67-AW67)</f>
        <v>1000000</v>
      </c>
      <c r="AZ67" s="101">
        <f t="shared" ref="AZ67:AZ102" si="27">$H$61</f>
        <v>0</v>
      </c>
      <c r="BA67" s="101">
        <f>10+Module!$K$57/($AB$1+1)</f>
        <v>71.82879561327222</v>
      </c>
      <c r="BB67" s="101">
        <f>$AB$1*(25+Module!$I$6)</f>
        <v>151.5</v>
      </c>
      <c r="BC67" s="101">
        <f>(BA67*($AB$1+1)*0.002488974)/($AB$1+1)*Module!$I$5*Module!$I$7</f>
        <v>55.150770979977231</v>
      </c>
      <c r="BD67" s="101">
        <f>$P$120*Module!$I$7*X67*Module!$I$5</f>
        <v>146.77517306333931</v>
      </c>
      <c r="BE67" s="151">
        <f t="shared" ref="BE67:BE130" si="28">IF(AK67 &gt;$AJ$17,1000000,AZ67+BB67+BC67-BD67)</f>
        <v>1000000</v>
      </c>
      <c r="BG67" s="101">
        <f t="shared" ref="BG67:BG102" si="29">$H$61</f>
        <v>0</v>
      </c>
      <c r="BH67" s="101">
        <f>10+Module!$K$57/($AC$1+1)</f>
        <v>59.463036490617775</v>
      </c>
      <c r="BI67" s="101">
        <f>$AC$1*(25+Module!$I$6)</f>
        <v>202</v>
      </c>
      <c r="BJ67" s="101">
        <f>(BH67*($AC$1+1)*0.002488974)/($AC$1+1)*Module!$I$5*Module!$I$7</f>
        <v>45.656234094813776</v>
      </c>
      <c r="BK67" s="101">
        <f>$P$120*Module!$I$7*X67*Module!$I$5</f>
        <v>146.77517306333931</v>
      </c>
      <c r="BL67" s="151">
        <f t="shared" ref="BL67:BL130" si="30">IF(AK67 &gt;$AJ$17,1000000,BG67+BI67+BJ67-BK67)</f>
        <v>1000000</v>
      </c>
    </row>
    <row r="68" spans="1:64" ht="24.75" customHeight="1" thickBot="1">
      <c r="A68" s="101">
        <f t="shared" si="20"/>
        <v>68</v>
      </c>
      <c r="C68" s="751" t="s">
        <v>293</v>
      </c>
      <c r="D68" s="752"/>
      <c r="E68" s="752"/>
      <c r="F68" s="752"/>
      <c r="G68" s="753"/>
      <c r="I68" s="164" t="s">
        <v>259</v>
      </c>
      <c r="J68" s="11" t="s">
        <v>8</v>
      </c>
      <c r="K68" s="11" t="s">
        <v>7</v>
      </c>
      <c r="L68" s="11" t="s">
        <v>6</v>
      </c>
      <c r="M68" s="11" t="s">
        <v>5</v>
      </c>
      <c r="N68" s="11" t="s">
        <v>4</v>
      </c>
      <c r="O68" s="117">
        <f>E79</f>
        <v>0</v>
      </c>
      <c r="P68" s="139" t="e">
        <f>IF(T66="#N/A",0,(SUMIF(T66:T73,"&lt;&gt;#N/A")+P71*I99)*(J67+1))</f>
        <v>#N/A</v>
      </c>
      <c r="S68" s="101">
        <f t="shared" si="21"/>
        <v>2</v>
      </c>
      <c r="T68" s="101" t="e">
        <f t="shared" si="22"/>
        <v>#N/A</v>
      </c>
      <c r="U68" s="101">
        <f t="shared" ref="U68:U73" si="31">U67-1</f>
        <v>-3</v>
      </c>
      <c r="V68" s="101" t="e">
        <f>#REF!</f>
        <v>#REF!</v>
      </c>
      <c r="W68" s="780"/>
      <c r="X68" s="121">
        <f t="shared" ref="X68:X131" si="32">X67+1</f>
        <v>66</v>
      </c>
      <c r="Y68" s="122">
        <f>'calcul pneu pour calculateur'!P69</f>
        <v>89.260003096905336</v>
      </c>
      <c r="Z68" s="123">
        <f t="shared" si="16"/>
        <v>178.52000619381067</v>
      </c>
      <c r="AA68" s="123">
        <f t="shared" si="17"/>
        <v>267.78000929071601</v>
      </c>
      <c r="AB68" s="123">
        <f t="shared" si="18"/>
        <v>357.04001238762135</v>
      </c>
      <c r="AC68" s="123">
        <f t="shared" si="19"/>
        <v>446.30001548452668</v>
      </c>
      <c r="AD68" s="123"/>
      <c r="AK68" s="121">
        <f t="shared" ref="AK68:AK131" si="33">AK67+1</f>
        <v>66</v>
      </c>
      <c r="AL68" s="101">
        <f t="shared" si="23"/>
        <v>0</v>
      </c>
      <c r="AM68" s="101">
        <f>10+Module!$K$57/($Z$1+1)</f>
        <v>133.65759122654444</v>
      </c>
      <c r="AN68" s="101">
        <f>$Z$1*(25+Module!$I$6)</f>
        <v>50.5</v>
      </c>
      <c r="AO68" s="101">
        <f>(AM68*($Z$1+1)*0.002488974)/($Z$1+1)*Module!$I$5*Module!$I$7</f>
        <v>102.62345540579445</v>
      </c>
      <c r="AP68" s="101">
        <f>$P$120*Module!$I$7*X68*Module!$I$5</f>
        <v>149.03325264892914</v>
      </c>
      <c r="AQ68" s="151">
        <f t="shared" si="24"/>
        <v>1000000</v>
      </c>
      <c r="AS68" s="101">
        <f t="shared" si="25"/>
        <v>0</v>
      </c>
      <c r="AT68" s="101">
        <f>10+Module!$K$57/($AA$1+1)</f>
        <v>92.438394151029627</v>
      </c>
      <c r="AU68" s="101">
        <f>$AA$1*(25+Module!$I$6)</f>
        <v>101</v>
      </c>
      <c r="AV68" s="101">
        <f>(AT68*($Z$1+1)*0.002488974)/($Z$1+1)*Module!$I$5*Module!$I$7</f>
        <v>70.974999121916298</v>
      </c>
      <c r="AW68" s="101">
        <f>$P$120*Module!$I$7*X68*Module!$I$5</f>
        <v>149.03325264892914</v>
      </c>
      <c r="AX68" s="151">
        <f t="shared" si="26"/>
        <v>1000000</v>
      </c>
      <c r="AZ68" s="101">
        <f t="shared" si="27"/>
        <v>0</v>
      </c>
      <c r="BA68" s="101">
        <f>10+Module!$K$57/($AB$1+1)</f>
        <v>71.82879561327222</v>
      </c>
      <c r="BB68" s="101">
        <f>$AB$1*(25+Module!$I$6)</f>
        <v>151.5</v>
      </c>
      <c r="BC68" s="101">
        <f>(BA68*($AB$1+1)*0.002488974)/($AB$1+1)*Module!$I$5*Module!$I$7</f>
        <v>55.150770979977231</v>
      </c>
      <c r="BD68" s="101">
        <f>$P$120*Module!$I$7*X68*Module!$I$5</f>
        <v>149.03325264892914</v>
      </c>
      <c r="BE68" s="151">
        <f t="shared" si="28"/>
        <v>1000000</v>
      </c>
      <c r="BG68" s="101">
        <f t="shared" si="29"/>
        <v>0</v>
      </c>
      <c r="BH68" s="101">
        <f>10+Module!$K$57/($AC$1+1)</f>
        <v>59.463036490617775</v>
      </c>
      <c r="BI68" s="101">
        <f>$AC$1*(25+Module!$I$6)</f>
        <v>202</v>
      </c>
      <c r="BJ68" s="101">
        <f>(BH68*($AC$1+1)*0.002488974)/($AC$1+1)*Module!$I$5*Module!$I$7</f>
        <v>45.656234094813776</v>
      </c>
      <c r="BK68" s="101">
        <f>$P$120*Module!$I$7*X68*Module!$I$5</f>
        <v>149.03325264892914</v>
      </c>
      <c r="BL68" s="151">
        <f t="shared" si="30"/>
        <v>1000000</v>
      </c>
    </row>
    <row r="69" spans="1:64" ht="24.75" customHeight="1" thickBot="1">
      <c r="A69" s="101">
        <f t="shared" si="20"/>
        <v>69</v>
      </c>
      <c r="C69" s="754"/>
      <c r="D69" s="755"/>
      <c r="E69" s="755"/>
      <c r="F69" s="755"/>
      <c r="G69" s="756"/>
      <c r="I69" s="11" t="s">
        <v>13</v>
      </c>
      <c r="J69" s="112">
        <f>IF(SUM(INFO!B94:B95)&gt;0,SUM(INFO!B94:B95),"-")</f>
        <v>15</v>
      </c>
      <c r="K69" s="112">
        <f>IF(SUM(INFO!C94:C95)&gt;0,SUM(INFO!C94:C95),"-")</f>
        <v>14</v>
      </c>
      <c r="L69" s="112">
        <f>IF(SUM(INFO!D94:D95)&gt;0,SUM(INFO!D94:D95),"-")</f>
        <v>14</v>
      </c>
      <c r="M69" s="112">
        <f>IF(SUM(INFO!E94:E95)&gt;0,SUM(INFO!E94:E95),"-")</f>
        <v>14</v>
      </c>
      <c r="N69" s="112" t="str">
        <f>IF(SUM(INFO!F94:F95)&gt;0,SUM(INFO!F94:F95),"-")</f>
        <v>-</v>
      </c>
      <c r="O69" s="125">
        <f>VLOOKUP(O68,X2:Y102,2,0)</f>
        <v>104.50621504542335</v>
      </c>
      <c r="P69" s="101">
        <f>J69</f>
        <v>15</v>
      </c>
      <c r="Q69" s="135">
        <f>100-J70</f>
        <v>77.679590601109538</v>
      </c>
      <c r="R69" s="101">
        <f>P69</f>
        <v>15</v>
      </c>
      <c r="S69" s="101">
        <f t="shared" si="21"/>
        <v>3</v>
      </c>
      <c r="T69" s="101" t="e">
        <f t="shared" si="22"/>
        <v>#N/A</v>
      </c>
      <c r="U69" s="101">
        <f t="shared" si="31"/>
        <v>-4</v>
      </c>
      <c r="V69" s="101" t="e">
        <f>#REF!</f>
        <v>#REF!</v>
      </c>
      <c r="W69" s="780"/>
      <c r="X69" s="121">
        <f t="shared" si="32"/>
        <v>67</v>
      </c>
      <c r="Y69" s="122">
        <f>'calcul pneu pour calculateur'!P70</f>
        <v>89.028999885564161</v>
      </c>
      <c r="Z69" s="123">
        <f t="shared" si="16"/>
        <v>178.05799977112832</v>
      </c>
      <c r="AA69" s="123">
        <f t="shared" si="17"/>
        <v>267.08699965669246</v>
      </c>
      <c r="AB69" s="123">
        <f t="shared" si="18"/>
        <v>356.11599954225665</v>
      </c>
      <c r="AC69" s="123">
        <f t="shared" si="19"/>
        <v>445.14499942782084</v>
      </c>
      <c r="AD69" s="123"/>
      <c r="AK69" s="121">
        <f t="shared" si="33"/>
        <v>67</v>
      </c>
      <c r="AL69" s="101">
        <f t="shared" si="23"/>
        <v>0</v>
      </c>
      <c r="AM69" s="101">
        <f>10+Module!$K$57/($Z$1+1)</f>
        <v>133.65759122654444</v>
      </c>
      <c r="AN69" s="101">
        <f>$Z$1*(25+Module!$I$6)</f>
        <v>50.5</v>
      </c>
      <c r="AO69" s="101">
        <f>(AM69*($Z$1+1)*0.002488974)/($Z$1+1)*Module!$I$5*Module!$I$7</f>
        <v>102.62345540579445</v>
      </c>
      <c r="AP69" s="101">
        <f>$P$120*Module!$I$7*X69*Module!$I$5</f>
        <v>151.29133223451896</v>
      </c>
      <c r="AQ69" s="151">
        <f t="shared" si="24"/>
        <v>1000000</v>
      </c>
      <c r="AS69" s="101">
        <f t="shared" si="25"/>
        <v>0</v>
      </c>
      <c r="AT69" s="101">
        <f>10+Module!$K$57/($AA$1+1)</f>
        <v>92.438394151029627</v>
      </c>
      <c r="AU69" s="101">
        <f>$AA$1*(25+Module!$I$6)</f>
        <v>101</v>
      </c>
      <c r="AV69" s="101">
        <f>(AT69*($Z$1+1)*0.002488974)/($Z$1+1)*Module!$I$5*Module!$I$7</f>
        <v>70.974999121916298</v>
      </c>
      <c r="AW69" s="101">
        <f>$P$120*Module!$I$7*X69*Module!$I$5</f>
        <v>151.29133223451896</v>
      </c>
      <c r="AX69" s="151">
        <f t="shared" si="26"/>
        <v>1000000</v>
      </c>
      <c r="AZ69" s="101">
        <f t="shared" si="27"/>
        <v>0</v>
      </c>
      <c r="BA69" s="101">
        <f>10+Module!$K$57/($AB$1+1)</f>
        <v>71.82879561327222</v>
      </c>
      <c r="BB69" s="101">
        <f>$AB$1*(25+Module!$I$6)</f>
        <v>151.5</v>
      </c>
      <c r="BC69" s="101">
        <f>(BA69*($AB$1+1)*0.002488974)/($AB$1+1)*Module!$I$5*Module!$I$7</f>
        <v>55.150770979977231</v>
      </c>
      <c r="BD69" s="101">
        <f>$P$120*Module!$I$7*X69*Module!$I$5</f>
        <v>151.29133223451896</v>
      </c>
      <c r="BE69" s="151">
        <f t="shared" si="28"/>
        <v>1000000</v>
      </c>
      <c r="BG69" s="101">
        <f t="shared" si="29"/>
        <v>0</v>
      </c>
      <c r="BH69" s="101">
        <f>10+Module!$K$57/($AC$1+1)</f>
        <v>59.463036490617775</v>
      </c>
      <c r="BI69" s="101">
        <f>$AC$1*(25+Module!$I$6)</f>
        <v>202</v>
      </c>
      <c r="BJ69" s="101">
        <f>(BH69*($AC$1+1)*0.002488974)/($AC$1+1)*Module!$I$5*Module!$I$7</f>
        <v>45.656234094813776</v>
      </c>
      <c r="BK69" s="101">
        <f>$P$120*Module!$I$7*X69*Module!$I$5</f>
        <v>151.29133223451896</v>
      </c>
      <c r="BL69" s="151">
        <f t="shared" si="30"/>
        <v>1000000</v>
      </c>
    </row>
    <row r="70" spans="1:64" ht="21" customHeight="1" thickBot="1">
      <c r="A70" s="101">
        <f t="shared" si="20"/>
        <v>70</v>
      </c>
      <c r="C70" s="757"/>
      <c r="D70" s="758"/>
      <c r="E70" s="758"/>
      <c r="F70" s="758"/>
      <c r="G70" s="759"/>
      <c r="I70" s="11" t="s">
        <v>2</v>
      </c>
      <c r="J70" s="113">
        <f>IF(J69&lt;&gt;"-",100-J69*100*VLOOKUP(Module!$H$2,INFO!$A$3:$G$65,7,0)/$O$69,"-")</f>
        <v>22.320409398890462</v>
      </c>
      <c r="K70" s="113">
        <f>IF(K69&lt;&gt;"-",100-K69*100*VLOOKUP(Module!$H$2,INFO!$A$3:$G$65,7,0)/$O$69,"-")</f>
        <v>27.499048772297755</v>
      </c>
      <c r="L70" s="113">
        <f>IF(L69&lt;&gt;"-",100-L69*100*VLOOKUP(Module!$H$2,INFO!$A$3:$G$65,7,0)/$O$69,"-")</f>
        <v>27.499048772297755</v>
      </c>
      <c r="M70" s="113">
        <f>IF(M69&lt;&gt;"-",100-M69*100*VLOOKUP(Module!$H$2,INFO!$A$3:$G$65,7,0)/$O$69,"-")</f>
        <v>27.499048772297755</v>
      </c>
      <c r="N70" s="113" t="str">
        <f>IF(N69&lt;&gt;"-",100-N69*100*VLOOKUP(Module!$H$2,INFO!$A$3:$G$65,7,0)/$O$69,"-")</f>
        <v>-</v>
      </c>
      <c r="O70" s="11" t="s">
        <v>3</v>
      </c>
      <c r="P70" s="101">
        <f>ROUNDDOWN((P69*Q70)/Q69,0)</f>
        <v>15</v>
      </c>
      <c r="Q70" s="101">
        <v>82</v>
      </c>
      <c r="R70" s="136">
        <f>J69+J72</f>
        <v>19</v>
      </c>
      <c r="S70" s="101">
        <f t="shared" si="21"/>
        <v>4</v>
      </c>
      <c r="T70" s="101" t="e">
        <f t="shared" si="22"/>
        <v>#N/A</v>
      </c>
      <c r="U70" s="101">
        <f t="shared" si="31"/>
        <v>-5</v>
      </c>
      <c r="V70" s="101" t="e">
        <f>#REF!</f>
        <v>#REF!</v>
      </c>
      <c r="W70" s="780"/>
      <c r="X70" s="121">
        <f t="shared" si="32"/>
        <v>68</v>
      </c>
      <c r="Y70" s="122">
        <f>'calcul pneu pour calculateur'!P71</f>
        <v>88.797996674222986</v>
      </c>
      <c r="Z70" s="123">
        <f t="shared" si="16"/>
        <v>177.59599334844597</v>
      </c>
      <c r="AA70" s="123">
        <f t="shared" si="17"/>
        <v>266.39399002266896</v>
      </c>
      <c r="AB70" s="123">
        <f t="shared" si="18"/>
        <v>355.19198669689195</v>
      </c>
      <c r="AC70" s="123">
        <f t="shared" si="19"/>
        <v>443.98998337111493</v>
      </c>
      <c r="AD70" s="123"/>
      <c r="AK70" s="121">
        <f t="shared" si="33"/>
        <v>68</v>
      </c>
      <c r="AL70" s="101">
        <f t="shared" si="23"/>
        <v>0</v>
      </c>
      <c r="AM70" s="101">
        <f>10+Module!$K$57/($Z$1+1)</f>
        <v>133.65759122654444</v>
      </c>
      <c r="AN70" s="101">
        <f>$Z$1*(25+Module!$I$6)</f>
        <v>50.5</v>
      </c>
      <c r="AO70" s="101">
        <f>(AM70*($Z$1+1)*0.002488974)/($Z$1+1)*Module!$I$5*Module!$I$7</f>
        <v>102.62345540579445</v>
      </c>
      <c r="AP70" s="101">
        <f>$P$120*Module!$I$7*X70*Module!$I$5</f>
        <v>153.54941182010882</v>
      </c>
      <c r="AQ70" s="151">
        <f t="shared" si="24"/>
        <v>1000000</v>
      </c>
      <c r="AS70" s="101">
        <f t="shared" si="25"/>
        <v>0</v>
      </c>
      <c r="AT70" s="101">
        <f>10+Module!$K$57/($AA$1+1)</f>
        <v>92.438394151029627</v>
      </c>
      <c r="AU70" s="101">
        <f>$AA$1*(25+Module!$I$6)</f>
        <v>101</v>
      </c>
      <c r="AV70" s="101">
        <f>(AT70*($Z$1+1)*0.002488974)/($Z$1+1)*Module!$I$5*Module!$I$7</f>
        <v>70.974999121916298</v>
      </c>
      <c r="AW70" s="101">
        <f>$P$120*Module!$I$7*X70*Module!$I$5</f>
        <v>153.54941182010882</v>
      </c>
      <c r="AX70" s="151">
        <f t="shared" si="26"/>
        <v>1000000</v>
      </c>
      <c r="AZ70" s="101">
        <f t="shared" si="27"/>
        <v>0</v>
      </c>
      <c r="BA70" s="101">
        <f>10+Module!$K$57/($AB$1+1)</f>
        <v>71.82879561327222</v>
      </c>
      <c r="BB70" s="101">
        <f>$AB$1*(25+Module!$I$6)</f>
        <v>151.5</v>
      </c>
      <c r="BC70" s="101">
        <f>(BA70*($AB$1+1)*0.002488974)/($AB$1+1)*Module!$I$5*Module!$I$7</f>
        <v>55.150770979977231</v>
      </c>
      <c r="BD70" s="101">
        <f>$P$120*Module!$I$7*X70*Module!$I$5</f>
        <v>153.54941182010882</v>
      </c>
      <c r="BE70" s="151">
        <f t="shared" si="28"/>
        <v>1000000</v>
      </c>
      <c r="BG70" s="101">
        <f t="shared" si="29"/>
        <v>0</v>
      </c>
      <c r="BH70" s="101">
        <f>10+Module!$K$57/($AC$1+1)</f>
        <v>59.463036490617775</v>
      </c>
      <c r="BI70" s="101">
        <f>$AC$1*(25+Module!$I$6)</f>
        <v>202</v>
      </c>
      <c r="BJ70" s="101">
        <f>(BH70*($AC$1+1)*0.002488974)/($AC$1+1)*Module!$I$5*Module!$I$7</f>
        <v>45.656234094813776</v>
      </c>
      <c r="BK70" s="101">
        <f>$P$120*Module!$I$7*X70*Module!$I$5</f>
        <v>153.54941182010882</v>
      </c>
      <c r="BL70" s="151">
        <f t="shared" si="30"/>
        <v>1000000</v>
      </c>
    </row>
    <row r="71" spans="1:64" ht="24" customHeight="1" thickBot="1">
      <c r="A71" s="101">
        <f t="shared" si="20"/>
        <v>71</v>
      </c>
      <c r="I71" s="11" t="s">
        <v>1</v>
      </c>
      <c r="J71" s="114">
        <f>IF(J69&lt;&gt;"-",ROUNDUP(I107+(I107*$M$67)/100,0),"-")</f>
        <v>66</v>
      </c>
      <c r="K71" s="114">
        <f>IF(K69&lt;&gt;"-",ROUNDUP(J107+(J107*$M$67)/100,0),"-")</f>
        <v>61</v>
      </c>
      <c r="L71" s="114">
        <f>IF(L69&lt;&gt;"-",ROUNDUP(K107+(K107*$M$67)/100,0),"-")</f>
        <v>61</v>
      </c>
      <c r="M71" s="114">
        <f>IF(M69&lt;&gt;"-",ROUNDUP(L107+(L107*$M$67)/100,0),"-")</f>
        <v>61</v>
      </c>
      <c r="N71" s="114" t="str">
        <f>IF(N69&lt;&gt;"-",ROUNDUP(M107+(M107*$M$67)/100,0),"-")</f>
        <v>-</v>
      </c>
      <c r="O71" s="111">
        <f>SUM(J71:N71)</f>
        <v>249</v>
      </c>
      <c r="P71" s="101">
        <f>P70-P69</f>
        <v>0</v>
      </c>
      <c r="Q71" s="135">
        <f>Q69</f>
        <v>77.679590601109538</v>
      </c>
      <c r="R71" s="101">
        <f>R70-R69</f>
        <v>4</v>
      </c>
      <c r="S71" s="101">
        <f t="shared" si="21"/>
        <v>5</v>
      </c>
      <c r="T71" s="101" t="e">
        <f t="shared" si="22"/>
        <v>#N/A</v>
      </c>
      <c r="U71" s="101">
        <f t="shared" si="31"/>
        <v>-6</v>
      </c>
      <c r="V71" s="101" t="e">
        <f>#REF!</f>
        <v>#REF!</v>
      </c>
      <c r="W71" s="780"/>
      <c r="X71" s="121">
        <f t="shared" si="32"/>
        <v>69</v>
      </c>
      <c r="Y71" s="122">
        <f>'calcul pneu pour calculateur'!P72</f>
        <v>88.566993462881797</v>
      </c>
      <c r="Z71" s="123">
        <f t="shared" si="16"/>
        <v>177.13398692576359</v>
      </c>
      <c r="AA71" s="123">
        <f t="shared" si="17"/>
        <v>265.70098038864541</v>
      </c>
      <c r="AB71" s="123">
        <f t="shared" si="18"/>
        <v>354.26797385152719</v>
      </c>
      <c r="AC71" s="123">
        <f t="shared" si="19"/>
        <v>442.83496731440897</v>
      </c>
      <c r="AD71" s="123"/>
      <c r="AK71" s="121">
        <f t="shared" si="33"/>
        <v>69</v>
      </c>
      <c r="AL71" s="101">
        <f t="shared" si="23"/>
        <v>0</v>
      </c>
      <c r="AM71" s="101">
        <f>10+Module!$K$57/($Z$1+1)</f>
        <v>133.65759122654444</v>
      </c>
      <c r="AN71" s="101">
        <f>$Z$1*(25+Module!$I$6)</f>
        <v>50.5</v>
      </c>
      <c r="AO71" s="101">
        <f>(AM71*($Z$1+1)*0.002488974)/($Z$1+1)*Module!$I$5*Module!$I$7</f>
        <v>102.62345540579445</v>
      </c>
      <c r="AP71" s="101">
        <f>$P$120*Module!$I$7*X71*Module!$I$5</f>
        <v>155.80749140569864</v>
      </c>
      <c r="AQ71" s="151">
        <f t="shared" si="24"/>
        <v>1000000</v>
      </c>
      <c r="AS71" s="101">
        <f t="shared" si="25"/>
        <v>0</v>
      </c>
      <c r="AT71" s="101">
        <f>10+Module!$K$57/($AA$1+1)</f>
        <v>92.438394151029627</v>
      </c>
      <c r="AU71" s="101">
        <f>$AA$1*(25+Module!$I$6)</f>
        <v>101</v>
      </c>
      <c r="AV71" s="101">
        <f>(AT71*($Z$1+1)*0.002488974)/($Z$1+1)*Module!$I$5*Module!$I$7</f>
        <v>70.974999121916298</v>
      </c>
      <c r="AW71" s="101">
        <f>$P$120*Module!$I$7*X71*Module!$I$5</f>
        <v>155.80749140569864</v>
      </c>
      <c r="AX71" s="151">
        <f t="shared" si="26"/>
        <v>1000000</v>
      </c>
      <c r="AZ71" s="101">
        <f t="shared" si="27"/>
        <v>0</v>
      </c>
      <c r="BA71" s="101">
        <f>10+Module!$K$57/($AB$1+1)</f>
        <v>71.82879561327222</v>
      </c>
      <c r="BB71" s="101">
        <f>$AB$1*(25+Module!$I$6)</f>
        <v>151.5</v>
      </c>
      <c r="BC71" s="101">
        <f>(BA71*($AB$1+1)*0.002488974)/($AB$1+1)*Module!$I$5*Module!$I$7</f>
        <v>55.150770979977231</v>
      </c>
      <c r="BD71" s="101">
        <f>$P$120*Module!$I$7*X71*Module!$I$5</f>
        <v>155.80749140569864</v>
      </c>
      <c r="BE71" s="151">
        <f t="shared" si="28"/>
        <v>1000000</v>
      </c>
      <c r="BG71" s="101">
        <f t="shared" si="29"/>
        <v>0</v>
      </c>
      <c r="BH71" s="101">
        <f>10+Module!$K$57/($AC$1+1)</f>
        <v>59.463036490617775</v>
      </c>
      <c r="BI71" s="101">
        <f>$AC$1*(25+Module!$I$6)</f>
        <v>202</v>
      </c>
      <c r="BJ71" s="101">
        <f>(BH71*($AC$1+1)*0.002488974)/($AC$1+1)*Module!$I$5*Module!$I$7</f>
        <v>45.656234094813776</v>
      </c>
      <c r="BK71" s="101">
        <f>$P$120*Module!$I$7*X71*Module!$I$5</f>
        <v>155.80749140569864</v>
      </c>
      <c r="BL71" s="151">
        <f t="shared" si="30"/>
        <v>1000000</v>
      </c>
    </row>
    <row r="72" spans="1:64" ht="24.75" customHeight="1" thickBot="1">
      <c r="A72" s="101">
        <f t="shared" si="20"/>
        <v>72</v>
      </c>
      <c r="F72" s="1"/>
      <c r="G72" s="1"/>
      <c r="I72" s="11" t="s">
        <v>0</v>
      </c>
      <c r="J72" s="2">
        <f>ROUNDDOWN(($O$69-J69*VLOOKUP(Module!$H$2,INFO!$A$3:$AA$65,7,0))/VLOOKUP(Module!$H$2,INFO!$A$3:$AA$65,7,0),0)</f>
        <v>4</v>
      </c>
      <c r="K72" s="2">
        <f>ROUNDDOWN(($O$69-K69*VLOOKUP(Module!$H$2,INFO!$A$3:$AA$65,7,0))/VLOOKUP(Module!$H$2,INFO!$A$3:$AA$65,7,0),0)</f>
        <v>5</v>
      </c>
      <c r="L72" s="2">
        <f>ROUNDDOWN(($O$69-L69*VLOOKUP(Module!$H$2,INFO!$A$3:$AA$65,7,0))/VLOOKUP(Module!$H$2,INFO!$A$3:$AA$65,7,0),0)</f>
        <v>5</v>
      </c>
      <c r="M72" s="2">
        <f>ROUNDDOWN(($O$69-M69*VLOOKUP(Module!$H$2,INFO!$A$3:$AA$65,7,0))/VLOOKUP(Module!$H$2,INFO!$A$3:$AA$65,7,0),0)</f>
        <v>5</v>
      </c>
      <c r="N72" s="2" t="e">
        <f>ROUNDDOWN(($O$69-N69*VLOOKUP(Module!$H$2,INFO!$A$3:$AA$65,7,0))/VLOOKUP(Module!$H$2,INFO!$A$3:$AA$65,7,0),0)</f>
        <v>#VALUE!</v>
      </c>
      <c r="O72" s="134">
        <f>100-(IF(1&lt;&gt;"-",100-1*100*VLOOKUP(Module!$H$2,INFO!$A$3:$G$65,7,0)/O69,"-"))</f>
        <v>5.1786393734073073</v>
      </c>
      <c r="P72" s="101">
        <f>P71*R72</f>
        <v>0</v>
      </c>
      <c r="Q72" s="101">
        <v>100</v>
      </c>
      <c r="R72" s="101">
        <f>1/Q73</f>
        <v>0.25</v>
      </c>
      <c r="S72" s="101">
        <f t="shared" si="21"/>
        <v>6</v>
      </c>
      <c r="T72" s="101" t="e">
        <f t="shared" si="22"/>
        <v>#N/A</v>
      </c>
      <c r="U72" s="101">
        <f t="shared" si="31"/>
        <v>-7</v>
      </c>
      <c r="V72" s="101" t="e">
        <f>#REF!</f>
        <v>#REF!</v>
      </c>
      <c r="W72" s="780"/>
      <c r="X72" s="121">
        <f t="shared" si="32"/>
        <v>70</v>
      </c>
      <c r="Y72" s="122">
        <f>'calcul pneu pour calculateur'!P73</f>
        <v>88.335990251540608</v>
      </c>
      <c r="Z72" s="123">
        <f t="shared" si="16"/>
        <v>176.67198050308122</v>
      </c>
      <c r="AA72" s="123">
        <f t="shared" si="17"/>
        <v>265.00797075462185</v>
      </c>
      <c r="AB72" s="123">
        <f t="shared" si="18"/>
        <v>353.34396100616243</v>
      </c>
      <c r="AC72" s="123">
        <f t="shared" si="19"/>
        <v>441.67995125770301</v>
      </c>
      <c r="AD72" s="123"/>
      <c r="AK72" s="121">
        <f t="shared" si="33"/>
        <v>70</v>
      </c>
      <c r="AL72" s="101">
        <f t="shared" si="23"/>
        <v>0</v>
      </c>
      <c r="AM72" s="101">
        <f>10+Module!$K$57/($Z$1+1)</f>
        <v>133.65759122654444</v>
      </c>
      <c r="AN72" s="101">
        <f>$Z$1*(25+Module!$I$6)</f>
        <v>50.5</v>
      </c>
      <c r="AO72" s="101">
        <f>(AM72*($Z$1+1)*0.002488974)/($Z$1+1)*Module!$I$5*Module!$I$7</f>
        <v>102.62345540579445</v>
      </c>
      <c r="AP72" s="101">
        <f>$P$120*Module!$I$7*X72*Module!$I$5</f>
        <v>158.06557099128847</v>
      </c>
      <c r="AQ72" s="151">
        <f t="shared" si="24"/>
        <v>1000000</v>
      </c>
      <c r="AS72" s="101">
        <f t="shared" si="25"/>
        <v>0</v>
      </c>
      <c r="AT72" s="101">
        <f>10+Module!$K$57/($AA$1+1)</f>
        <v>92.438394151029627</v>
      </c>
      <c r="AU72" s="101">
        <f>$AA$1*(25+Module!$I$6)</f>
        <v>101</v>
      </c>
      <c r="AV72" s="101">
        <f>(AT72*($Z$1+1)*0.002488974)/($Z$1+1)*Module!$I$5*Module!$I$7</f>
        <v>70.974999121916298</v>
      </c>
      <c r="AW72" s="101">
        <f>$P$120*Module!$I$7*X72*Module!$I$5</f>
        <v>158.06557099128847</v>
      </c>
      <c r="AX72" s="151">
        <f t="shared" si="26"/>
        <v>1000000</v>
      </c>
      <c r="AZ72" s="101">
        <f t="shared" si="27"/>
        <v>0</v>
      </c>
      <c r="BA72" s="101">
        <f>10+Module!$K$57/($AB$1+1)</f>
        <v>71.82879561327222</v>
      </c>
      <c r="BB72" s="101">
        <f>$AB$1*(25+Module!$I$6)</f>
        <v>151.5</v>
      </c>
      <c r="BC72" s="101">
        <f>(BA72*($AB$1+1)*0.002488974)/($AB$1+1)*Module!$I$5*Module!$I$7</f>
        <v>55.150770979977231</v>
      </c>
      <c r="BD72" s="101">
        <f>$P$120*Module!$I$7*X72*Module!$I$5</f>
        <v>158.06557099128847</v>
      </c>
      <c r="BE72" s="151">
        <f t="shared" si="28"/>
        <v>1000000</v>
      </c>
      <c r="BG72" s="101">
        <f t="shared" si="29"/>
        <v>0</v>
      </c>
      <c r="BH72" s="101">
        <f>10+Module!$K$57/($AC$1+1)</f>
        <v>59.463036490617775</v>
      </c>
      <c r="BI72" s="101">
        <f>$AC$1*(25+Module!$I$6)</f>
        <v>202</v>
      </c>
      <c r="BJ72" s="101">
        <f>(BH72*($AC$1+1)*0.002488974)/($AC$1+1)*Module!$I$5*Module!$I$7</f>
        <v>45.656234094813776</v>
      </c>
      <c r="BK72" s="101">
        <f>$P$120*Module!$I$7*X72*Module!$I$5</f>
        <v>158.06557099128847</v>
      </c>
      <c r="BL72" s="151">
        <f t="shared" si="30"/>
        <v>1000000</v>
      </c>
    </row>
    <row r="73" spans="1:64" ht="24.75" customHeight="1" thickBot="1">
      <c r="A73" s="101">
        <f t="shared" si="20"/>
        <v>73</v>
      </c>
      <c r="C73" s="760" t="s">
        <v>292</v>
      </c>
      <c r="D73" s="762">
        <v>0</v>
      </c>
      <c r="F73" s="1"/>
      <c r="Q73" s="136">
        <f>R70-P70</f>
        <v>4</v>
      </c>
      <c r="S73" s="101">
        <f t="shared" si="21"/>
        <v>7</v>
      </c>
      <c r="T73" s="101" t="e">
        <f t="shared" si="22"/>
        <v>#N/A</v>
      </c>
      <c r="U73" s="101">
        <f t="shared" si="31"/>
        <v>-8</v>
      </c>
      <c r="V73" s="101" t="e">
        <f>#REF!</f>
        <v>#REF!</v>
      </c>
      <c r="W73" s="780"/>
      <c r="X73" s="121">
        <f t="shared" si="32"/>
        <v>71</v>
      </c>
      <c r="Y73" s="122">
        <f>'calcul pneu pour calculateur'!P74</f>
        <v>88.104987040199433</v>
      </c>
      <c r="Z73" s="123">
        <f t="shared" si="16"/>
        <v>176.20997408039887</v>
      </c>
      <c r="AA73" s="123">
        <f t="shared" si="17"/>
        <v>264.3149611205983</v>
      </c>
      <c r="AB73" s="123">
        <f t="shared" si="18"/>
        <v>352.41994816079773</v>
      </c>
      <c r="AC73" s="123">
        <f t="shared" si="19"/>
        <v>440.52493520099716</v>
      </c>
      <c r="AD73" s="123"/>
      <c r="AK73" s="121">
        <f t="shared" si="33"/>
        <v>71</v>
      </c>
      <c r="AL73" s="101">
        <f t="shared" si="23"/>
        <v>0</v>
      </c>
      <c r="AM73" s="101">
        <f>10+Module!$K$57/($Z$1+1)</f>
        <v>133.65759122654444</v>
      </c>
      <c r="AN73" s="101">
        <f>$Z$1*(25+Module!$I$6)</f>
        <v>50.5</v>
      </c>
      <c r="AO73" s="101">
        <f>(AM73*($Z$1+1)*0.002488974)/($Z$1+1)*Module!$I$5*Module!$I$7</f>
        <v>102.62345540579445</v>
      </c>
      <c r="AP73" s="101">
        <f>$P$120*Module!$I$7*X73*Module!$I$5</f>
        <v>160.32365057687832</v>
      </c>
      <c r="AQ73" s="151">
        <f t="shared" si="24"/>
        <v>1000000</v>
      </c>
      <c r="AS73" s="101">
        <f t="shared" si="25"/>
        <v>0</v>
      </c>
      <c r="AT73" s="101">
        <f>10+Module!$K$57/($AA$1+1)</f>
        <v>92.438394151029627</v>
      </c>
      <c r="AU73" s="101">
        <f>$AA$1*(25+Module!$I$6)</f>
        <v>101</v>
      </c>
      <c r="AV73" s="101">
        <f>(AT73*($Z$1+1)*0.002488974)/($Z$1+1)*Module!$I$5*Module!$I$7</f>
        <v>70.974999121916298</v>
      </c>
      <c r="AW73" s="101">
        <f>$P$120*Module!$I$7*X73*Module!$I$5</f>
        <v>160.32365057687832</v>
      </c>
      <c r="AX73" s="151">
        <f t="shared" si="26"/>
        <v>1000000</v>
      </c>
      <c r="AZ73" s="101">
        <f t="shared" si="27"/>
        <v>0</v>
      </c>
      <c r="BA73" s="101">
        <f>10+Module!$K$57/($AB$1+1)</f>
        <v>71.82879561327222</v>
      </c>
      <c r="BB73" s="101">
        <f>$AB$1*(25+Module!$I$6)</f>
        <v>151.5</v>
      </c>
      <c r="BC73" s="101">
        <f>(BA73*($AB$1+1)*0.002488974)/($AB$1+1)*Module!$I$5*Module!$I$7</f>
        <v>55.150770979977231</v>
      </c>
      <c r="BD73" s="101">
        <f>$P$120*Module!$I$7*X73*Module!$I$5</f>
        <v>160.32365057687832</v>
      </c>
      <c r="BE73" s="151">
        <f t="shared" si="28"/>
        <v>1000000</v>
      </c>
      <c r="BG73" s="101">
        <f t="shared" si="29"/>
        <v>0</v>
      </c>
      <c r="BH73" s="101">
        <f>10+Module!$K$57/($AC$1+1)</f>
        <v>59.463036490617775</v>
      </c>
      <c r="BI73" s="101">
        <f>$AC$1*(25+Module!$I$6)</f>
        <v>202</v>
      </c>
      <c r="BJ73" s="101">
        <f>(BH73*($AC$1+1)*0.002488974)/($AC$1+1)*Module!$I$5*Module!$I$7</f>
        <v>45.656234094813776</v>
      </c>
      <c r="BK73" s="101">
        <f>$P$120*Module!$I$7*X73*Module!$I$5</f>
        <v>160.32365057687832</v>
      </c>
      <c r="BL73" s="151">
        <f t="shared" si="30"/>
        <v>1000000</v>
      </c>
    </row>
    <row r="74" spans="1:64" ht="24.75" customHeight="1" thickBot="1">
      <c r="A74" s="101">
        <f t="shared" si="20"/>
        <v>74</v>
      </c>
      <c r="C74" s="761"/>
      <c r="D74" s="763"/>
      <c r="F74" s="1"/>
      <c r="G74" s="1"/>
      <c r="I74" s="770" t="s">
        <v>270</v>
      </c>
      <c r="J74" s="771"/>
      <c r="K74" s="771"/>
      <c r="L74" s="771"/>
      <c r="M74" s="782" t="str">
        <f>IF(D82="",0,'CALCULETTE CHRONOS'!K9)</f>
        <v>1h 32m 58,5851016807337 s</v>
      </c>
      <c r="N74" s="783"/>
      <c r="O74" s="784"/>
      <c r="S74" s="101">
        <f>0+P79</f>
        <v>2</v>
      </c>
      <c r="T74" s="101" t="e">
        <f>VLOOKUP(S74,$U$74:$V$81,2,0)</f>
        <v>#N/A</v>
      </c>
      <c r="U74" s="101">
        <v>-1</v>
      </c>
      <c r="V74" s="101" t="e">
        <f>#REF!</f>
        <v>#REF!</v>
      </c>
      <c r="W74" s="780"/>
      <c r="X74" s="121">
        <f t="shared" si="32"/>
        <v>72</v>
      </c>
      <c r="Y74" s="122">
        <f>'calcul pneu pour calculateur'!P75</f>
        <v>87.873983828858258</v>
      </c>
      <c r="Z74" s="123">
        <f t="shared" si="16"/>
        <v>175.74796765771652</v>
      </c>
      <c r="AA74" s="123">
        <f t="shared" si="17"/>
        <v>263.62195148657474</v>
      </c>
      <c r="AB74" s="123">
        <f t="shared" si="18"/>
        <v>351.49593531543303</v>
      </c>
      <c r="AC74" s="123">
        <f t="shared" si="19"/>
        <v>439.36991914429132</v>
      </c>
      <c r="AD74" s="123"/>
      <c r="AK74" s="121">
        <f t="shared" si="33"/>
        <v>72</v>
      </c>
      <c r="AL74" s="101">
        <f t="shared" si="23"/>
        <v>0</v>
      </c>
      <c r="AM74" s="101">
        <f>10+Module!$K$57/($Z$1+1)</f>
        <v>133.65759122654444</v>
      </c>
      <c r="AN74" s="101">
        <f>$Z$1*(25+Module!$I$6)</f>
        <v>50.5</v>
      </c>
      <c r="AO74" s="101">
        <f>(AM74*($Z$1+1)*0.002488974)/($Z$1+1)*Module!$I$5*Module!$I$7</f>
        <v>102.62345540579445</v>
      </c>
      <c r="AP74" s="101">
        <f>$P$120*Module!$I$7*X74*Module!$I$5</f>
        <v>162.58173016246815</v>
      </c>
      <c r="AQ74" s="151">
        <f t="shared" si="24"/>
        <v>1000000</v>
      </c>
      <c r="AS74" s="101">
        <f t="shared" si="25"/>
        <v>0</v>
      </c>
      <c r="AT74" s="101">
        <f>10+Module!$K$57/($AA$1+1)</f>
        <v>92.438394151029627</v>
      </c>
      <c r="AU74" s="101">
        <f>$AA$1*(25+Module!$I$6)</f>
        <v>101</v>
      </c>
      <c r="AV74" s="101">
        <f>(AT74*($Z$1+1)*0.002488974)/($Z$1+1)*Module!$I$5*Module!$I$7</f>
        <v>70.974999121916298</v>
      </c>
      <c r="AW74" s="101">
        <f>$P$120*Module!$I$7*X74*Module!$I$5</f>
        <v>162.58173016246815</v>
      </c>
      <c r="AX74" s="151">
        <f t="shared" si="26"/>
        <v>1000000</v>
      </c>
      <c r="AZ74" s="101">
        <f t="shared" si="27"/>
        <v>0</v>
      </c>
      <c r="BA74" s="101">
        <f>10+Module!$K$57/($AB$1+1)</f>
        <v>71.82879561327222</v>
      </c>
      <c r="BB74" s="101">
        <f>$AB$1*(25+Module!$I$6)</f>
        <v>151.5</v>
      </c>
      <c r="BC74" s="101">
        <f>(BA74*($AB$1+1)*0.002488974)/($AB$1+1)*Module!$I$5*Module!$I$7</f>
        <v>55.150770979977231</v>
      </c>
      <c r="BD74" s="101">
        <f>$P$120*Module!$I$7*X74*Module!$I$5</f>
        <v>162.58173016246815</v>
      </c>
      <c r="BE74" s="151">
        <f t="shared" si="28"/>
        <v>1000000</v>
      </c>
      <c r="BG74" s="101">
        <f t="shared" si="29"/>
        <v>0</v>
      </c>
      <c r="BH74" s="101">
        <f>10+Module!$K$57/($AC$1+1)</f>
        <v>59.463036490617775</v>
      </c>
      <c r="BI74" s="101">
        <f>$AC$1*(25+Module!$I$6)</f>
        <v>202</v>
      </c>
      <c r="BJ74" s="101">
        <f>(BH74*($AC$1+1)*0.002488974)/($AC$1+1)*Module!$I$5*Module!$I$7</f>
        <v>45.656234094813776</v>
      </c>
      <c r="BK74" s="101">
        <f>$P$120*Module!$I$7*X74*Module!$I$5</f>
        <v>162.58173016246815</v>
      </c>
      <c r="BL74" s="151">
        <f t="shared" si="30"/>
        <v>1000000</v>
      </c>
    </row>
    <row r="75" spans="1:64" ht="24.75" customHeight="1" thickBot="1">
      <c r="A75" s="101">
        <f t="shared" si="20"/>
        <v>75</v>
      </c>
      <c r="C75" s="761"/>
      <c r="D75" s="763"/>
      <c r="I75" s="11" t="s">
        <v>17</v>
      </c>
      <c r="J75" s="112">
        <f>F82</f>
        <v>2</v>
      </c>
      <c r="K75" s="774" t="s">
        <v>196</v>
      </c>
      <c r="L75" s="775"/>
      <c r="M75" s="116">
        <v>0</v>
      </c>
      <c r="N75" s="115">
        <f>ROUNDDOWN(O79-Module!$K$57,0)</f>
        <v>1</v>
      </c>
      <c r="O75" s="168" t="s">
        <v>16</v>
      </c>
      <c r="P75" s="147"/>
      <c r="Q75" s="147"/>
      <c r="R75" s="147"/>
      <c r="S75" s="101">
        <f t="shared" ref="S75:S81" si="34">S74+1</f>
        <v>3</v>
      </c>
      <c r="T75" s="101" t="e">
        <f t="shared" ref="T75:T81" si="35">VLOOKUP(S75,$U$74:$V$81,2,0)</f>
        <v>#N/A</v>
      </c>
      <c r="U75" s="101">
        <f>U74-1</f>
        <v>-2</v>
      </c>
      <c r="V75" s="101" t="e">
        <f>#REF!</f>
        <v>#REF!</v>
      </c>
      <c r="W75" s="780"/>
      <c r="X75" s="121">
        <f t="shared" si="32"/>
        <v>73</v>
      </c>
      <c r="Y75" s="122">
        <f>'calcul pneu pour calculateur'!P76</f>
        <v>87.642980617517054</v>
      </c>
      <c r="Z75" s="123">
        <f t="shared" si="16"/>
        <v>175.28596123503411</v>
      </c>
      <c r="AA75" s="123">
        <f t="shared" si="17"/>
        <v>262.92894185255113</v>
      </c>
      <c r="AB75" s="123">
        <f t="shared" si="18"/>
        <v>350.57192247006822</v>
      </c>
      <c r="AC75" s="123">
        <f t="shared" si="19"/>
        <v>438.2149030875853</v>
      </c>
      <c r="AD75" s="123"/>
      <c r="AK75" s="121">
        <f t="shared" si="33"/>
        <v>73</v>
      </c>
      <c r="AL75" s="101">
        <f t="shared" si="23"/>
        <v>0</v>
      </c>
      <c r="AM75" s="101">
        <f>10+Module!$K$57/($Z$1+1)</f>
        <v>133.65759122654444</v>
      </c>
      <c r="AN75" s="101">
        <f>$Z$1*(25+Module!$I$6)</f>
        <v>50.5</v>
      </c>
      <c r="AO75" s="101">
        <f>(AM75*($Z$1+1)*0.002488974)/($Z$1+1)*Module!$I$5*Module!$I$7</f>
        <v>102.62345540579445</v>
      </c>
      <c r="AP75" s="101">
        <f>$P$120*Module!$I$7*X75*Module!$I$5</f>
        <v>164.839809748058</v>
      </c>
      <c r="AQ75" s="151">
        <f t="shared" si="24"/>
        <v>1000000</v>
      </c>
      <c r="AS75" s="101">
        <f t="shared" si="25"/>
        <v>0</v>
      </c>
      <c r="AT75" s="101">
        <f>10+Module!$K$57/($AA$1+1)</f>
        <v>92.438394151029627</v>
      </c>
      <c r="AU75" s="101">
        <f>$AA$1*(25+Module!$I$6)</f>
        <v>101</v>
      </c>
      <c r="AV75" s="101">
        <f>(AT75*($Z$1+1)*0.002488974)/($Z$1+1)*Module!$I$5*Module!$I$7</f>
        <v>70.974999121916298</v>
      </c>
      <c r="AW75" s="101">
        <f>$P$120*Module!$I$7*X75*Module!$I$5</f>
        <v>164.839809748058</v>
      </c>
      <c r="AX75" s="151">
        <f t="shared" si="26"/>
        <v>1000000</v>
      </c>
      <c r="AZ75" s="101">
        <f t="shared" si="27"/>
        <v>0</v>
      </c>
      <c r="BA75" s="101">
        <f>10+Module!$K$57/($AB$1+1)</f>
        <v>71.82879561327222</v>
      </c>
      <c r="BB75" s="101">
        <f>$AB$1*(25+Module!$I$6)</f>
        <v>151.5</v>
      </c>
      <c r="BC75" s="101">
        <f>(BA75*($AB$1+1)*0.002488974)/($AB$1+1)*Module!$I$5*Module!$I$7</f>
        <v>55.150770979977231</v>
      </c>
      <c r="BD75" s="101">
        <f>$P$120*Module!$I$7*X75*Module!$I$5</f>
        <v>164.839809748058</v>
      </c>
      <c r="BE75" s="151">
        <f t="shared" si="28"/>
        <v>1000000</v>
      </c>
      <c r="BG75" s="101">
        <f t="shared" si="29"/>
        <v>0</v>
      </c>
      <c r="BH75" s="101">
        <f>10+Module!$K$57/($AC$1+1)</f>
        <v>59.463036490617775</v>
      </c>
      <c r="BI75" s="101">
        <f>$AC$1*(25+Module!$I$6)</f>
        <v>202</v>
      </c>
      <c r="BJ75" s="101">
        <f>(BH75*($AC$1+1)*0.002488974)/($AC$1+1)*Module!$I$5*Module!$I$7</f>
        <v>45.656234094813776</v>
      </c>
      <c r="BK75" s="101">
        <f>$P$120*Module!$I$7*X75*Module!$I$5</f>
        <v>164.839809748058</v>
      </c>
      <c r="BL75" s="151">
        <f t="shared" si="30"/>
        <v>1000000</v>
      </c>
    </row>
    <row r="76" spans="1:64" ht="24.75" customHeight="1" thickBot="1">
      <c r="A76" s="101">
        <f t="shared" si="20"/>
        <v>76</v>
      </c>
      <c r="I76" s="165" t="s">
        <v>253</v>
      </c>
      <c r="J76" s="11" t="s">
        <v>8</v>
      </c>
      <c r="K76" s="11" t="s">
        <v>7</v>
      </c>
      <c r="L76" s="11" t="s">
        <v>6</v>
      </c>
      <c r="M76" s="11" t="s">
        <v>5</v>
      </c>
      <c r="N76" s="11" t="s">
        <v>4</v>
      </c>
      <c r="O76" s="117">
        <f>E82</f>
        <v>0</v>
      </c>
      <c r="P76" s="139" t="e">
        <f>IF(T74="#N/A",0,(SUMIF(T74:T81,"&lt;&gt;#N/A")+P79*I100)*(J75+1))</f>
        <v>#N/A</v>
      </c>
      <c r="S76" s="101">
        <f t="shared" si="34"/>
        <v>4</v>
      </c>
      <c r="T76" s="101" t="e">
        <f>VLOOKUP(S76,$U$74:$V$81,2,0)</f>
        <v>#N/A</v>
      </c>
      <c r="U76" s="101">
        <f t="shared" ref="U76:U81" si="36">U75-1</f>
        <v>-3</v>
      </c>
      <c r="V76" s="101" t="e">
        <f>#REF!</f>
        <v>#REF!</v>
      </c>
      <c r="W76" s="780"/>
      <c r="X76" s="121">
        <f t="shared" si="32"/>
        <v>74</v>
      </c>
      <c r="Y76" s="122">
        <f>'calcul pneu pour calculateur'!P77</f>
        <v>87.411977406175879</v>
      </c>
      <c r="Z76" s="123">
        <f t="shared" si="16"/>
        <v>174.82395481235176</v>
      </c>
      <c r="AA76" s="123">
        <f t="shared" si="17"/>
        <v>262.23593221852764</v>
      </c>
      <c r="AB76" s="123">
        <f t="shared" si="18"/>
        <v>349.64790962470352</v>
      </c>
      <c r="AC76" s="123">
        <f t="shared" si="19"/>
        <v>437.05988703087939</v>
      </c>
      <c r="AD76" s="123"/>
      <c r="AK76" s="121">
        <f t="shared" si="33"/>
        <v>74</v>
      </c>
      <c r="AL76" s="101">
        <f t="shared" si="23"/>
        <v>0</v>
      </c>
      <c r="AM76" s="101">
        <f>10+Module!$K$57/($Z$1+1)</f>
        <v>133.65759122654444</v>
      </c>
      <c r="AN76" s="101">
        <f>$Z$1*(25+Module!$I$6)</f>
        <v>50.5</v>
      </c>
      <c r="AO76" s="101">
        <f>(AM76*($Z$1+1)*0.002488974)/($Z$1+1)*Module!$I$5*Module!$I$7</f>
        <v>102.62345540579445</v>
      </c>
      <c r="AP76" s="101">
        <f>$P$120*Module!$I$7*X76*Module!$I$5</f>
        <v>167.09788933364783</v>
      </c>
      <c r="AQ76" s="151">
        <f t="shared" si="24"/>
        <v>1000000</v>
      </c>
      <c r="AS76" s="101">
        <f t="shared" si="25"/>
        <v>0</v>
      </c>
      <c r="AT76" s="101">
        <f>10+Module!$K$57/($AA$1+1)</f>
        <v>92.438394151029627</v>
      </c>
      <c r="AU76" s="101">
        <f>$AA$1*(25+Module!$I$6)</f>
        <v>101</v>
      </c>
      <c r="AV76" s="101">
        <f>(AT76*($Z$1+1)*0.002488974)/($Z$1+1)*Module!$I$5*Module!$I$7</f>
        <v>70.974999121916298</v>
      </c>
      <c r="AW76" s="101">
        <f>$P$120*Module!$I$7*X76*Module!$I$5</f>
        <v>167.09788933364783</v>
      </c>
      <c r="AX76" s="151">
        <f t="shared" si="26"/>
        <v>1000000</v>
      </c>
      <c r="AZ76" s="101">
        <f t="shared" si="27"/>
        <v>0</v>
      </c>
      <c r="BA76" s="101">
        <f>10+Module!$K$57/($AB$1+1)</f>
        <v>71.82879561327222</v>
      </c>
      <c r="BB76" s="101">
        <f>$AB$1*(25+Module!$I$6)</f>
        <v>151.5</v>
      </c>
      <c r="BC76" s="101">
        <f>(BA76*($AB$1+1)*0.002488974)/($AB$1+1)*Module!$I$5*Module!$I$7</f>
        <v>55.150770979977231</v>
      </c>
      <c r="BD76" s="101">
        <f>$P$120*Module!$I$7*X76*Module!$I$5</f>
        <v>167.09788933364783</v>
      </c>
      <c r="BE76" s="151">
        <f t="shared" si="28"/>
        <v>1000000</v>
      </c>
      <c r="BG76" s="101">
        <f t="shared" si="29"/>
        <v>0</v>
      </c>
      <c r="BH76" s="101">
        <f>10+Module!$K$57/($AC$1+1)</f>
        <v>59.463036490617775</v>
      </c>
      <c r="BI76" s="101">
        <f>$AC$1*(25+Module!$I$6)</f>
        <v>202</v>
      </c>
      <c r="BJ76" s="101">
        <f>(BH76*($AC$1+1)*0.002488974)/($AC$1+1)*Module!$I$5*Module!$I$7</f>
        <v>45.656234094813776</v>
      </c>
      <c r="BK76" s="101">
        <f>$P$120*Module!$I$7*X76*Module!$I$5</f>
        <v>167.09788933364783</v>
      </c>
      <c r="BL76" s="151">
        <f t="shared" si="30"/>
        <v>1000000</v>
      </c>
    </row>
    <row r="77" spans="1:64" ht="24.75" customHeight="1" thickBot="1">
      <c r="A77" s="101">
        <f t="shared" si="20"/>
        <v>77</v>
      </c>
      <c r="I77" s="11" t="s">
        <v>13</v>
      </c>
      <c r="J77" s="112">
        <f>IF(SUM(INFO!B99:B100)&gt;0,SUM(INFO!B99:B100),"-")</f>
        <v>19</v>
      </c>
      <c r="K77" s="112">
        <f>IF(SUM(INFO!C99:C100)&gt;0,SUM(INFO!C99:C100),"-")</f>
        <v>19</v>
      </c>
      <c r="L77" s="112">
        <f>IF(SUM(INFO!D99:D100)&gt;0,SUM(INFO!D99:D100),"-")</f>
        <v>19</v>
      </c>
      <c r="M77" s="112" t="str">
        <f>IF(SUM(INFO!E99:E100)&gt;0,SUM(INFO!E99:E100),"-")</f>
        <v>-</v>
      </c>
      <c r="N77" s="112" t="str">
        <f>IF(SUM(INFO!F99:F100)&gt;0,SUM(INFO!F99:F100),"-")</f>
        <v>-</v>
      </c>
      <c r="O77" s="125">
        <f>VLOOKUP(O76,X103:Y203,2,0)</f>
        <v>139.95393621317709</v>
      </c>
      <c r="P77" s="101">
        <f>J77</f>
        <v>19</v>
      </c>
      <c r="Q77" s="135">
        <f>100-J78</f>
        <v>73.4727459493336</v>
      </c>
      <c r="R77" s="101">
        <f>P77</f>
        <v>19</v>
      </c>
      <c r="S77" s="101">
        <f t="shared" si="34"/>
        <v>5</v>
      </c>
      <c r="T77" s="101" t="e">
        <f t="shared" si="35"/>
        <v>#N/A</v>
      </c>
      <c r="U77" s="101">
        <f t="shared" si="36"/>
        <v>-4</v>
      </c>
      <c r="V77" s="101" t="e">
        <f>#REF!</f>
        <v>#REF!</v>
      </c>
      <c r="W77" s="780"/>
      <c r="X77" s="121">
        <f t="shared" si="32"/>
        <v>75</v>
      </c>
      <c r="Y77" s="122">
        <f>'calcul pneu pour calculateur'!P78</f>
        <v>87.180974194834704</v>
      </c>
      <c r="Z77" s="123">
        <f t="shared" si="16"/>
        <v>174.36194838966941</v>
      </c>
      <c r="AA77" s="123">
        <f t="shared" si="17"/>
        <v>261.54292258450414</v>
      </c>
      <c r="AB77" s="123">
        <f t="shared" si="18"/>
        <v>348.72389677933882</v>
      </c>
      <c r="AC77" s="123">
        <f t="shared" si="19"/>
        <v>435.90487097417349</v>
      </c>
      <c r="AD77" s="123"/>
      <c r="AK77" s="121">
        <f t="shared" si="33"/>
        <v>75</v>
      </c>
      <c r="AL77" s="101">
        <f t="shared" si="23"/>
        <v>0</v>
      </c>
      <c r="AM77" s="101">
        <f>10+Module!$K$57/($Z$1+1)</f>
        <v>133.65759122654444</v>
      </c>
      <c r="AN77" s="101">
        <f>$Z$1*(25+Module!$I$6)</f>
        <v>50.5</v>
      </c>
      <c r="AO77" s="101">
        <f>(AM77*($Z$1+1)*0.002488974)/($Z$1+1)*Module!$I$5*Module!$I$7</f>
        <v>102.62345540579445</v>
      </c>
      <c r="AP77" s="101">
        <f>$P$120*Module!$I$7*X77*Module!$I$5</f>
        <v>169.35596891923765</v>
      </c>
      <c r="AQ77" s="151">
        <f t="shared" si="24"/>
        <v>1000000</v>
      </c>
      <c r="AS77" s="101">
        <f t="shared" si="25"/>
        <v>0</v>
      </c>
      <c r="AT77" s="101">
        <f>10+Module!$K$57/($AA$1+1)</f>
        <v>92.438394151029627</v>
      </c>
      <c r="AU77" s="101">
        <f>$AA$1*(25+Module!$I$6)</f>
        <v>101</v>
      </c>
      <c r="AV77" s="101">
        <f>(AT77*($Z$1+1)*0.002488974)/($Z$1+1)*Module!$I$5*Module!$I$7</f>
        <v>70.974999121916298</v>
      </c>
      <c r="AW77" s="101">
        <f>$P$120*Module!$I$7*X77*Module!$I$5</f>
        <v>169.35596891923765</v>
      </c>
      <c r="AX77" s="151">
        <f t="shared" si="26"/>
        <v>1000000</v>
      </c>
      <c r="AZ77" s="101">
        <f t="shared" si="27"/>
        <v>0</v>
      </c>
      <c r="BA77" s="101">
        <f>10+Module!$K$57/($AB$1+1)</f>
        <v>71.82879561327222</v>
      </c>
      <c r="BB77" s="101">
        <f>$AB$1*(25+Module!$I$6)</f>
        <v>151.5</v>
      </c>
      <c r="BC77" s="101">
        <f>(BA77*($AB$1+1)*0.002488974)/($AB$1+1)*Module!$I$5*Module!$I$7</f>
        <v>55.150770979977231</v>
      </c>
      <c r="BD77" s="101">
        <f>$P$120*Module!$I$7*X77*Module!$I$5</f>
        <v>169.35596891923765</v>
      </c>
      <c r="BE77" s="151">
        <f t="shared" si="28"/>
        <v>1000000</v>
      </c>
      <c r="BG77" s="101">
        <f t="shared" si="29"/>
        <v>0</v>
      </c>
      <c r="BH77" s="101">
        <f>10+Module!$K$57/($AC$1+1)</f>
        <v>59.463036490617775</v>
      </c>
      <c r="BI77" s="101">
        <f>$AC$1*(25+Module!$I$6)</f>
        <v>202</v>
      </c>
      <c r="BJ77" s="101">
        <f>(BH77*($AC$1+1)*0.002488974)/($AC$1+1)*Module!$I$5*Module!$I$7</f>
        <v>45.656234094813776</v>
      </c>
      <c r="BK77" s="101">
        <f>$P$120*Module!$I$7*X77*Module!$I$5</f>
        <v>169.35596891923765</v>
      </c>
      <c r="BL77" s="151">
        <f t="shared" si="30"/>
        <v>1000000</v>
      </c>
    </row>
    <row r="78" spans="1:64" ht="24.75" customHeight="1" thickBot="1">
      <c r="A78" s="101">
        <f t="shared" si="20"/>
        <v>78</v>
      </c>
      <c r="C78" s="772" t="s">
        <v>259</v>
      </c>
      <c r="D78" s="126" t="s">
        <v>257</v>
      </c>
      <c r="E78" s="127" t="s">
        <v>130</v>
      </c>
      <c r="F78" s="127" t="s">
        <v>258</v>
      </c>
      <c r="G78" s="127" t="s">
        <v>265</v>
      </c>
      <c r="I78" s="11" t="s">
        <v>2</v>
      </c>
      <c r="J78" s="113">
        <f>IF(J77&lt;&gt;"-",100-J77*100*VLOOKUP(Module!$H$2,INFO!$A$3:$G$65,7,0)/$O$77,"-")</f>
        <v>26.5272540506664</v>
      </c>
      <c r="K78" s="113">
        <f>IF(K77&lt;&gt;"-",100-K77*100*VLOOKUP(Module!$H$2,INFO!$A$3:$G$65,7,0)/$O$77,"-")</f>
        <v>26.5272540506664</v>
      </c>
      <c r="L78" s="113">
        <f>IF(L77&lt;&gt;"-",100-L77*100*VLOOKUP(Module!$H$2,INFO!$A$3:$G$65,7,0)/$O$77,"-")</f>
        <v>26.5272540506664</v>
      </c>
      <c r="M78" s="113" t="str">
        <f>IF(M77&lt;&gt;"-",100-M77*100*VLOOKUP(Module!$H$2,INFO!$A$3:$G$65,7,0)/$O$77,"-")</f>
        <v>-</v>
      </c>
      <c r="N78" s="113" t="str">
        <f>IF(N77&lt;&gt;"-",100-N77*100*VLOOKUP(Module!$H$2,INFO!$A$3:$G$65,7,0)/$O$77,"-")</f>
        <v>-</v>
      </c>
      <c r="O78" s="11" t="s">
        <v>3</v>
      </c>
      <c r="P78" s="101">
        <f>ROUNDDOWN((P77*Q78)/Q77,0)</f>
        <v>21</v>
      </c>
      <c r="Q78" s="101">
        <v>82</v>
      </c>
      <c r="R78" s="136">
        <f>J77+J80</f>
        <v>25</v>
      </c>
      <c r="S78" s="101">
        <f t="shared" si="34"/>
        <v>6</v>
      </c>
      <c r="T78" s="101" t="e">
        <f t="shared" si="35"/>
        <v>#N/A</v>
      </c>
      <c r="U78" s="101">
        <f t="shared" si="36"/>
        <v>-5</v>
      </c>
      <c r="V78" s="101" t="e">
        <f>#REF!</f>
        <v>#REF!</v>
      </c>
      <c r="W78" s="780"/>
      <c r="X78" s="121">
        <f t="shared" si="32"/>
        <v>76</v>
      </c>
      <c r="Y78" s="122">
        <f>'calcul pneu pour calculateur'!P79</f>
        <v>86.949970983493529</v>
      </c>
      <c r="Z78" s="123">
        <f t="shared" si="16"/>
        <v>173.89994196698706</v>
      </c>
      <c r="AA78" s="123">
        <f t="shared" si="17"/>
        <v>260.84991295048059</v>
      </c>
      <c r="AB78" s="123">
        <f t="shared" si="18"/>
        <v>347.79988393397412</v>
      </c>
      <c r="AC78" s="123">
        <f t="shared" si="19"/>
        <v>434.74985491746764</v>
      </c>
      <c r="AD78" s="123"/>
      <c r="AK78" s="121">
        <f t="shared" si="33"/>
        <v>76</v>
      </c>
      <c r="AL78" s="101">
        <f t="shared" si="23"/>
        <v>0</v>
      </c>
      <c r="AM78" s="101">
        <f>10+Module!$K$57/($Z$1+1)</f>
        <v>133.65759122654444</v>
      </c>
      <c r="AN78" s="101">
        <f>$Z$1*(25+Module!$I$6)</f>
        <v>50.5</v>
      </c>
      <c r="AO78" s="101">
        <f>(AM78*($Z$1+1)*0.002488974)/($Z$1+1)*Module!$I$5*Module!$I$7</f>
        <v>102.62345540579445</v>
      </c>
      <c r="AP78" s="101">
        <f>$P$120*Module!$I$7*X78*Module!$I$5</f>
        <v>171.61404850482751</v>
      </c>
      <c r="AQ78" s="151">
        <f t="shared" si="24"/>
        <v>1000000</v>
      </c>
      <c r="AS78" s="101">
        <f t="shared" si="25"/>
        <v>0</v>
      </c>
      <c r="AT78" s="101">
        <f>10+Module!$K$57/($AA$1+1)</f>
        <v>92.438394151029627</v>
      </c>
      <c r="AU78" s="101">
        <f>$AA$1*(25+Module!$I$6)</f>
        <v>101</v>
      </c>
      <c r="AV78" s="101">
        <f>(AT78*($Z$1+1)*0.002488974)/($Z$1+1)*Module!$I$5*Module!$I$7</f>
        <v>70.974999121916298</v>
      </c>
      <c r="AW78" s="101">
        <f>$P$120*Module!$I$7*X78*Module!$I$5</f>
        <v>171.61404850482751</v>
      </c>
      <c r="AX78" s="151">
        <f t="shared" si="26"/>
        <v>1000000</v>
      </c>
      <c r="AZ78" s="101">
        <f t="shared" si="27"/>
        <v>0</v>
      </c>
      <c r="BA78" s="101">
        <f>10+Module!$K$57/($AB$1+1)</f>
        <v>71.82879561327222</v>
      </c>
      <c r="BB78" s="101">
        <f>$AB$1*(25+Module!$I$6)</f>
        <v>151.5</v>
      </c>
      <c r="BC78" s="101">
        <f>(BA78*($AB$1+1)*0.002488974)/($AB$1+1)*Module!$I$5*Module!$I$7</f>
        <v>55.150770979977231</v>
      </c>
      <c r="BD78" s="101">
        <f>$P$120*Module!$I$7*X78*Module!$I$5</f>
        <v>171.61404850482751</v>
      </c>
      <c r="BE78" s="151">
        <f t="shared" si="28"/>
        <v>1000000</v>
      </c>
      <c r="BG78" s="101">
        <f t="shared" si="29"/>
        <v>0</v>
      </c>
      <c r="BH78" s="101">
        <f>10+Module!$K$57/($AC$1+1)</f>
        <v>59.463036490617775</v>
      </c>
      <c r="BI78" s="101">
        <f>$AC$1*(25+Module!$I$6)</f>
        <v>202</v>
      </c>
      <c r="BJ78" s="101">
        <f>(BH78*($AC$1+1)*0.002488974)/($AC$1+1)*Module!$I$5*Module!$I$7</f>
        <v>45.656234094813776</v>
      </c>
      <c r="BK78" s="101">
        <f>$P$120*Module!$I$7*X78*Module!$I$5</f>
        <v>171.61404850482751</v>
      </c>
      <c r="BL78" s="151">
        <f t="shared" si="30"/>
        <v>1000000</v>
      </c>
    </row>
    <row r="79" spans="1:64" ht="24.75" customHeight="1" thickBot="1">
      <c r="A79" s="101">
        <f t="shared" si="20"/>
        <v>79</v>
      </c>
      <c r="C79" s="773"/>
      <c r="D79" s="128">
        <f t="array" ref="D79">MIN(IF($Y$2:$AC$102&gt;=AJ1,$Y$2:$AC$102))</f>
        <v>355.19198669689195</v>
      </c>
      <c r="E79" s="166">
        <f>AY409</f>
        <v>0</v>
      </c>
      <c r="F79" s="166">
        <f>AX409</f>
        <v>3</v>
      </c>
      <c r="G79" s="116">
        <v>15</v>
      </c>
      <c r="I79" s="11" t="s">
        <v>1</v>
      </c>
      <c r="J79" s="114">
        <f>IF(J77&lt;&gt;"-",ROUNDUP(I108+(I108*$M$75)/100,0),"-")</f>
        <v>83</v>
      </c>
      <c r="K79" s="114">
        <f>IF(K77&lt;&gt;"-",ROUNDUP(J108+(J108*$M$75)/100,0),"-")</f>
        <v>83</v>
      </c>
      <c r="L79" s="114">
        <f>IF(L77&lt;&gt;"-",ROUNDUP(K108+(K108*$M$75)/100,0),"-")</f>
        <v>83</v>
      </c>
      <c r="M79" s="114" t="str">
        <f>IF(M77&lt;&gt;"-",ROUNDUP(L108+(L108*$M$75)/100,0),"-")</f>
        <v>-</v>
      </c>
      <c r="N79" s="114" t="str">
        <f>IF(N77&lt;&gt;"-",ROUNDUP(M108+(M108*$M$75)/100,0),"-")</f>
        <v>-</v>
      </c>
      <c r="O79" s="111">
        <f>SUM(J79:N79)</f>
        <v>249</v>
      </c>
      <c r="P79" s="101">
        <f>P78-P77</f>
        <v>2</v>
      </c>
      <c r="Q79" s="101">
        <f>Q77</f>
        <v>73.4727459493336</v>
      </c>
      <c r="R79" s="101">
        <f>R78-R77</f>
        <v>6</v>
      </c>
      <c r="S79" s="101">
        <f t="shared" si="34"/>
        <v>7</v>
      </c>
      <c r="T79" s="101" t="e">
        <f t="shared" si="35"/>
        <v>#N/A</v>
      </c>
      <c r="U79" s="101">
        <f t="shared" si="36"/>
        <v>-6</v>
      </c>
      <c r="V79" s="101" t="e">
        <f>#REF!</f>
        <v>#REF!</v>
      </c>
      <c r="W79" s="780"/>
      <c r="X79" s="121">
        <f t="shared" si="32"/>
        <v>77</v>
      </c>
      <c r="Y79" s="122">
        <f>'calcul pneu pour calculateur'!P80</f>
        <v>86.71896777215234</v>
      </c>
      <c r="Z79" s="123">
        <f t="shared" si="16"/>
        <v>173.43793554430468</v>
      </c>
      <c r="AA79" s="123">
        <f t="shared" si="17"/>
        <v>260.15690331645703</v>
      </c>
      <c r="AB79" s="123">
        <f t="shared" si="18"/>
        <v>346.87587108860936</v>
      </c>
      <c r="AC79" s="123">
        <f t="shared" si="19"/>
        <v>433.59483886076168</v>
      </c>
      <c r="AD79" s="123"/>
      <c r="AK79" s="121">
        <f t="shared" si="33"/>
        <v>77</v>
      </c>
      <c r="AL79" s="101">
        <f t="shared" si="23"/>
        <v>0</v>
      </c>
      <c r="AM79" s="101">
        <f>10+Module!$K$57/($Z$1+1)</f>
        <v>133.65759122654444</v>
      </c>
      <c r="AN79" s="101">
        <f>$Z$1*(25+Module!$I$6)</f>
        <v>50.5</v>
      </c>
      <c r="AO79" s="101">
        <f>(AM79*($Z$1+1)*0.002488974)/($Z$1+1)*Module!$I$5*Module!$I$7</f>
        <v>102.62345540579445</v>
      </c>
      <c r="AP79" s="101">
        <f>$P$120*Module!$I$7*X79*Module!$I$5</f>
        <v>173.87212809041733</v>
      </c>
      <c r="AQ79" s="151">
        <f t="shared" si="24"/>
        <v>1000000</v>
      </c>
      <c r="AS79" s="101">
        <f t="shared" si="25"/>
        <v>0</v>
      </c>
      <c r="AT79" s="101">
        <f>10+Module!$K$57/($AA$1+1)</f>
        <v>92.438394151029627</v>
      </c>
      <c r="AU79" s="101">
        <f>$AA$1*(25+Module!$I$6)</f>
        <v>101</v>
      </c>
      <c r="AV79" s="101">
        <f>(AT79*($Z$1+1)*0.002488974)/($Z$1+1)*Module!$I$5*Module!$I$7</f>
        <v>70.974999121916298</v>
      </c>
      <c r="AW79" s="101">
        <f>$P$120*Module!$I$7*X79*Module!$I$5</f>
        <v>173.87212809041733</v>
      </c>
      <c r="AX79" s="151">
        <f t="shared" si="26"/>
        <v>1000000</v>
      </c>
      <c r="AZ79" s="101">
        <f t="shared" si="27"/>
        <v>0</v>
      </c>
      <c r="BA79" s="101">
        <f>10+Module!$K$57/($AB$1+1)</f>
        <v>71.82879561327222</v>
      </c>
      <c r="BB79" s="101">
        <f>$AB$1*(25+Module!$I$6)</f>
        <v>151.5</v>
      </c>
      <c r="BC79" s="101">
        <f>(BA79*($AB$1+1)*0.002488974)/($AB$1+1)*Module!$I$5*Module!$I$7</f>
        <v>55.150770979977231</v>
      </c>
      <c r="BD79" s="101">
        <f>$P$120*Module!$I$7*X79*Module!$I$5</f>
        <v>173.87212809041733</v>
      </c>
      <c r="BE79" s="151">
        <f t="shared" si="28"/>
        <v>1000000</v>
      </c>
      <c r="BG79" s="101">
        <f t="shared" si="29"/>
        <v>0</v>
      </c>
      <c r="BH79" s="101">
        <f>10+Module!$K$57/($AC$1+1)</f>
        <v>59.463036490617775</v>
      </c>
      <c r="BI79" s="101">
        <f>$AC$1*(25+Module!$I$6)</f>
        <v>202</v>
      </c>
      <c r="BJ79" s="101">
        <f>(BH79*($AC$1+1)*0.002488974)/($AC$1+1)*Module!$I$5*Module!$I$7</f>
        <v>45.656234094813776</v>
      </c>
      <c r="BK79" s="101">
        <f>$P$120*Module!$I$7*X79*Module!$I$5</f>
        <v>173.87212809041733</v>
      </c>
      <c r="BL79" s="151">
        <f t="shared" si="30"/>
        <v>1000000</v>
      </c>
    </row>
    <row r="80" spans="1:64" ht="24.75" customHeight="1" thickBot="1">
      <c r="A80" s="101">
        <f t="shared" si="20"/>
        <v>80</v>
      </c>
      <c r="I80" s="11" t="s">
        <v>0</v>
      </c>
      <c r="J80" s="2">
        <f>ROUNDDOWN(($O$77-J77*VLOOKUP(Module!$H$2,INFO!$A$3:$AA$65,7,0))/VLOOKUP(Module!$H$2,INFO!$A$3:$AA$65,7,0),0)</f>
        <v>6</v>
      </c>
      <c r="K80" s="2">
        <f>ROUNDDOWN(($O$77-K77*VLOOKUP(Module!$H$2,INFO!$A$3:$AA$65,7,0))/VLOOKUP(Module!$H$2,INFO!$A$3:$AA$65,7,0),0)</f>
        <v>6</v>
      </c>
      <c r="L80" s="2">
        <f>ROUNDDOWN(($O$77-L77*VLOOKUP(Module!$H$2,INFO!$A$3:$AA$65,7,0))/VLOOKUP(Module!$H$2,INFO!$A$3:$AA$65,7,0),0)</f>
        <v>6</v>
      </c>
      <c r="M80" s="2" t="e">
        <f>ROUNDDOWN(($O$77-M77*VLOOKUP(Module!$H$2,INFO!$A$3:$AA$65,7,0))/VLOOKUP(Module!$H$2,INFO!$A$3:$AA$65,7,0),0)</f>
        <v>#VALUE!</v>
      </c>
      <c r="N80" s="2" t="e">
        <f>ROUNDDOWN(($O$77-N77*VLOOKUP(Module!$H$2,INFO!$A$3:$AA$65,7,0))/VLOOKUP(Module!$H$2,INFO!$A$3:$AA$65,7,0),0)</f>
        <v>#VALUE!</v>
      </c>
      <c r="O80" s="134">
        <f>100-(IF(1&lt;&gt;"-",100-1*100*VLOOKUP(Module!$H$2,INFO!$A$3:$G$65,7,0)/O77,"-"))</f>
        <v>3.8669866289123007</v>
      </c>
      <c r="P80" s="101">
        <f>P79*R80</f>
        <v>0.5</v>
      </c>
      <c r="Q80" s="101">
        <v>100</v>
      </c>
      <c r="R80" s="101">
        <f>1/Q81</f>
        <v>0.25</v>
      </c>
      <c r="S80" s="101">
        <f t="shared" si="34"/>
        <v>8</v>
      </c>
      <c r="T80" s="101" t="e">
        <f t="shared" si="35"/>
        <v>#N/A</v>
      </c>
      <c r="U80" s="101">
        <f t="shared" si="36"/>
        <v>-7</v>
      </c>
      <c r="V80" s="101" t="e">
        <f>#REF!</f>
        <v>#REF!</v>
      </c>
      <c r="W80" s="780"/>
      <c r="X80" s="121">
        <f t="shared" si="32"/>
        <v>78</v>
      </c>
      <c r="Y80" s="122">
        <f>'calcul pneu pour calculateur'!P81</f>
        <v>86.48796456081115</v>
      </c>
      <c r="Z80" s="123">
        <f t="shared" si="16"/>
        <v>172.9759291216223</v>
      </c>
      <c r="AA80" s="123">
        <f t="shared" si="17"/>
        <v>259.46389368243342</v>
      </c>
      <c r="AB80" s="123">
        <f t="shared" si="18"/>
        <v>345.9518582432446</v>
      </c>
      <c r="AC80" s="123">
        <f t="shared" si="19"/>
        <v>432.43982280405578</v>
      </c>
      <c r="AD80" s="123"/>
      <c r="AK80" s="121">
        <f t="shared" si="33"/>
        <v>78</v>
      </c>
      <c r="AL80" s="101">
        <f t="shared" si="23"/>
        <v>0</v>
      </c>
      <c r="AM80" s="101">
        <f>10+Module!$K$57/($Z$1+1)</f>
        <v>133.65759122654444</v>
      </c>
      <c r="AN80" s="101">
        <f>$Z$1*(25+Module!$I$6)</f>
        <v>50.5</v>
      </c>
      <c r="AO80" s="101">
        <f>(AM80*($Z$1+1)*0.002488974)/($Z$1+1)*Module!$I$5*Module!$I$7</f>
        <v>102.62345540579445</v>
      </c>
      <c r="AP80" s="101">
        <f>$P$120*Module!$I$7*X80*Module!$I$5</f>
        <v>176.13020767600716</v>
      </c>
      <c r="AQ80" s="151">
        <f t="shared" si="24"/>
        <v>1000000</v>
      </c>
      <c r="AS80" s="101">
        <f t="shared" si="25"/>
        <v>0</v>
      </c>
      <c r="AT80" s="101">
        <f>10+Module!$K$57/($AA$1+1)</f>
        <v>92.438394151029627</v>
      </c>
      <c r="AU80" s="101">
        <f>$AA$1*(25+Module!$I$6)</f>
        <v>101</v>
      </c>
      <c r="AV80" s="101">
        <f>(AT80*($Z$1+1)*0.002488974)/($Z$1+1)*Module!$I$5*Module!$I$7</f>
        <v>70.974999121916298</v>
      </c>
      <c r="AW80" s="101">
        <f>$P$120*Module!$I$7*X80*Module!$I$5</f>
        <v>176.13020767600716</v>
      </c>
      <c r="AX80" s="151">
        <f t="shared" si="26"/>
        <v>1000000</v>
      </c>
      <c r="AZ80" s="101">
        <f t="shared" si="27"/>
        <v>0</v>
      </c>
      <c r="BA80" s="101">
        <f>10+Module!$K$57/($AB$1+1)</f>
        <v>71.82879561327222</v>
      </c>
      <c r="BB80" s="101">
        <f>$AB$1*(25+Module!$I$6)</f>
        <v>151.5</v>
      </c>
      <c r="BC80" s="101">
        <f>(BA80*($AB$1+1)*0.002488974)/($AB$1+1)*Module!$I$5*Module!$I$7</f>
        <v>55.150770979977231</v>
      </c>
      <c r="BD80" s="101">
        <f>$P$120*Module!$I$7*X80*Module!$I$5</f>
        <v>176.13020767600716</v>
      </c>
      <c r="BE80" s="151">
        <f t="shared" si="28"/>
        <v>1000000</v>
      </c>
      <c r="BG80" s="101">
        <f t="shared" si="29"/>
        <v>0</v>
      </c>
      <c r="BH80" s="101">
        <f>10+Module!$K$57/($AC$1+1)</f>
        <v>59.463036490617775</v>
      </c>
      <c r="BI80" s="101">
        <f>$AC$1*(25+Module!$I$6)</f>
        <v>202</v>
      </c>
      <c r="BJ80" s="101">
        <f>(BH80*($AC$1+1)*0.002488974)/($AC$1+1)*Module!$I$5*Module!$I$7</f>
        <v>45.656234094813776</v>
      </c>
      <c r="BK80" s="101">
        <f>$P$120*Module!$I$7*X80*Module!$I$5</f>
        <v>176.13020767600716</v>
      </c>
      <c r="BL80" s="151">
        <f t="shared" si="30"/>
        <v>1000000</v>
      </c>
    </row>
    <row r="81" spans="1:64" ht="24.75" customHeight="1" thickBot="1">
      <c r="A81" s="101">
        <f t="shared" si="20"/>
        <v>81</v>
      </c>
      <c r="C81" s="772" t="s">
        <v>253</v>
      </c>
      <c r="D81" s="126" t="s">
        <v>257</v>
      </c>
      <c r="E81" s="127" t="s">
        <v>130</v>
      </c>
      <c r="F81" s="127" t="s">
        <v>258</v>
      </c>
      <c r="G81" s="127" t="s">
        <v>265</v>
      </c>
      <c r="Q81" s="136">
        <f>R78-P78</f>
        <v>4</v>
      </c>
      <c r="S81" s="101">
        <f t="shared" si="34"/>
        <v>9</v>
      </c>
      <c r="T81" s="101" t="e">
        <f t="shared" si="35"/>
        <v>#N/A</v>
      </c>
      <c r="U81" s="101">
        <f t="shared" si="36"/>
        <v>-8</v>
      </c>
      <c r="V81" s="101" t="e">
        <f>#REF!</f>
        <v>#REF!</v>
      </c>
      <c r="W81" s="780"/>
      <c r="X81" s="121">
        <f t="shared" si="32"/>
        <v>79</v>
      </c>
      <c r="Y81" s="122">
        <f>'calcul pneu pour calculateur'!P82</f>
        <v>86.256961349469975</v>
      </c>
      <c r="Z81" s="123">
        <f t="shared" si="16"/>
        <v>172.51392269893995</v>
      </c>
      <c r="AA81" s="123">
        <f t="shared" si="17"/>
        <v>258.77088404840993</v>
      </c>
      <c r="AB81" s="123">
        <f t="shared" si="18"/>
        <v>345.0278453978799</v>
      </c>
      <c r="AC81" s="123">
        <f t="shared" si="19"/>
        <v>431.28480674734988</v>
      </c>
      <c r="AD81" s="123"/>
      <c r="AK81" s="121">
        <f t="shared" si="33"/>
        <v>79</v>
      </c>
      <c r="AL81" s="101">
        <f t="shared" si="23"/>
        <v>0</v>
      </c>
      <c r="AM81" s="101">
        <f>10+Module!$K$57/($Z$1+1)</f>
        <v>133.65759122654444</v>
      </c>
      <c r="AN81" s="101">
        <f>$Z$1*(25+Module!$I$6)</f>
        <v>50.5</v>
      </c>
      <c r="AO81" s="101">
        <f>(AM81*($Z$1+1)*0.002488974)/($Z$1+1)*Module!$I$5*Module!$I$7</f>
        <v>102.62345540579445</v>
      </c>
      <c r="AP81" s="101">
        <f>$P$120*Module!$I$7*X81*Module!$I$5</f>
        <v>178.38828726159699</v>
      </c>
      <c r="AQ81" s="151">
        <f t="shared" si="24"/>
        <v>1000000</v>
      </c>
      <c r="AS81" s="101">
        <f t="shared" si="25"/>
        <v>0</v>
      </c>
      <c r="AT81" s="101">
        <f>10+Module!$K$57/($AA$1+1)</f>
        <v>92.438394151029627</v>
      </c>
      <c r="AU81" s="101">
        <f>$AA$1*(25+Module!$I$6)</f>
        <v>101</v>
      </c>
      <c r="AV81" s="101">
        <f>(AT81*($Z$1+1)*0.002488974)/($Z$1+1)*Module!$I$5*Module!$I$7</f>
        <v>70.974999121916298</v>
      </c>
      <c r="AW81" s="101">
        <f>$P$120*Module!$I$7*X81*Module!$I$5</f>
        <v>178.38828726159699</v>
      </c>
      <c r="AX81" s="151">
        <f t="shared" si="26"/>
        <v>1000000</v>
      </c>
      <c r="AZ81" s="101">
        <f t="shared" si="27"/>
        <v>0</v>
      </c>
      <c r="BA81" s="101">
        <f>10+Module!$K$57/($AB$1+1)</f>
        <v>71.82879561327222</v>
      </c>
      <c r="BB81" s="101">
        <f>$AB$1*(25+Module!$I$6)</f>
        <v>151.5</v>
      </c>
      <c r="BC81" s="101">
        <f>(BA81*($AB$1+1)*0.002488974)/($AB$1+1)*Module!$I$5*Module!$I$7</f>
        <v>55.150770979977231</v>
      </c>
      <c r="BD81" s="101">
        <f>$P$120*Module!$I$7*X81*Module!$I$5</f>
        <v>178.38828726159699</v>
      </c>
      <c r="BE81" s="151">
        <f t="shared" si="28"/>
        <v>1000000</v>
      </c>
      <c r="BG81" s="101">
        <f t="shared" si="29"/>
        <v>0</v>
      </c>
      <c r="BH81" s="101">
        <f>10+Module!$K$57/($AC$1+1)</f>
        <v>59.463036490617775</v>
      </c>
      <c r="BI81" s="101">
        <f>$AC$1*(25+Module!$I$6)</f>
        <v>202</v>
      </c>
      <c r="BJ81" s="101">
        <f>(BH81*($AC$1+1)*0.002488974)/($AC$1+1)*Module!$I$5*Module!$I$7</f>
        <v>45.656234094813776</v>
      </c>
      <c r="BK81" s="101">
        <f>$P$120*Module!$I$7*X81*Module!$I$5</f>
        <v>178.38828726159699</v>
      </c>
      <c r="BL81" s="151">
        <f t="shared" si="30"/>
        <v>1000000</v>
      </c>
    </row>
    <row r="82" spans="1:64" ht="24.75" customHeight="1" thickBot="1">
      <c r="A82" s="101">
        <f t="shared" si="20"/>
        <v>82</v>
      </c>
      <c r="C82" s="773"/>
      <c r="D82" s="128">
        <f t="array" ref="D82">MIN(IF($Y$103:$AC$203&gt;=AJ3,$Y$103:$AC$203))</f>
        <v>355.19068778867461</v>
      </c>
      <c r="E82" s="166">
        <f>AY410</f>
        <v>0</v>
      </c>
      <c r="F82" s="166">
        <f>AX410</f>
        <v>2</v>
      </c>
      <c r="G82" s="116">
        <v>15</v>
      </c>
      <c r="I82" s="770" t="s">
        <v>263</v>
      </c>
      <c r="J82" s="771"/>
      <c r="K82" s="771"/>
      <c r="L82" s="771"/>
      <c r="M82" s="782" t="str">
        <f>IF(D85="",0,'CALCULETTE CHRONOS'!S9)</f>
        <v>1h 33m 34,7321013999999 s</v>
      </c>
      <c r="N82" s="783"/>
      <c r="O82" s="784"/>
      <c r="S82" s="101">
        <f>0+P87</f>
        <v>-2</v>
      </c>
      <c r="T82" s="101" t="e">
        <f t="shared" ref="T82:T89" si="37">VLOOKUP(S82,$U$82:$V$89,2,0)</f>
        <v>#REF!</v>
      </c>
      <c r="U82" s="101">
        <v>-1</v>
      </c>
      <c r="V82" s="101" t="e">
        <f>#REF!</f>
        <v>#REF!</v>
      </c>
      <c r="W82" s="780"/>
      <c r="X82" s="121">
        <f t="shared" si="32"/>
        <v>80</v>
      </c>
      <c r="Y82" s="122">
        <f>'calcul pneu pour calculateur'!P83</f>
        <v>86.0259581381288</v>
      </c>
      <c r="Z82" s="123">
        <f t="shared" si="16"/>
        <v>172.0519162762576</v>
      </c>
      <c r="AA82" s="123">
        <f t="shared" si="17"/>
        <v>258.07787441438643</v>
      </c>
      <c r="AB82" s="123">
        <f t="shared" si="18"/>
        <v>344.1038325525152</v>
      </c>
      <c r="AC82" s="123">
        <f t="shared" si="19"/>
        <v>430.12979069064397</v>
      </c>
      <c r="AD82" s="123"/>
      <c r="AK82" s="121">
        <f t="shared" si="33"/>
        <v>80</v>
      </c>
      <c r="AL82" s="101">
        <f t="shared" si="23"/>
        <v>0</v>
      </c>
      <c r="AM82" s="101">
        <f>10+Module!$K$57/($Z$1+1)</f>
        <v>133.65759122654444</v>
      </c>
      <c r="AN82" s="101">
        <f>$Z$1*(25+Module!$I$6)</f>
        <v>50.5</v>
      </c>
      <c r="AO82" s="101">
        <f>(AM82*($Z$1+1)*0.002488974)/($Z$1+1)*Module!$I$5*Module!$I$7</f>
        <v>102.62345540579445</v>
      </c>
      <c r="AP82" s="101">
        <f>$P$120*Module!$I$7*X82*Module!$I$5</f>
        <v>180.64636684718684</v>
      </c>
      <c r="AQ82" s="151">
        <f t="shared" si="24"/>
        <v>1000000</v>
      </c>
      <c r="AS82" s="101">
        <f t="shared" si="25"/>
        <v>0</v>
      </c>
      <c r="AT82" s="101">
        <f>10+Module!$K$57/($AA$1+1)</f>
        <v>92.438394151029627</v>
      </c>
      <c r="AU82" s="101">
        <f>$AA$1*(25+Module!$I$6)</f>
        <v>101</v>
      </c>
      <c r="AV82" s="101">
        <f>(AT82*($Z$1+1)*0.002488974)/($Z$1+1)*Module!$I$5*Module!$I$7</f>
        <v>70.974999121916298</v>
      </c>
      <c r="AW82" s="101">
        <f>$P$120*Module!$I$7*X82*Module!$I$5</f>
        <v>180.64636684718684</v>
      </c>
      <c r="AX82" s="151">
        <f t="shared" si="26"/>
        <v>1000000</v>
      </c>
      <c r="AZ82" s="101">
        <f t="shared" si="27"/>
        <v>0</v>
      </c>
      <c r="BA82" s="101">
        <f>10+Module!$K$57/($AB$1+1)</f>
        <v>71.82879561327222</v>
      </c>
      <c r="BB82" s="101">
        <f>$AB$1*(25+Module!$I$6)</f>
        <v>151.5</v>
      </c>
      <c r="BC82" s="101">
        <f>(BA82*($AB$1+1)*0.002488974)/($AB$1+1)*Module!$I$5*Module!$I$7</f>
        <v>55.150770979977231</v>
      </c>
      <c r="BD82" s="101">
        <f>$P$120*Module!$I$7*X82*Module!$I$5</f>
        <v>180.64636684718684</v>
      </c>
      <c r="BE82" s="151">
        <f t="shared" si="28"/>
        <v>1000000</v>
      </c>
      <c r="BG82" s="101">
        <f t="shared" si="29"/>
        <v>0</v>
      </c>
      <c r="BH82" s="101">
        <f>10+Module!$K$57/($AC$1+1)</f>
        <v>59.463036490617775</v>
      </c>
      <c r="BI82" s="101">
        <f>$AC$1*(25+Module!$I$6)</f>
        <v>202</v>
      </c>
      <c r="BJ82" s="101">
        <f>(BH82*($AC$1+1)*0.002488974)/($AC$1+1)*Module!$I$5*Module!$I$7</f>
        <v>45.656234094813776</v>
      </c>
      <c r="BK82" s="101">
        <f>$P$120*Module!$I$7*X82*Module!$I$5</f>
        <v>180.64636684718684</v>
      </c>
      <c r="BL82" s="151">
        <f t="shared" si="30"/>
        <v>1000000</v>
      </c>
    </row>
    <row r="83" spans="1:64" ht="24.75" customHeight="1" thickBot="1">
      <c r="A83" s="101">
        <f t="shared" si="20"/>
        <v>83</v>
      </c>
      <c r="I83" s="11" t="s">
        <v>17</v>
      </c>
      <c r="J83" s="112">
        <f>F85</f>
        <v>1</v>
      </c>
      <c r="K83" s="774" t="s">
        <v>196</v>
      </c>
      <c r="L83" s="775"/>
      <c r="M83" s="116">
        <v>0</v>
      </c>
      <c r="N83" s="115">
        <f>ROUNDDOWN(O87-Module!$K$57,0)</f>
        <v>0</v>
      </c>
      <c r="O83" s="168" t="s">
        <v>16</v>
      </c>
      <c r="P83" s="147"/>
      <c r="Q83" s="147"/>
      <c r="R83" s="147"/>
      <c r="S83" s="101">
        <f t="shared" ref="S83:S89" si="38">S82+1</f>
        <v>-1</v>
      </c>
      <c r="T83" s="101" t="e">
        <f t="shared" si="37"/>
        <v>#REF!</v>
      </c>
      <c r="U83" s="101">
        <f t="shared" ref="U83:U89" si="39">U82-1</f>
        <v>-2</v>
      </c>
      <c r="V83" s="101" t="e">
        <f>#REF!</f>
        <v>#REF!</v>
      </c>
      <c r="W83" s="780"/>
      <c r="X83" s="121">
        <f t="shared" si="32"/>
        <v>81</v>
      </c>
      <c r="Y83" s="122">
        <f>'calcul pneu pour calculateur'!P84</f>
        <v>85.794954926787611</v>
      </c>
      <c r="Z83" s="123">
        <f t="shared" si="16"/>
        <v>171.58990985357522</v>
      </c>
      <c r="AA83" s="123">
        <f t="shared" si="17"/>
        <v>257.38486478036282</v>
      </c>
      <c r="AB83" s="123">
        <f t="shared" si="18"/>
        <v>343.17981970715044</v>
      </c>
      <c r="AC83" s="123">
        <f t="shared" si="19"/>
        <v>428.97477463393807</v>
      </c>
      <c r="AD83" s="123"/>
      <c r="AK83" s="121">
        <f t="shared" si="33"/>
        <v>81</v>
      </c>
      <c r="AL83" s="101">
        <f t="shared" si="23"/>
        <v>0</v>
      </c>
      <c r="AM83" s="101">
        <f>10+Module!$K$57/($Z$1+1)</f>
        <v>133.65759122654444</v>
      </c>
      <c r="AN83" s="101">
        <f>$Z$1*(25+Module!$I$6)</f>
        <v>50.5</v>
      </c>
      <c r="AO83" s="101">
        <f>(AM83*($Z$1+1)*0.002488974)/($Z$1+1)*Module!$I$5*Module!$I$7</f>
        <v>102.62345540579445</v>
      </c>
      <c r="AP83" s="101">
        <f>$P$120*Module!$I$7*X83*Module!$I$5</f>
        <v>182.90444643277667</v>
      </c>
      <c r="AQ83" s="151">
        <f t="shared" si="24"/>
        <v>1000000</v>
      </c>
      <c r="AS83" s="101">
        <f t="shared" si="25"/>
        <v>0</v>
      </c>
      <c r="AT83" s="101">
        <f>10+Module!$K$57/($AA$1+1)</f>
        <v>92.438394151029627</v>
      </c>
      <c r="AU83" s="101">
        <f>$AA$1*(25+Module!$I$6)</f>
        <v>101</v>
      </c>
      <c r="AV83" s="101">
        <f>(AT83*($Z$1+1)*0.002488974)/($Z$1+1)*Module!$I$5*Module!$I$7</f>
        <v>70.974999121916298</v>
      </c>
      <c r="AW83" s="101">
        <f>$P$120*Module!$I$7*X83*Module!$I$5</f>
        <v>182.90444643277667</v>
      </c>
      <c r="AX83" s="151">
        <f t="shared" si="26"/>
        <v>1000000</v>
      </c>
      <c r="AZ83" s="101">
        <f t="shared" si="27"/>
        <v>0</v>
      </c>
      <c r="BA83" s="101">
        <f>10+Module!$K$57/($AB$1+1)</f>
        <v>71.82879561327222</v>
      </c>
      <c r="BB83" s="101">
        <f>$AB$1*(25+Module!$I$6)</f>
        <v>151.5</v>
      </c>
      <c r="BC83" s="101">
        <f>(BA83*($AB$1+1)*0.002488974)/($AB$1+1)*Module!$I$5*Module!$I$7</f>
        <v>55.150770979977231</v>
      </c>
      <c r="BD83" s="101">
        <f>$P$120*Module!$I$7*X83*Module!$I$5</f>
        <v>182.90444643277667</v>
      </c>
      <c r="BE83" s="151">
        <f t="shared" si="28"/>
        <v>1000000</v>
      </c>
      <c r="BG83" s="101">
        <f t="shared" si="29"/>
        <v>0</v>
      </c>
      <c r="BH83" s="101">
        <f>10+Module!$K$57/($AC$1+1)</f>
        <v>59.463036490617775</v>
      </c>
      <c r="BI83" s="101">
        <f>$AC$1*(25+Module!$I$6)</f>
        <v>202</v>
      </c>
      <c r="BJ83" s="101">
        <f>(BH83*($AC$1+1)*0.002488974)/($AC$1+1)*Module!$I$5*Module!$I$7</f>
        <v>45.656234094813776</v>
      </c>
      <c r="BK83" s="101">
        <f>$P$120*Module!$I$7*X83*Module!$I$5</f>
        <v>182.90444643277667</v>
      </c>
      <c r="BL83" s="151">
        <f t="shared" si="30"/>
        <v>1000000</v>
      </c>
    </row>
    <row r="84" spans="1:64" ht="24.75" customHeight="1" thickBot="1">
      <c r="A84" s="101">
        <f t="shared" si="20"/>
        <v>84</v>
      </c>
      <c r="C84" s="772" t="s">
        <v>254</v>
      </c>
      <c r="D84" s="126" t="s">
        <v>257</v>
      </c>
      <c r="E84" s="127" t="s">
        <v>130</v>
      </c>
      <c r="F84" s="127" t="s">
        <v>258</v>
      </c>
      <c r="G84" s="127" t="s">
        <v>265</v>
      </c>
      <c r="I84" s="163" t="s">
        <v>254</v>
      </c>
      <c r="J84" s="11" t="s">
        <v>8</v>
      </c>
      <c r="K84" s="11" t="s">
        <v>7</v>
      </c>
      <c r="L84" s="11" t="s">
        <v>6</v>
      </c>
      <c r="M84" s="11" t="s">
        <v>5</v>
      </c>
      <c r="N84" s="11" t="s">
        <v>4</v>
      </c>
      <c r="O84" s="117">
        <f>E85</f>
        <v>0</v>
      </c>
      <c r="P84" s="139" t="e">
        <f>IF(T82="#N/A",0,(SUMIF(T82:T89,"&lt;&gt;#N/A")+P87*I101)*(J83+1))</f>
        <v>#REF!</v>
      </c>
      <c r="S84" s="101">
        <f t="shared" si="38"/>
        <v>0</v>
      </c>
      <c r="T84" s="101" t="e">
        <f t="shared" si="37"/>
        <v>#N/A</v>
      </c>
      <c r="U84" s="101">
        <f t="shared" si="39"/>
        <v>-3</v>
      </c>
      <c r="V84" s="101" t="e">
        <f>#REF!</f>
        <v>#REF!</v>
      </c>
      <c r="W84" s="780"/>
      <c r="X84" s="121">
        <f t="shared" si="32"/>
        <v>82</v>
      </c>
      <c r="Y84" s="122">
        <f>'calcul pneu pour calculateur'!P85</f>
        <v>85.563951715446422</v>
      </c>
      <c r="Z84" s="123">
        <f t="shared" si="16"/>
        <v>171.12790343089284</v>
      </c>
      <c r="AA84" s="123">
        <f t="shared" si="17"/>
        <v>256.69185514633926</v>
      </c>
      <c r="AB84" s="123">
        <f t="shared" si="18"/>
        <v>342.25580686178569</v>
      </c>
      <c r="AC84" s="123">
        <f t="shared" si="19"/>
        <v>427.81975857723211</v>
      </c>
      <c r="AD84" s="123"/>
      <c r="AK84" s="121">
        <f t="shared" si="33"/>
        <v>82</v>
      </c>
      <c r="AL84" s="101">
        <f t="shared" si="23"/>
        <v>0</v>
      </c>
      <c r="AM84" s="101">
        <f>10+Module!$K$57/($Z$1+1)</f>
        <v>133.65759122654444</v>
      </c>
      <c r="AN84" s="101">
        <f>$Z$1*(25+Module!$I$6)</f>
        <v>50.5</v>
      </c>
      <c r="AO84" s="101">
        <f>(AM84*($Z$1+1)*0.002488974)/($Z$1+1)*Module!$I$5*Module!$I$7</f>
        <v>102.62345540579445</v>
      </c>
      <c r="AP84" s="101">
        <f>$P$120*Module!$I$7*X84*Module!$I$5</f>
        <v>185.16252601836649</v>
      </c>
      <c r="AQ84" s="151">
        <f t="shared" si="24"/>
        <v>1000000</v>
      </c>
      <c r="AS84" s="101">
        <f t="shared" si="25"/>
        <v>0</v>
      </c>
      <c r="AT84" s="101">
        <f>10+Module!$K$57/($AA$1+1)</f>
        <v>92.438394151029627</v>
      </c>
      <c r="AU84" s="101">
        <f>$AA$1*(25+Module!$I$6)</f>
        <v>101</v>
      </c>
      <c r="AV84" s="101">
        <f>(AT84*($Z$1+1)*0.002488974)/($Z$1+1)*Module!$I$5*Module!$I$7</f>
        <v>70.974999121916298</v>
      </c>
      <c r="AW84" s="101">
        <f>$P$120*Module!$I$7*X84*Module!$I$5</f>
        <v>185.16252601836649</v>
      </c>
      <c r="AX84" s="151">
        <f t="shared" si="26"/>
        <v>1000000</v>
      </c>
      <c r="AZ84" s="101">
        <f t="shared" si="27"/>
        <v>0</v>
      </c>
      <c r="BA84" s="101">
        <f>10+Module!$K$57/($AB$1+1)</f>
        <v>71.82879561327222</v>
      </c>
      <c r="BB84" s="101">
        <f>$AB$1*(25+Module!$I$6)</f>
        <v>151.5</v>
      </c>
      <c r="BC84" s="101">
        <f>(BA84*($AB$1+1)*0.002488974)/($AB$1+1)*Module!$I$5*Module!$I$7</f>
        <v>55.150770979977231</v>
      </c>
      <c r="BD84" s="101">
        <f>$P$120*Module!$I$7*X84*Module!$I$5</f>
        <v>185.16252601836649</v>
      </c>
      <c r="BE84" s="151">
        <f t="shared" si="28"/>
        <v>1000000</v>
      </c>
      <c r="BG84" s="101">
        <f t="shared" si="29"/>
        <v>0</v>
      </c>
      <c r="BH84" s="101">
        <f>10+Module!$K$57/($AC$1+1)</f>
        <v>59.463036490617775</v>
      </c>
      <c r="BI84" s="101">
        <f>$AC$1*(25+Module!$I$6)</f>
        <v>202</v>
      </c>
      <c r="BJ84" s="101">
        <f>(BH84*($AC$1+1)*0.002488974)/($AC$1+1)*Module!$I$5*Module!$I$7</f>
        <v>45.656234094813776</v>
      </c>
      <c r="BK84" s="101">
        <f>$P$120*Module!$I$7*X84*Module!$I$5</f>
        <v>185.16252601836649</v>
      </c>
      <c r="BL84" s="151">
        <f t="shared" si="30"/>
        <v>1000000</v>
      </c>
    </row>
    <row r="85" spans="1:64" ht="24.75" customHeight="1" thickBot="1">
      <c r="A85" s="101">
        <f t="shared" si="20"/>
        <v>85</v>
      </c>
      <c r="C85" s="773"/>
      <c r="D85" s="128">
        <f t="array" ref="D85">MIN(IF($Y$204:$AC$304&gt;=AJ5,$Y$204:$AC$304))</f>
        <v>355.47274777386906</v>
      </c>
      <c r="E85" s="166">
        <f>AY411</f>
        <v>0</v>
      </c>
      <c r="F85" s="166">
        <f>AX411</f>
        <v>1</v>
      </c>
      <c r="G85" s="116">
        <v>15</v>
      </c>
      <c r="H85" s="120"/>
      <c r="I85" s="11" t="s">
        <v>13</v>
      </c>
      <c r="J85" s="112">
        <f>IF(SUM(INFO!H94:H95)&gt;0,SUM(INFO!H94:H95),"-")</f>
        <v>29</v>
      </c>
      <c r="K85" s="112">
        <f>IF(SUM(INFO!I94:I95)&gt;0,SUM(INFO!I94:I95),"-")</f>
        <v>28</v>
      </c>
      <c r="L85" s="112" t="str">
        <f>IF(SUM(INFO!J94:J95)&gt;0,SUM(INFO!J94:J95),"-")</f>
        <v>-</v>
      </c>
      <c r="M85" s="112" t="str">
        <f>IF(SUM(INFO!K94:K95)&gt;0,SUM(INFO!K94:K95),"-")</f>
        <v>-</v>
      </c>
      <c r="N85" s="112" t="str">
        <f>IF(SUM(INFO!L94:L95)&gt;0,SUM(INFO!L94:L95),"-")</f>
        <v>-</v>
      </c>
      <c r="O85" s="125">
        <f>VLOOKUP(O84,X204:Y304,2,0)</f>
        <v>183.09005493659038</v>
      </c>
      <c r="P85" s="101">
        <f>J85</f>
        <v>29</v>
      </c>
      <c r="Q85" s="135">
        <f>100-J86</f>
        <v>85.721750454636009</v>
      </c>
      <c r="R85" s="101">
        <f>P85</f>
        <v>29</v>
      </c>
      <c r="S85" s="101">
        <f t="shared" si="38"/>
        <v>1</v>
      </c>
      <c r="T85" s="101" t="e">
        <f t="shared" si="37"/>
        <v>#N/A</v>
      </c>
      <c r="U85" s="101">
        <f t="shared" si="39"/>
        <v>-4</v>
      </c>
      <c r="V85" s="101" t="e">
        <f>#REF!</f>
        <v>#REF!</v>
      </c>
      <c r="W85" s="780"/>
      <c r="X85" s="121">
        <f t="shared" si="32"/>
        <v>83</v>
      </c>
      <c r="Y85" s="122">
        <f>'calcul pneu pour calculateur'!P86</f>
        <v>85.332948504105246</v>
      </c>
      <c r="Z85" s="123">
        <f t="shared" si="16"/>
        <v>170.66589700821049</v>
      </c>
      <c r="AA85" s="123">
        <f t="shared" si="17"/>
        <v>255.99884551231574</v>
      </c>
      <c r="AB85" s="123">
        <f t="shared" si="18"/>
        <v>341.33179401642099</v>
      </c>
      <c r="AC85" s="123">
        <f t="shared" si="19"/>
        <v>426.66474252052626</v>
      </c>
      <c r="AD85" s="123"/>
      <c r="AJ85" s="122">
        <f>'calcul pneu pour calculateur'!X86</f>
        <v>0</v>
      </c>
      <c r="AK85" s="121">
        <f t="shared" si="33"/>
        <v>83</v>
      </c>
      <c r="AL85" s="101">
        <f t="shared" si="23"/>
        <v>0</v>
      </c>
      <c r="AM85" s="101">
        <f>10+Module!$K$57/($Z$1+1)</f>
        <v>133.65759122654444</v>
      </c>
      <c r="AN85" s="101">
        <f>$Z$1*(25+Module!$I$6)</f>
        <v>50.5</v>
      </c>
      <c r="AO85" s="101">
        <f>(AM85*($Z$1+1)*0.002488974)/($Z$1+1)*Module!$I$5*Module!$I$7</f>
        <v>102.62345540579445</v>
      </c>
      <c r="AP85" s="101">
        <f>$P$120*Module!$I$7*X85*Module!$I$5</f>
        <v>187.42060560395632</v>
      </c>
      <c r="AQ85" s="151">
        <f t="shared" si="24"/>
        <v>1000000</v>
      </c>
      <c r="AS85" s="101">
        <f t="shared" si="25"/>
        <v>0</v>
      </c>
      <c r="AT85" s="101">
        <f>10+Module!$K$57/($AA$1+1)</f>
        <v>92.438394151029627</v>
      </c>
      <c r="AU85" s="101">
        <f>$AA$1*(25+Module!$I$6)</f>
        <v>101</v>
      </c>
      <c r="AV85" s="101">
        <f>(AT85*($Z$1+1)*0.002488974)/($Z$1+1)*Module!$I$5*Module!$I$7</f>
        <v>70.974999121916298</v>
      </c>
      <c r="AW85" s="101">
        <f>$P$120*Module!$I$7*X85*Module!$I$5</f>
        <v>187.42060560395632</v>
      </c>
      <c r="AX85" s="151">
        <f t="shared" si="26"/>
        <v>1000000</v>
      </c>
      <c r="AZ85" s="101">
        <f t="shared" si="27"/>
        <v>0</v>
      </c>
      <c r="BA85" s="101">
        <f>10+Module!$K$57/($AB$1+1)</f>
        <v>71.82879561327222</v>
      </c>
      <c r="BB85" s="101">
        <f>$AB$1*(25+Module!$I$6)</f>
        <v>151.5</v>
      </c>
      <c r="BC85" s="101">
        <f>(BA85*($AB$1+1)*0.002488974)/($AB$1+1)*Module!$I$5*Module!$I$7</f>
        <v>55.150770979977231</v>
      </c>
      <c r="BD85" s="101">
        <f>$P$120*Module!$I$7*X85*Module!$I$5</f>
        <v>187.42060560395632</v>
      </c>
      <c r="BE85" s="151">
        <f t="shared" si="28"/>
        <v>1000000</v>
      </c>
      <c r="BG85" s="101">
        <f t="shared" si="29"/>
        <v>0</v>
      </c>
      <c r="BH85" s="101">
        <f>10+Module!$K$57/($AC$1+1)</f>
        <v>59.463036490617775</v>
      </c>
      <c r="BI85" s="101">
        <f>$AC$1*(25+Module!$I$6)</f>
        <v>202</v>
      </c>
      <c r="BJ85" s="101">
        <f>(BH85*($AC$1+1)*0.002488974)/($AC$1+1)*Module!$I$5*Module!$I$7</f>
        <v>45.656234094813776</v>
      </c>
      <c r="BK85" s="101">
        <f>$P$120*Module!$I$7*X85*Module!$I$5</f>
        <v>187.42060560395632</v>
      </c>
      <c r="BL85" s="151">
        <f t="shared" si="30"/>
        <v>1000000</v>
      </c>
    </row>
    <row r="86" spans="1:64" ht="24.75" customHeight="1" thickBot="1">
      <c r="A86" s="101">
        <f t="shared" si="20"/>
        <v>86</v>
      </c>
      <c r="C86" s="120"/>
      <c r="D86" s="120"/>
      <c r="E86" s="120"/>
      <c r="F86" s="120"/>
      <c r="G86" s="120"/>
      <c r="H86" s="120"/>
      <c r="I86" s="11" t="s">
        <v>2</v>
      </c>
      <c r="J86" s="113">
        <f>IF(J85&lt;&gt;"-",100-J85*100*VLOOKUP(Module!$H$2,INFO!$A$3:$G$65,7,0)/$O$85,"-")</f>
        <v>14.278249545363991</v>
      </c>
      <c r="K86" s="113">
        <f>IF(K85&lt;&gt;"-",100-K85*100*VLOOKUP(Module!$H$2,INFO!$A$3:$G$65,7,0)/$O$85,"-")</f>
        <v>17.234171974834183</v>
      </c>
      <c r="L86" s="113" t="str">
        <f>IF(L85&lt;&gt;"-",100-L85*100*VLOOKUP(Module!$H$2,INFO!$A$3:$G$65,7,0)/$O$85,"-")</f>
        <v>-</v>
      </c>
      <c r="M86" s="113" t="str">
        <f>IF(M85&lt;&gt;"-",100-M85*100*VLOOKUP(Module!$H$2,INFO!$A$3:$G$65,7,0)/$O$85,"-")</f>
        <v>-</v>
      </c>
      <c r="N86" s="113" t="str">
        <f>IF(N85&lt;&gt;"-",100-N85*100*VLOOKUP(Module!$H$2,INFO!$A$3:$G$65,7,0)/$O$85,"-")</f>
        <v>-</v>
      </c>
      <c r="O86" s="11" t="s">
        <v>3</v>
      </c>
      <c r="P86" s="101">
        <f>ROUNDDOWN((P85*Q86)/Q85,0)</f>
        <v>27</v>
      </c>
      <c r="Q86" s="101">
        <v>82</v>
      </c>
      <c r="R86" s="136">
        <f>J85+J88</f>
        <v>33</v>
      </c>
      <c r="S86" s="101">
        <f t="shared" si="38"/>
        <v>2</v>
      </c>
      <c r="T86" s="101" t="e">
        <f t="shared" si="37"/>
        <v>#N/A</v>
      </c>
      <c r="U86" s="101">
        <f t="shared" si="39"/>
        <v>-5</v>
      </c>
      <c r="V86" s="101" t="e">
        <f>#REF!</f>
        <v>#REF!</v>
      </c>
      <c r="W86" s="780"/>
      <c r="X86" s="121">
        <f t="shared" si="32"/>
        <v>84</v>
      </c>
      <c r="Y86" s="122">
        <f>'calcul pneu pour calculateur'!P87</f>
        <v>85.101945292764071</v>
      </c>
      <c r="Z86" s="123">
        <f t="shared" si="16"/>
        <v>170.20389058552814</v>
      </c>
      <c r="AA86" s="123">
        <f t="shared" si="17"/>
        <v>255.30583587829221</v>
      </c>
      <c r="AB86" s="123">
        <f t="shared" si="18"/>
        <v>340.40778117105629</v>
      </c>
      <c r="AC86" s="123">
        <f t="shared" si="19"/>
        <v>425.50972646382036</v>
      </c>
      <c r="AD86" s="123"/>
      <c r="AK86" s="121">
        <f t="shared" si="33"/>
        <v>84</v>
      </c>
      <c r="AL86" s="101">
        <f t="shared" si="23"/>
        <v>0</v>
      </c>
      <c r="AM86" s="101">
        <f>10+Module!$K$57/($Z$1+1)</f>
        <v>133.65759122654444</v>
      </c>
      <c r="AN86" s="101">
        <f>$Z$1*(25+Module!$I$6)</f>
        <v>50.5</v>
      </c>
      <c r="AO86" s="101">
        <f>(AM86*($Z$1+1)*0.002488974)/($Z$1+1)*Module!$I$5*Module!$I$7</f>
        <v>102.62345540579445</v>
      </c>
      <c r="AP86" s="101">
        <f>$P$120*Module!$I$7*X86*Module!$I$5</f>
        <v>189.6786851895462</v>
      </c>
      <c r="AQ86" s="151">
        <f t="shared" si="24"/>
        <v>1000000</v>
      </c>
      <c r="AS86" s="101">
        <f t="shared" si="25"/>
        <v>0</v>
      </c>
      <c r="AT86" s="101">
        <f>10+Module!$K$57/($AA$1+1)</f>
        <v>92.438394151029627</v>
      </c>
      <c r="AU86" s="101">
        <f>$AA$1*(25+Module!$I$6)</f>
        <v>101</v>
      </c>
      <c r="AV86" s="101">
        <f>(AT86*($Z$1+1)*0.002488974)/($Z$1+1)*Module!$I$5*Module!$I$7</f>
        <v>70.974999121916298</v>
      </c>
      <c r="AW86" s="101">
        <f>$P$120*Module!$I$7*X86*Module!$I$5</f>
        <v>189.6786851895462</v>
      </c>
      <c r="AX86" s="151">
        <f t="shared" si="26"/>
        <v>1000000</v>
      </c>
      <c r="AZ86" s="101">
        <f t="shared" si="27"/>
        <v>0</v>
      </c>
      <c r="BA86" s="101">
        <f>10+Module!$K$57/($AB$1+1)</f>
        <v>71.82879561327222</v>
      </c>
      <c r="BB86" s="101">
        <f>$AB$1*(25+Module!$I$6)</f>
        <v>151.5</v>
      </c>
      <c r="BC86" s="101">
        <f>(BA86*($AB$1+1)*0.002488974)/($AB$1+1)*Module!$I$5*Module!$I$7</f>
        <v>55.150770979977231</v>
      </c>
      <c r="BD86" s="101">
        <f>$P$120*Module!$I$7*X86*Module!$I$5</f>
        <v>189.6786851895462</v>
      </c>
      <c r="BE86" s="151">
        <f t="shared" si="28"/>
        <v>1000000</v>
      </c>
      <c r="BG86" s="101">
        <f t="shared" si="29"/>
        <v>0</v>
      </c>
      <c r="BH86" s="101">
        <f>10+Module!$K$57/($AC$1+1)</f>
        <v>59.463036490617775</v>
      </c>
      <c r="BI86" s="101">
        <f>$AC$1*(25+Module!$I$6)</f>
        <v>202</v>
      </c>
      <c r="BJ86" s="101">
        <f>(BH86*($AC$1+1)*0.002488974)/($AC$1+1)*Module!$I$5*Module!$I$7</f>
        <v>45.656234094813776</v>
      </c>
      <c r="BK86" s="101">
        <f>$P$120*Module!$I$7*X86*Module!$I$5</f>
        <v>189.6786851895462</v>
      </c>
      <c r="BL86" s="151">
        <f t="shared" si="30"/>
        <v>1000000</v>
      </c>
    </row>
    <row r="87" spans="1:64" ht="24.75" customHeight="1" thickBot="1">
      <c r="A87" s="101">
        <f t="shared" si="20"/>
        <v>87</v>
      </c>
      <c r="C87" s="791" t="s">
        <v>255</v>
      </c>
      <c r="D87" s="126" t="s">
        <v>257</v>
      </c>
      <c r="E87" s="127" t="s">
        <v>130</v>
      </c>
      <c r="F87" s="127" t="s">
        <v>258</v>
      </c>
      <c r="G87" s="127" t="s">
        <v>265</v>
      </c>
      <c r="H87" s="120"/>
      <c r="I87" s="11" t="s">
        <v>1</v>
      </c>
      <c r="J87" s="114">
        <f>IF(J85&lt;&gt;"-",ROUNDUP(I109+(I109*$M$83)/100,0),"-")</f>
        <v>126</v>
      </c>
      <c r="K87" s="114">
        <f>IF(K85&lt;&gt;"-",ROUNDUP(J109+(J109*$M$83)/100,0),"-")</f>
        <v>122</v>
      </c>
      <c r="L87" s="114" t="str">
        <f>IF(L85&lt;&gt;"-",ROUNDUP(K109+(K109*$M$83)/100,0),"-")</f>
        <v>-</v>
      </c>
      <c r="M87" s="114" t="str">
        <f>IF(M85&lt;&gt;"-",ROUNDUP(L109+(L109*$M$83)/100,0),"-")</f>
        <v>-</v>
      </c>
      <c r="N87" s="114" t="str">
        <f>IF(N85&lt;&gt;"-",ROUNDUP(M109+(M109*$M$83)/100,0),"-")</f>
        <v>-</v>
      </c>
      <c r="O87" s="111">
        <f>SUM(J87:N87)</f>
        <v>248</v>
      </c>
      <c r="P87" s="101">
        <f>P86-P85</f>
        <v>-2</v>
      </c>
      <c r="Q87" s="135">
        <f>Q85</f>
        <v>85.721750454636009</v>
      </c>
      <c r="R87" s="136">
        <f>R86-R85</f>
        <v>4</v>
      </c>
      <c r="S87" s="101">
        <f t="shared" si="38"/>
        <v>3</v>
      </c>
      <c r="T87" s="101" t="e">
        <f t="shared" si="37"/>
        <v>#N/A</v>
      </c>
      <c r="U87" s="101">
        <f t="shared" si="39"/>
        <v>-6</v>
      </c>
      <c r="V87" s="101" t="e">
        <f>#REF!</f>
        <v>#REF!</v>
      </c>
      <c r="W87" s="780"/>
      <c r="X87" s="121">
        <f t="shared" si="32"/>
        <v>85</v>
      </c>
      <c r="Y87" s="122">
        <f>'calcul pneu pour calculateur'!P88</f>
        <v>84.870942081422882</v>
      </c>
      <c r="Z87" s="123">
        <f t="shared" ref="Z87:Z106" si="40">Y87*2</f>
        <v>169.74188416284576</v>
      </c>
      <c r="AA87" s="123">
        <f t="shared" si="17"/>
        <v>254.61282624426866</v>
      </c>
      <c r="AB87" s="123">
        <f t="shared" si="18"/>
        <v>339.48376832569153</v>
      </c>
      <c r="AC87" s="123">
        <f t="shared" si="19"/>
        <v>424.3547104071144</v>
      </c>
      <c r="AD87" s="123"/>
      <c r="AK87" s="121">
        <f t="shared" si="33"/>
        <v>85</v>
      </c>
      <c r="AL87" s="101">
        <f t="shared" si="23"/>
        <v>0</v>
      </c>
      <c r="AM87" s="101">
        <f>10+Module!$K$57/($Z$1+1)</f>
        <v>133.65759122654444</v>
      </c>
      <c r="AN87" s="101">
        <f>$Z$1*(25+Module!$I$6)</f>
        <v>50.5</v>
      </c>
      <c r="AO87" s="101">
        <f>(AM87*($Z$1+1)*0.002488974)/($Z$1+1)*Module!$I$5*Module!$I$7</f>
        <v>102.62345540579445</v>
      </c>
      <c r="AP87" s="101">
        <f>$P$120*Module!$I$7*X87*Module!$I$5</f>
        <v>191.93676477513603</v>
      </c>
      <c r="AQ87" s="151">
        <f t="shared" si="24"/>
        <v>1000000</v>
      </c>
      <c r="AS87" s="101">
        <f t="shared" si="25"/>
        <v>0</v>
      </c>
      <c r="AT87" s="101">
        <f>10+Module!$K$57/($AA$1+1)</f>
        <v>92.438394151029627</v>
      </c>
      <c r="AU87" s="101">
        <f>$AA$1*(25+Module!$I$6)</f>
        <v>101</v>
      </c>
      <c r="AV87" s="101">
        <f>(AT87*($Z$1+1)*0.002488974)/($Z$1+1)*Module!$I$5*Module!$I$7</f>
        <v>70.974999121916298</v>
      </c>
      <c r="AW87" s="101">
        <f>$P$120*Module!$I$7*X87*Module!$I$5</f>
        <v>191.93676477513603</v>
      </c>
      <c r="AX87" s="151">
        <f t="shared" si="26"/>
        <v>1000000</v>
      </c>
      <c r="AZ87" s="101">
        <f t="shared" si="27"/>
        <v>0</v>
      </c>
      <c r="BA87" s="101">
        <f>10+Module!$K$57/($AB$1+1)</f>
        <v>71.82879561327222</v>
      </c>
      <c r="BB87" s="101">
        <f>$AB$1*(25+Module!$I$6)</f>
        <v>151.5</v>
      </c>
      <c r="BC87" s="101">
        <f>(BA87*($AB$1+1)*0.002488974)/($AB$1+1)*Module!$I$5*Module!$I$7</f>
        <v>55.150770979977231</v>
      </c>
      <c r="BD87" s="101">
        <f>$P$120*Module!$I$7*X87*Module!$I$5</f>
        <v>191.93676477513603</v>
      </c>
      <c r="BE87" s="151">
        <f t="shared" si="28"/>
        <v>1000000</v>
      </c>
      <c r="BG87" s="101">
        <f t="shared" si="29"/>
        <v>0</v>
      </c>
      <c r="BH87" s="101">
        <f>10+Module!$K$57/($AC$1+1)</f>
        <v>59.463036490617775</v>
      </c>
      <c r="BI87" s="101">
        <f>$AC$1*(25+Module!$I$6)</f>
        <v>202</v>
      </c>
      <c r="BJ87" s="101">
        <f>(BH87*($AC$1+1)*0.002488974)/($AC$1+1)*Module!$I$5*Module!$I$7</f>
        <v>45.656234094813776</v>
      </c>
      <c r="BK87" s="101">
        <f>$P$120*Module!$I$7*X87*Module!$I$5</f>
        <v>191.93676477513603</v>
      </c>
      <c r="BL87" s="151">
        <f t="shared" si="30"/>
        <v>1000000</v>
      </c>
    </row>
    <row r="88" spans="1:64" ht="24.75" customHeight="1" thickBot="1">
      <c r="A88" s="101">
        <f t="shared" si="20"/>
        <v>88</v>
      </c>
      <c r="C88" s="792"/>
      <c r="D88" s="128">
        <f t="array" ref="D88">MIN(IF($Y$305:$AC$405&gt;=AJ7,$Y$305:$AC$405))</f>
        <v>355.19070210583857</v>
      </c>
      <c r="E88" s="166">
        <f>AY412</f>
        <v>0</v>
      </c>
      <c r="F88" s="166">
        <f>AX412</f>
        <v>1</v>
      </c>
      <c r="G88" s="116">
        <v>15</v>
      </c>
      <c r="H88" s="120"/>
      <c r="I88" s="11" t="s">
        <v>0</v>
      </c>
      <c r="J88" s="2">
        <f>ROUNDDOWN(($O$85-J85*VLOOKUP(Module!$H$2,INFO!$A$3:$AA$65,7,0))/VLOOKUP(Module!$H$2,INFO!$A$3:$AA$65,7,0),0)</f>
        <v>4</v>
      </c>
      <c r="K88" s="2">
        <f>ROUNDDOWN(($O$85-K85*VLOOKUP(Module!$H$2,INFO!$A$3:$AA$65,7,0))/VLOOKUP(Module!$H$2,INFO!$A$3:$AA$65,7,0),0)</f>
        <v>5</v>
      </c>
      <c r="L88" s="2" t="e">
        <f>ROUNDDOWN(($O$85-L85*VLOOKUP(Module!$H$2,INFO!$A$3:$AA$65,7,0))/VLOOKUP(Module!$H$2,INFO!$A$3:$AA$65,7,0),0)</f>
        <v>#VALUE!</v>
      </c>
      <c r="M88" s="2" t="e">
        <f>ROUNDDOWN(($O$85-M85*VLOOKUP(Module!$H$2,INFO!$A$3:$AA$65,7,0))/VLOOKUP(Module!$H$2,INFO!$A$3:$AA$65,7,0),0)</f>
        <v>#VALUE!</v>
      </c>
      <c r="N88" s="2" t="e">
        <f>ROUNDDOWN(($O$85-N85*VLOOKUP(Module!$H$2,INFO!$A$3:$AA$65,7,0))/VLOOKUP(Module!$H$2,INFO!$A$3:$AA$65,7,0),0)</f>
        <v>#VALUE!</v>
      </c>
      <c r="O88" s="134">
        <f>100-(IF(1&lt;&gt;"-",100-1*100*VLOOKUP(Module!$H$2,INFO!$A$3:$G$65,7,0)/$O$85,"-"))</f>
        <v>2.9559224294702062</v>
      </c>
      <c r="P88" s="101">
        <f>P87*R88</f>
        <v>-0.33333333333333331</v>
      </c>
      <c r="Q88" s="101">
        <v>100</v>
      </c>
      <c r="R88" s="101">
        <f>1/Q89</f>
        <v>0.16666666666666666</v>
      </c>
      <c r="S88" s="101">
        <f t="shared" si="38"/>
        <v>4</v>
      </c>
      <c r="T88" s="101" t="e">
        <f t="shared" si="37"/>
        <v>#N/A</v>
      </c>
      <c r="U88" s="101">
        <f t="shared" si="39"/>
        <v>-7</v>
      </c>
      <c r="V88" s="101" t="e">
        <f>#REF!</f>
        <v>#REF!</v>
      </c>
      <c r="W88" s="780"/>
      <c r="X88" s="121">
        <f t="shared" si="32"/>
        <v>86</v>
      </c>
      <c r="Y88" s="122">
        <f>'calcul pneu pour calculateur'!P89</f>
        <v>84.639938870081693</v>
      </c>
      <c r="Z88" s="123">
        <f t="shared" si="40"/>
        <v>169.27987774016339</v>
      </c>
      <c r="AA88" s="123">
        <f t="shared" si="17"/>
        <v>253.91981661024508</v>
      </c>
      <c r="AB88" s="123">
        <f t="shared" si="18"/>
        <v>338.55975548032677</v>
      </c>
      <c r="AC88" s="123">
        <f t="shared" si="19"/>
        <v>423.19969435040844</v>
      </c>
      <c r="AD88" s="123"/>
      <c r="AK88" s="121">
        <f t="shared" si="33"/>
        <v>86</v>
      </c>
      <c r="AL88" s="101">
        <f t="shared" si="23"/>
        <v>0</v>
      </c>
      <c r="AM88" s="101">
        <f>10+Module!$K$57/($Z$1+1)</f>
        <v>133.65759122654444</v>
      </c>
      <c r="AN88" s="101">
        <f>$Z$1*(25+Module!$I$6)</f>
        <v>50.5</v>
      </c>
      <c r="AO88" s="101">
        <f>(AM88*($Z$1+1)*0.002488974)/($Z$1+1)*Module!$I$5*Module!$I$7</f>
        <v>102.62345540579445</v>
      </c>
      <c r="AP88" s="101">
        <f>$P$120*Module!$I$7*X88*Module!$I$5</f>
        <v>194.19484436072585</v>
      </c>
      <c r="AQ88" s="151">
        <f t="shared" si="24"/>
        <v>1000000</v>
      </c>
      <c r="AS88" s="101">
        <f t="shared" si="25"/>
        <v>0</v>
      </c>
      <c r="AT88" s="101">
        <f>10+Module!$K$57/($AA$1+1)</f>
        <v>92.438394151029627</v>
      </c>
      <c r="AU88" s="101">
        <f>$AA$1*(25+Module!$I$6)</f>
        <v>101</v>
      </c>
      <c r="AV88" s="101">
        <f>(AT88*($Z$1+1)*0.002488974)/($Z$1+1)*Module!$I$5*Module!$I$7</f>
        <v>70.974999121916298</v>
      </c>
      <c r="AW88" s="101">
        <f>$P$120*Module!$I$7*X88*Module!$I$5</f>
        <v>194.19484436072585</v>
      </c>
      <c r="AX88" s="151">
        <f t="shared" si="26"/>
        <v>1000000</v>
      </c>
      <c r="AZ88" s="101">
        <f t="shared" si="27"/>
        <v>0</v>
      </c>
      <c r="BA88" s="101">
        <f>10+Module!$K$57/($AB$1+1)</f>
        <v>71.82879561327222</v>
      </c>
      <c r="BB88" s="101">
        <f>$AB$1*(25+Module!$I$6)</f>
        <v>151.5</v>
      </c>
      <c r="BC88" s="101">
        <f>(BA88*($AB$1+1)*0.002488974)/($AB$1+1)*Module!$I$5*Module!$I$7</f>
        <v>55.150770979977231</v>
      </c>
      <c r="BD88" s="101">
        <f>$P$120*Module!$I$7*X88*Module!$I$5</f>
        <v>194.19484436072585</v>
      </c>
      <c r="BE88" s="151">
        <f t="shared" si="28"/>
        <v>1000000</v>
      </c>
      <c r="BG88" s="101">
        <f t="shared" si="29"/>
        <v>0</v>
      </c>
      <c r="BH88" s="101">
        <f>10+Module!$K$57/($AC$1+1)</f>
        <v>59.463036490617775</v>
      </c>
      <c r="BI88" s="101">
        <f>$AC$1*(25+Module!$I$6)</f>
        <v>202</v>
      </c>
      <c r="BJ88" s="101">
        <f>(BH88*($AC$1+1)*0.002488974)/($AC$1+1)*Module!$I$5*Module!$I$7</f>
        <v>45.656234094813776</v>
      </c>
      <c r="BK88" s="101">
        <f>$P$120*Module!$I$7*X88*Module!$I$5</f>
        <v>194.19484436072585</v>
      </c>
      <c r="BL88" s="151">
        <f t="shared" si="30"/>
        <v>1000000</v>
      </c>
    </row>
    <row r="89" spans="1:64" ht="24.75" customHeight="1" thickBot="1">
      <c r="C89" s="120"/>
      <c r="D89" s="169"/>
      <c r="E89" s="120"/>
      <c r="F89" s="120"/>
      <c r="G89" s="120"/>
      <c r="H89" s="120"/>
      <c r="Q89" s="136">
        <f>R86-P86</f>
        <v>6</v>
      </c>
      <c r="S89" s="101">
        <f t="shared" si="38"/>
        <v>5</v>
      </c>
      <c r="T89" s="101" t="e">
        <f t="shared" si="37"/>
        <v>#N/A</v>
      </c>
      <c r="U89" s="101">
        <f t="shared" si="39"/>
        <v>-8</v>
      </c>
      <c r="V89" s="101" t="e">
        <f>#REF!</f>
        <v>#REF!</v>
      </c>
      <c r="W89" s="780"/>
      <c r="X89" s="121">
        <f t="shared" si="32"/>
        <v>87</v>
      </c>
      <c r="Y89" s="122">
        <f>'calcul pneu pour calculateur'!P90</f>
        <v>84.408935658740518</v>
      </c>
      <c r="Z89" s="123">
        <f t="shared" si="40"/>
        <v>168.81787131748104</v>
      </c>
      <c r="AA89" s="123">
        <f t="shared" si="17"/>
        <v>253.22680697622155</v>
      </c>
      <c r="AB89" s="123">
        <f t="shared" si="18"/>
        <v>337.63574263496207</v>
      </c>
      <c r="AC89" s="123">
        <f t="shared" si="19"/>
        <v>422.04467829370259</v>
      </c>
      <c r="AD89" s="123"/>
      <c r="AK89" s="121">
        <f t="shared" si="33"/>
        <v>87</v>
      </c>
      <c r="AL89" s="101">
        <f t="shared" si="23"/>
        <v>0</v>
      </c>
      <c r="AM89" s="101">
        <f>10+Module!$K$57/($Z$1+1)</f>
        <v>133.65759122654444</v>
      </c>
      <c r="AN89" s="101">
        <f>$Z$1*(25+Module!$I$6)</f>
        <v>50.5</v>
      </c>
      <c r="AO89" s="101">
        <f>(AM89*($Z$1+1)*0.002488974)/($Z$1+1)*Module!$I$5*Module!$I$7</f>
        <v>102.62345540579445</v>
      </c>
      <c r="AP89" s="101">
        <f>$P$120*Module!$I$7*X89*Module!$I$5</f>
        <v>196.45292394631568</v>
      </c>
      <c r="AQ89" s="151">
        <f t="shared" si="24"/>
        <v>1000000</v>
      </c>
      <c r="AS89" s="101">
        <f t="shared" si="25"/>
        <v>0</v>
      </c>
      <c r="AT89" s="101">
        <f>10+Module!$K$57/($AA$1+1)</f>
        <v>92.438394151029627</v>
      </c>
      <c r="AU89" s="101">
        <f>$AA$1*(25+Module!$I$6)</f>
        <v>101</v>
      </c>
      <c r="AV89" s="101">
        <f>(AT89*($Z$1+1)*0.002488974)/($Z$1+1)*Module!$I$5*Module!$I$7</f>
        <v>70.974999121916298</v>
      </c>
      <c r="AW89" s="101">
        <f>$P$120*Module!$I$7*X89*Module!$I$5</f>
        <v>196.45292394631568</v>
      </c>
      <c r="AX89" s="151">
        <f t="shared" si="26"/>
        <v>1000000</v>
      </c>
      <c r="AZ89" s="101">
        <f t="shared" si="27"/>
        <v>0</v>
      </c>
      <c r="BA89" s="101">
        <f>10+Module!$K$57/($AB$1+1)</f>
        <v>71.82879561327222</v>
      </c>
      <c r="BB89" s="101">
        <f>$AB$1*(25+Module!$I$6)</f>
        <v>151.5</v>
      </c>
      <c r="BC89" s="101">
        <f>(BA89*($AB$1+1)*0.002488974)/($AB$1+1)*Module!$I$5*Module!$I$7</f>
        <v>55.150770979977231</v>
      </c>
      <c r="BD89" s="101">
        <f>$P$120*Module!$I$7*X89*Module!$I$5</f>
        <v>196.45292394631568</v>
      </c>
      <c r="BE89" s="151">
        <f t="shared" si="28"/>
        <v>1000000</v>
      </c>
      <c r="BG89" s="101">
        <f t="shared" si="29"/>
        <v>0</v>
      </c>
      <c r="BH89" s="101">
        <f>10+Module!$K$57/($AC$1+1)</f>
        <v>59.463036490617775</v>
      </c>
      <c r="BI89" s="101">
        <f>$AC$1*(25+Module!$I$6)</f>
        <v>202</v>
      </c>
      <c r="BJ89" s="101">
        <f>(BH89*($AC$1+1)*0.002488974)/($AC$1+1)*Module!$I$5*Module!$I$7</f>
        <v>45.656234094813776</v>
      </c>
      <c r="BK89" s="101">
        <f>$P$120*Module!$I$7*X89*Module!$I$5</f>
        <v>196.45292394631568</v>
      </c>
      <c r="BL89" s="151">
        <f t="shared" si="30"/>
        <v>1000000</v>
      </c>
    </row>
    <row r="90" spans="1:64" ht="24.75" customHeight="1" thickBot="1">
      <c r="C90" s="120"/>
      <c r="D90" s="169"/>
      <c r="E90" s="120"/>
      <c r="F90" s="120"/>
      <c r="G90" s="120"/>
      <c r="H90" s="120"/>
      <c r="I90" s="770" t="s">
        <v>264</v>
      </c>
      <c r="J90" s="771"/>
      <c r="K90" s="771"/>
      <c r="L90" s="771"/>
      <c r="M90" s="785" t="str">
        <f>IF(D88="",0,'CALCULETTE CHRONOS'!AA9)</f>
        <v>1h 34m 35,6990720338154 s</v>
      </c>
      <c r="N90" s="786"/>
      <c r="O90" s="787"/>
      <c r="S90" s="101">
        <f>0+P95</f>
        <v>6</v>
      </c>
      <c r="T90" s="101" t="e">
        <f>VLOOKUP(S90,$U$90:$V$97,2,0)</f>
        <v>#N/A</v>
      </c>
      <c r="U90" s="101">
        <v>-1</v>
      </c>
      <c r="V90" s="101" t="e">
        <f>#REF!</f>
        <v>#REF!</v>
      </c>
      <c r="W90" s="780"/>
      <c r="X90" s="121">
        <f t="shared" si="32"/>
        <v>88</v>
      </c>
      <c r="Y90" s="122">
        <f>'calcul pneu pour calculateur'!P91</f>
        <v>84.177932447399343</v>
      </c>
      <c r="Z90" s="123">
        <f t="shared" si="40"/>
        <v>168.35586489479869</v>
      </c>
      <c r="AA90" s="123">
        <f t="shared" si="17"/>
        <v>252.53379734219803</v>
      </c>
      <c r="AB90" s="123">
        <f t="shared" si="18"/>
        <v>336.71172978959737</v>
      </c>
      <c r="AC90" s="123">
        <f t="shared" si="19"/>
        <v>420.88966223699674</v>
      </c>
      <c r="AD90" s="123"/>
      <c r="AK90" s="121">
        <f t="shared" si="33"/>
        <v>88</v>
      </c>
      <c r="AL90" s="101">
        <f t="shared" si="23"/>
        <v>0</v>
      </c>
      <c r="AM90" s="101">
        <f>10+Module!$K$57/($Z$1+1)</f>
        <v>133.65759122654444</v>
      </c>
      <c r="AN90" s="101">
        <f>$Z$1*(25+Module!$I$6)</f>
        <v>50.5</v>
      </c>
      <c r="AO90" s="101">
        <f>(AM90*($Z$1+1)*0.002488974)/($Z$1+1)*Module!$I$5*Module!$I$7</f>
        <v>102.62345540579445</v>
      </c>
      <c r="AP90" s="101">
        <f>$P$120*Module!$I$7*X90*Module!$I$5</f>
        <v>198.71100353190553</v>
      </c>
      <c r="AQ90" s="151">
        <f t="shared" si="24"/>
        <v>1000000</v>
      </c>
      <c r="AS90" s="101">
        <f t="shared" si="25"/>
        <v>0</v>
      </c>
      <c r="AT90" s="101">
        <f>10+Module!$K$57/($AA$1+1)</f>
        <v>92.438394151029627</v>
      </c>
      <c r="AU90" s="101">
        <f>$AA$1*(25+Module!$I$6)</f>
        <v>101</v>
      </c>
      <c r="AV90" s="101">
        <f>(AT90*($Z$1+1)*0.002488974)/($Z$1+1)*Module!$I$5*Module!$I$7</f>
        <v>70.974999121916298</v>
      </c>
      <c r="AW90" s="101">
        <f>$P$120*Module!$I$7*X90*Module!$I$5</f>
        <v>198.71100353190553</v>
      </c>
      <c r="AX90" s="151">
        <f t="shared" si="26"/>
        <v>1000000</v>
      </c>
      <c r="AZ90" s="101">
        <f t="shared" si="27"/>
        <v>0</v>
      </c>
      <c r="BA90" s="101">
        <f>10+Module!$K$57/($AB$1+1)</f>
        <v>71.82879561327222</v>
      </c>
      <c r="BB90" s="101">
        <f>$AB$1*(25+Module!$I$6)</f>
        <v>151.5</v>
      </c>
      <c r="BC90" s="101">
        <f>(BA90*($AB$1+1)*0.002488974)/($AB$1+1)*Module!$I$5*Module!$I$7</f>
        <v>55.150770979977231</v>
      </c>
      <c r="BD90" s="101">
        <f>$P$120*Module!$I$7*X90*Module!$I$5</f>
        <v>198.71100353190553</v>
      </c>
      <c r="BE90" s="151">
        <f t="shared" si="28"/>
        <v>1000000</v>
      </c>
      <c r="BG90" s="101">
        <f t="shared" si="29"/>
        <v>0</v>
      </c>
      <c r="BH90" s="101">
        <f>10+Module!$K$57/($AC$1+1)</f>
        <v>59.463036490617775</v>
      </c>
      <c r="BI90" s="101">
        <f>$AC$1*(25+Module!$I$6)</f>
        <v>202</v>
      </c>
      <c r="BJ90" s="101">
        <f>(BH90*($AC$1+1)*0.002488974)/($AC$1+1)*Module!$I$5*Module!$I$7</f>
        <v>45.656234094813776</v>
      </c>
      <c r="BK90" s="101">
        <f>$P$120*Module!$I$7*X90*Module!$I$5</f>
        <v>198.71100353190553</v>
      </c>
      <c r="BL90" s="151">
        <f t="shared" si="30"/>
        <v>1000000</v>
      </c>
    </row>
    <row r="91" spans="1:64" ht="24.75" customHeight="1" thickBot="1">
      <c r="C91" s="120"/>
      <c r="D91" s="169"/>
      <c r="E91" s="120"/>
      <c r="F91" s="120"/>
      <c r="G91" s="120"/>
      <c r="H91" s="120"/>
      <c r="I91" s="11" t="s">
        <v>17</v>
      </c>
      <c r="J91" s="112">
        <f>F88</f>
        <v>1</v>
      </c>
      <c r="K91" s="774" t="s">
        <v>196</v>
      </c>
      <c r="L91" s="775"/>
      <c r="M91" s="116">
        <v>0</v>
      </c>
      <c r="N91" s="115">
        <f>ROUNDDOWN(O95-Module!$K$57,0)</f>
        <v>0</v>
      </c>
      <c r="O91" s="168" t="s">
        <v>16</v>
      </c>
      <c r="P91" s="147"/>
      <c r="Q91" s="147"/>
      <c r="R91" s="147"/>
      <c r="S91" s="101">
        <f t="shared" ref="S91:S97" si="41">S90+1</f>
        <v>7</v>
      </c>
      <c r="T91" s="101" t="e">
        <f t="shared" ref="T91:T97" si="42">VLOOKUP(S91,$U$90:$V$97,2,0)</f>
        <v>#N/A</v>
      </c>
      <c r="U91" s="101">
        <f t="shared" ref="U91:U97" si="43">U90-1</f>
        <v>-2</v>
      </c>
      <c r="V91" s="101" t="e">
        <f>#REF!</f>
        <v>#REF!</v>
      </c>
      <c r="W91" s="780"/>
      <c r="X91" s="121">
        <f t="shared" si="32"/>
        <v>89</v>
      </c>
      <c r="Y91" s="122">
        <f>'calcul pneu pour calculateur'!P92</f>
        <v>83.946929236058168</v>
      </c>
      <c r="Z91" s="123">
        <f t="shared" si="40"/>
        <v>167.89385847211634</v>
      </c>
      <c r="AA91" s="123">
        <f t="shared" si="17"/>
        <v>251.8407877081745</v>
      </c>
      <c r="AB91" s="123">
        <f t="shared" si="18"/>
        <v>335.78771694423267</v>
      </c>
      <c r="AC91" s="123">
        <f t="shared" si="19"/>
        <v>419.73464618029084</v>
      </c>
      <c r="AD91" s="123"/>
      <c r="AK91" s="121">
        <f t="shared" si="33"/>
        <v>89</v>
      </c>
      <c r="AL91" s="101">
        <f t="shared" si="23"/>
        <v>0</v>
      </c>
      <c r="AM91" s="101">
        <f>10+Module!$K$57/($Z$1+1)</f>
        <v>133.65759122654444</v>
      </c>
      <c r="AN91" s="101">
        <f>$Z$1*(25+Module!$I$6)</f>
        <v>50.5</v>
      </c>
      <c r="AO91" s="101">
        <f>(AM91*($Z$1+1)*0.002488974)/($Z$1+1)*Module!$I$5*Module!$I$7</f>
        <v>102.62345540579445</v>
      </c>
      <c r="AP91" s="101">
        <f>$P$120*Module!$I$7*X91*Module!$I$5</f>
        <v>200.96908311749536</v>
      </c>
      <c r="AQ91" s="151">
        <f t="shared" si="24"/>
        <v>1000000</v>
      </c>
      <c r="AS91" s="101">
        <f t="shared" si="25"/>
        <v>0</v>
      </c>
      <c r="AT91" s="101">
        <f>10+Module!$K$57/($AA$1+1)</f>
        <v>92.438394151029627</v>
      </c>
      <c r="AU91" s="101">
        <f>$AA$1*(25+Module!$I$6)</f>
        <v>101</v>
      </c>
      <c r="AV91" s="101">
        <f>(AT91*($Z$1+1)*0.002488974)/($Z$1+1)*Module!$I$5*Module!$I$7</f>
        <v>70.974999121916298</v>
      </c>
      <c r="AW91" s="101">
        <f>$P$120*Module!$I$7*X91*Module!$I$5</f>
        <v>200.96908311749536</v>
      </c>
      <c r="AX91" s="151">
        <f t="shared" si="26"/>
        <v>1000000</v>
      </c>
      <c r="AZ91" s="101">
        <f t="shared" si="27"/>
        <v>0</v>
      </c>
      <c r="BA91" s="101">
        <f>10+Module!$K$57/($AB$1+1)</f>
        <v>71.82879561327222</v>
      </c>
      <c r="BB91" s="101">
        <f>$AB$1*(25+Module!$I$6)</f>
        <v>151.5</v>
      </c>
      <c r="BC91" s="101">
        <f>(BA91*($AB$1+1)*0.002488974)/($AB$1+1)*Module!$I$5*Module!$I$7</f>
        <v>55.150770979977231</v>
      </c>
      <c r="BD91" s="101">
        <f>$P$120*Module!$I$7*X91*Module!$I$5</f>
        <v>200.96908311749536</v>
      </c>
      <c r="BE91" s="151">
        <f t="shared" si="28"/>
        <v>1000000</v>
      </c>
      <c r="BG91" s="101">
        <f t="shared" si="29"/>
        <v>0</v>
      </c>
      <c r="BH91" s="101">
        <f>10+Module!$K$57/($AC$1+1)</f>
        <v>59.463036490617775</v>
      </c>
      <c r="BI91" s="101">
        <f>$AC$1*(25+Module!$I$6)</f>
        <v>202</v>
      </c>
      <c r="BJ91" s="101">
        <f>(BH91*($AC$1+1)*0.002488974)/($AC$1+1)*Module!$I$5*Module!$I$7</f>
        <v>45.656234094813776</v>
      </c>
      <c r="BK91" s="101">
        <f>$P$120*Module!$I$7*X91*Module!$I$5</f>
        <v>200.96908311749536</v>
      </c>
      <c r="BL91" s="151">
        <f t="shared" si="30"/>
        <v>1000000</v>
      </c>
    </row>
    <row r="92" spans="1:64" ht="24.75" customHeight="1" thickBot="1">
      <c r="E92" s="1"/>
      <c r="H92" s="120"/>
      <c r="I92" s="163" t="s">
        <v>255</v>
      </c>
      <c r="J92" s="11" t="s">
        <v>8</v>
      </c>
      <c r="K92" s="11" t="s">
        <v>7</v>
      </c>
      <c r="L92" s="11" t="s">
        <v>6</v>
      </c>
      <c r="M92" s="11" t="s">
        <v>5</v>
      </c>
      <c r="N92" s="11" t="s">
        <v>4</v>
      </c>
      <c r="O92" s="117">
        <f>E88</f>
        <v>0</v>
      </c>
      <c r="P92" s="139" t="e">
        <f>IF(T90="#N/A",0,(SUMIF(T90:T97,"&lt;&gt;#N/A")+P95*I102)*(J91+1))</f>
        <v>#N/A</v>
      </c>
      <c r="S92" s="101">
        <f t="shared" si="41"/>
        <v>8</v>
      </c>
      <c r="T92" s="101" t="e">
        <f t="shared" si="42"/>
        <v>#N/A</v>
      </c>
      <c r="U92" s="101">
        <f t="shared" si="43"/>
        <v>-3</v>
      </c>
      <c r="V92" s="101" t="e">
        <f>#REF!</f>
        <v>#REF!</v>
      </c>
      <c r="W92" s="780"/>
      <c r="X92" s="121">
        <f t="shared" si="32"/>
        <v>90</v>
      </c>
      <c r="Y92" s="122">
        <f>'calcul pneu pour calculateur'!P93</f>
        <v>83.715926024716964</v>
      </c>
      <c r="Z92" s="123">
        <f t="shared" si="40"/>
        <v>167.43185204943393</v>
      </c>
      <c r="AA92" s="123">
        <f t="shared" si="17"/>
        <v>251.14777807415089</v>
      </c>
      <c r="AB92" s="123">
        <f t="shared" si="18"/>
        <v>334.86370409886786</v>
      </c>
      <c r="AC92" s="123">
        <f t="shared" si="19"/>
        <v>418.57963012358482</v>
      </c>
      <c r="AD92" s="123"/>
      <c r="AK92" s="121">
        <f t="shared" si="33"/>
        <v>90</v>
      </c>
      <c r="AL92" s="101">
        <f t="shared" si="23"/>
        <v>0</v>
      </c>
      <c r="AM92" s="101">
        <f>10+Module!$K$57/($Z$1+1)</f>
        <v>133.65759122654444</v>
      </c>
      <c r="AN92" s="101">
        <f>$Z$1*(25+Module!$I$6)</f>
        <v>50.5</v>
      </c>
      <c r="AO92" s="101">
        <f>(AM92*($Z$1+1)*0.002488974)/($Z$1+1)*Module!$I$5*Module!$I$7</f>
        <v>102.62345540579445</v>
      </c>
      <c r="AP92" s="101">
        <f>$P$120*Module!$I$7*X92*Module!$I$5</f>
        <v>203.22716270308518</v>
      </c>
      <c r="AQ92" s="151">
        <f t="shared" si="24"/>
        <v>1000000</v>
      </c>
      <c r="AS92" s="101">
        <f t="shared" si="25"/>
        <v>0</v>
      </c>
      <c r="AT92" s="101">
        <f>10+Module!$K$57/($AA$1+1)</f>
        <v>92.438394151029627</v>
      </c>
      <c r="AU92" s="101">
        <f>$AA$1*(25+Module!$I$6)</f>
        <v>101</v>
      </c>
      <c r="AV92" s="101">
        <f>(AT92*($Z$1+1)*0.002488974)/($Z$1+1)*Module!$I$5*Module!$I$7</f>
        <v>70.974999121916298</v>
      </c>
      <c r="AW92" s="101">
        <f>$P$120*Module!$I$7*X92*Module!$I$5</f>
        <v>203.22716270308518</v>
      </c>
      <c r="AX92" s="151">
        <f t="shared" si="26"/>
        <v>1000000</v>
      </c>
      <c r="AZ92" s="101">
        <f t="shared" si="27"/>
        <v>0</v>
      </c>
      <c r="BA92" s="101">
        <f>10+Module!$K$57/($AB$1+1)</f>
        <v>71.82879561327222</v>
      </c>
      <c r="BB92" s="101">
        <f>$AB$1*(25+Module!$I$6)</f>
        <v>151.5</v>
      </c>
      <c r="BC92" s="101">
        <f>(BA92*($AB$1+1)*0.002488974)/($AB$1+1)*Module!$I$5*Module!$I$7</f>
        <v>55.150770979977231</v>
      </c>
      <c r="BD92" s="101">
        <f>$P$120*Module!$I$7*X92*Module!$I$5</f>
        <v>203.22716270308518</v>
      </c>
      <c r="BE92" s="151">
        <f t="shared" si="28"/>
        <v>1000000</v>
      </c>
      <c r="BG92" s="101">
        <f t="shared" si="29"/>
        <v>0</v>
      </c>
      <c r="BH92" s="101">
        <f>10+Module!$K$57/($AC$1+1)</f>
        <v>59.463036490617775</v>
      </c>
      <c r="BI92" s="101">
        <f>$AC$1*(25+Module!$I$6)</f>
        <v>202</v>
      </c>
      <c r="BJ92" s="101">
        <f>(BH92*($AC$1+1)*0.002488974)/($AC$1+1)*Module!$I$5*Module!$I$7</f>
        <v>45.656234094813776</v>
      </c>
      <c r="BK92" s="101">
        <f>$P$120*Module!$I$7*X92*Module!$I$5</f>
        <v>203.22716270308518</v>
      </c>
      <c r="BL92" s="151">
        <f t="shared" si="30"/>
        <v>1000000</v>
      </c>
    </row>
    <row r="93" spans="1:64" ht="24.75" customHeight="1" thickBot="1">
      <c r="I93" s="11" t="s">
        <v>13</v>
      </c>
      <c r="J93" s="112">
        <f>IF(SUM(INFO!H99:H100)&gt;0,SUM(INFO!H99:H100),"-")</f>
        <v>29</v>
      </c>
      <c r="K93" s="112">
        <f>IF(SUM(INFO!I99:I100)&gt;0,SUM(INFO!I99:I100),"-")</f>
        <v>28</v>
      </c>
      <c r="L93" s="112" t="str">
        <f>IF(SUM(INFO!J99:J100)&gt;0,SUM(INFO!J99:J100),"-")</f>
        <v>-</v>
      </c>
      <c r="M93" s="112" t="str">
        <f>IF(SUM(INFO!K99:K100)&gt;0,SUM(INFO!K99:K100),"-")</f>
        <v>-</v>
      </c>
      <c r="N93" s="112" t="str">
        <f>IF(SUM(INFO!L99:L100)&gt;0,SUM(INFO!L99:L100),"-")</f>
        <v>-</v>
      </c>
      <c r="O93" s="125">
        <f>VLOOKUP(O92,X305:Y405,2,0)</f>
        <v>231.52230619157373</v>
      </c>
      <c r="P93" s="101">
        <f>J93</f>
        <v>29</v>
      </c>
      <c r="Q93" s="135">
        <f>100-J94</f>
        <v>67.789580443334458</v>
      </c>
      <c r="R93" s="101">
        <f>P93</f>
        <v>29</v>
      </c>
      <c r="S93" s="101">
        <f t="shared" si="41"/>
        <v>9</v>
      </c>
      <c r="T93" s="101" t="e">
        <f t="shared" si="42"/>
        <v>#N/A</v>
      </c>
      <c r="U93" s="101">
        <f t="shared" si="43"/>
        <v>-4</v>
      </c>
      <c r="V93" s="101" t="e">
        <f>#REF!</f>
        <v>#REF!</v>
      </c>
      <c r="W93" s="780"/>
      <c r="X93" s="121">
        <f t="shared" si="32"/>
        <v>91</v>
      </c>
      <c r="Y93" s="122">
        <f>'calcul pneu pour calculateur'!P94</f>
        <v>83.484922813375789</v>
      </c>
      <c r="Z93" s="123">
        <f t="shared" si="40"/>
        <v>166.96984562675158</v>
      </c>
      <c r="AA93" s="123">
        <f t="shared" si="17"/>
        <v>250.45476844012737</v>
      </c>
      <c r="AB93" s="123">
        <f t="shared" si="18"/>
        <v>333.93969125350316</v>
      </c>
      <c r="AC93" s="123">
        <f t="shared" si="19"/>
        <v>417.42461406687892</v>
      </c>
      <c r="AD93" s="123"/>
      <c r="AK93" s="121">
        <f t="shared" si="33"/>
        <v>91</v>
      </c>
      <c r="AL93" s="101">
        <f t="shared" si="23"/>
        <v>0</v>
      </c>
      <c r="AM93" s="101">
        <f>10+Module!$K$57/($Z$1+1)</f>
        <v>133.65759122654444</v>
      </c>
      <c r="AN93" s="101">
        <f>$Z$1*(25+Module!$I$6)</f>
        <v>50.5</v>
      </c>
      <c r="AO93" s="101">
        <f>(AM93*($Z$1+1)*0.002488974)/($Z$1+1)*Module!$I$5*Module!$I$7</f>
        <v>102.62345540579445</v>
      </c>
      <c r="AP93" s="101">
        <f>$P$120*Module!$I$7*X93*Module!$I$5</f>
        <v>205.48524228867501</v>
      </c>
      <c r="AQ93" s="151">
        <f t="shared" si="24"/>
        <v>1000000</v>
      </c>
      <c r="AS93" s="101">
        <f t="shared" si="25"/>
        <v>0</v>
      </c>
      <c r="AT93" s="101">
        <f>10+Module!$K$57/($AA$1+1)</f>
        <v>92.438394151029627</v>
      </c>
      <c r="AU93" s="101">
        <f>$AA$1*(25+Module!$I$6)</f>
        <v>101</v>
      </c>
      <c r="AV93" s="101">
        <f>(AT93*($Z$1+1)*0.002488974)/($Z$1+1)*Module!$I$5*Module!$I$7</f>
        <v>70.974999121916298</v>
      </c>
      <c r="AW93" s="101">
        <f>$P$120*Module!$I$7*X93*Module!$I$5</f>
        <v>205.48524228867501</v>
      </c>
      <c r="AX93" s="151">
        <f t="shared" si="26"/>
        <v>1000000</v>
      </c>
      <c r="AZ93" s="101">
        <f t="shared" si="27"/>
        <v>0</v>
      </c>
      <c r="BA93" s="101">
        <f>10+Module!$K$57/($AB$1+1)</f>
        <v>71.82879561327222</v>
      </c>
      <c r="BB93" s="101">
        <f>$AB$1*(25+Module!$I$6)</f>
        <v>151.5</v>
      </c>
      <c r="BC93" s="101">
        <f>(BA93*($AB$1+1)*0.002488974)/($AB$1+1)*Module!$I$5*Module!$I$7</f>
        <v>55.150770979977231</v>
      </c>
      <c r="BD93" s="101">
        <f>$P$120*Module!$I$7*X93*Module!$I$5</f>
        <v>205.48524228867501</v>
      </c>
      <c r="BE93" s="151">
        <f t="shared" si="28"/>
        <v>1000000</v>
      </c>
      <c r="BG93" s="101">
        <f t="shared" si="29"/>
        <v>0</v>
      </c>
      <c r="BH93" s="101">
        <f>10+Module!$K$57/($AC$1+1)</f>
        <v>59.463036490617775</v>
      </c>
      <c r="BI93" s="101">
        <f>$AC$1*(25+Module!$I$6)</f>
        <v>202</v>
      </c>
      <c r="BJ93" s="101">
        <f>(BH93*($AC$1+1)*0.002488974)/($AC$1+1)*Module!$I$5*Module!$I$7</f>
        <v>45.656234094813776</v>
      </c>
      <c r="BK93" s="101">
        <f>$P$120*Module!$I$7*X93*Module!$I$5</f>
        <v>205.48524228867501</v>
      </c>
      <c r="BL93" s="151">
        <f t="shared" si="30"/>
        <v>1000000</v>
      </c>
    </row>
    <row r="94" spans="1:64" ht="24.75" customHeight="1" thickBot="1">
      <c r="I94" s="11" t="s">
        <v>2</v>
      </c>
      <c r="J94" s="113">
        <f>IF(J93&lt;&gt;"-",100-J93*100*VLOOKUP(Module!$H$2,INFO!$A$3:$G$65,7,0)/$O$93,"-")</f>
        <v>32.210419556665542</v>
      </c>
      <c r="K94" s="113">
        <f>IF(K93&lt;&gt;"-",100-K93*100*VLOOKUP(Module!$H$2,INFO!$A$3:$G$65,7,0)/$O$93,"-")</f>
        <v>34.547991296090856</v>
      </c>
      <c r="L94" s="112" t="str">
        <f>IF(L93&lt;&gt;"-",100-L93*100*VLOOKUP(Module!$H$2,INFO!$A$3:$G$65,7,0)/$O$93,"-")</f>
        <v>-</v>
      </c>
      <c r="M94" s="112" t="str">
        <f>IF(M93&lt;&gt;"-",100-M93*100*VLOOKUP(Module!$H$2,INFO!$A$3:$G$65,7,0)/$O$93,"-")</f>
        <v>-</v>
      </c>
      <c r="N94" s="112" t="str">
        <f>IF(N93&lt;&gt;"-",100-N93*100*VLOOKUP(Module!$H$2,INFO!$A$3:$G$65,7,0)/$O$93,"-")</f>
        <v>-</v>
      </c>
      <c r="O94" s="11" t="s">
        <v>3</v>
      </c>
      <c r="P94" s="101">
        <f>ROUNDDOWN((P93*Q94)/Q93,0)</f>
        <v>35</v>
      </c>
      <c r="Q94" s="101">
        <v>82</v>
      </c>
      <c r="R94" s="136">
        <f>J93+J96</f>
        <v>42</v>
      </c>
      <c r="S94" s="101">
        <f t="shared" si="41"/>
        <v>10</v>
      </c>
      <c r="T94" s="101" t="e">
        <f t="shared" si="42"/>
        <v>#N/A</v>
      </c>
      <c r="U94" s="101">
        <f t="shared" si="43"/>
        <v>-5</v>
      </c>
      <c r="V94" s="101" t="e">
        <f>#REF!</f>
        <v>#REF!</v>
      </c>
      <c r="W94" s="780"/>
      <c r="X94" s="121">
        <f t="shared" si="32"/>
        <v>92</v>
      </c>
      <c r="Y94" s="122">
        <f>'calcul pneu pour calculateur'!P95</f>
        <v>83.253919602034614</v>
      </c>
      <c r="Z94" s="123">
        <f t="shared" si="40"/>
        <v>166.50783920406923</v>
      </c>
      <c r="AA94" s="123">
        <f t="shared" si="17"/>
        <v>249.76175880610384</v>
      </c>
      <c r="AB94" s="123">
        <f t="shared" si="18"/>
        <v>333.01567840813846</v>
      </c>
      <c r="AC94" s="123">
        <f t="shared" si="19"/>
        <v>416.26959801017307</v>
      </c>
      <c r="AD94" s="123"/>
      <c r="AK94" s="121">
        <f t="shared" si="33"/>
        <v>92</v>
      </c>
      <c r="AL94" s="101">
        <f t="shared" si="23"/>
        <v>0</v>
      </c>
      <c r="AM94" s="101">
        <f>10+Module!$K$57/($Z$1+1)</f>
        <v>133.65759122654444</v>
      </c>
      <c r="AN94" s="101">
        <f>$Z$1*(25+Module!$I$6)</f>
        <v>50.5</v>
      </c>
      <c r="AO94" s="101">
        <f>(AM94*($Z$1+1)*0.002488974)/($Z$1+1)*Module!$I$5*Module!$I$7</f>
        <v>102.62345540579445</v>
      </c>
      <c r="AP94" s="101">
        <f>$P$120*Module!$I$7*X94*Module!$I$5</f>
        <v>207.74332187426486</v>
      </c>
      <c r="AQ94" s="151">
        <f t="shared" si="24"/>
        <v>1000000</v>
      </c>
      <c r="AS94" s="101">
        <f t="shared" si="25"/>
        <v>0</v>
      </c>
      <c r="AT94" s="101">
        <f>10+Module!$K$57/($AA$1+1)</f>
        <v>92.438394151029627</v>
      </c>
      <c r="AU94" s="101">
        <f>$AA$1*(25+Module!$I$6)</f>
        <v>101</v>
      </c>
      <c r="AV94" s="101">
        <f>(AT94*($Z$1+1)*0.002488974)/($Z$1+1)*Module!$I$5*Module!$I$7</f>
        <v>70.974999121916298</v>
      </c>
      <c r="AW94" s="101">
        <f>$P$120*Module!$I$7*X94*Module!$I$5</f>
        <v>207.74332187426486</v>
      </c>
      <c r="AX94" s="151">
        <f t="shared" si="26"/>
        <v>1000000</v>
      </c>
      <c r="AZ94" s="101">
        <f t="shared" si="27"/>
        <v>0</v>
      </c>
      <c r="BA94" s="101">
        <f>10+Module!$K$57/($AB$1+1)</f>
        <v>71.82879561327222</v>
      </c>
      <c r="BB94" s="101">
        <f>$AB$1*(25+Module!$I$6)</f>
        <v>151.5</v>
      </c>
      <c r="BC94" s="101">
        <f>(BA94*($AB$1+1)*0.002488974)/($AB$1+1)*Module!$I$5*Module!$I$7</f>
        <v>55.150770979977231</v>
      </c>
      <c r="BD94" s="101">
        <f>$P$120*Module!$I$7*X94*Module!$I$5</f>
        <v>207.74332187426486</v>
      </c>
      <c r="BE94" s="151">
        <f t="shared" si="28"/>
        <v>1000000</v>
      </c>
      <c r="BG94" s="101">
        <f t="shared" si="29"/>
        <v>0</v>
      </c>
      <c r="BH94" s="101">
        <f>10+Module!$K$57/($AC$1+1)</f>
        <v>59.463036490617775</v>
      </c>
      <c r="BI94" s="101">
        <f>$AC$1*(25+Module!$I$6)</f>
        <v>202</v>
      </c>
      <c r="BJ94" s="101">
        <f>(BH94*($AC$1+1)*0.002488974)/($AC$1+1)*Module!$I$5*Module!$I$7</f>
        <v>45.656234094813776</v>
      </c>
      <c r="BK94" s="101">
        <f>$P$120*Module!$I$7*X94*Module!$I$5</f>
        <v>207.74332187426486</v>
      </c>
      <c r="BL94" s="151">
        <f t="shared" si="30"/>
        <v>1000000</v>
      </c>
    </row>
    <row r="95" spans="1:64" ht="24.75" customHeight="1" thickBot="1">
      <c r="I95" s="11" t="s">
        <v>1</v>
      </c>
      <c r="J95" s="114">
        <f>IF(J93&lt;&gt;"-",ROUNDUP(I110+(I110*$M$91)/100,0),"-")</f>
        <v>126</v>
      </c>
      <c r="K95" s="114">
        <f>IF(K93&lt;&gt;"-",ROUNDUP(J110+(J110*$M$91)/100,0),"-")</f>
        <v>122</v>
      </c>
      <c r="L95" s="112" t="str">
        <f>IF(L93&lt;&gt;"-",ROUNDUP(K110+(K110*$M$91)/100,0),"-")</f>
        <v>-</v>
      </c>
      <c r="M95" s="112" t="str">
        <f>IF(M93&lt;&gt;"-",ROUNDUP(L110+(L110*$M$91)/100,0),"-")</f>
        <v>-</v>
      </c>
      <c r="N95" s="112" t="str">
        <f>IF(N93&lt;&gt;"-",ROUNDUP(M110+(M110*$M$91)/100,0),"-")</f>
        <v>-</v>
      </c>
      <c r="O95" s="111">
        <f>SUM(J95:N95)</f>
        <v>248</v>
      </c>
      <c r="P95" s="101">
        <f>P94-P93</f>
        <v>6</v>
      </c>
      <c r="Q95" s="101">
        <f>Q93</f>
        <v>67.789580443334458</v>
      </c>
      <c r="R95" s="101">
        <f>R94-R93</f>
        <v>13</v>
      </c>
      <c r="S95" s="101">
        <f t="shared" si="41"/>
        <v>11</v>
      </c>
      <c r="T95" s="101" t="e">
        <f t="shared" si="42"/>
        <v>#N/A</v>
      </c>
      <c r="U95" s="101">
        <f t="shared" si="43"/>
        <v>-6</v>
      </c>
      <c r="V95" s="101" t="e">
        <f>#REF!</f>
        <v>#REF!</v>
      </c>
      <c r="W95" s="780"/>
      <c r="X95" s="121">
        <f t="shared" si="32"/>
        <v>93</v>
      </c>
      <c r="Y95" s="122">
        <f>'calcul pneu pour calculateur'!P96</f>
        <v>83.022916390693439</v>
      </c>
      <c r="Z95" s="123">
        <f t="shared" si="40"/>
        <v>166.04583278138688</v>
      </c>
      <c r="AA95" s="123">
        <f t="shared" si="17"/>
        <v>249.06874917208032</v>
      </c>
      <c r="AB95" s="123">
        <f t="shared" si="18"/>
        <v>332.09166556277376</v>
      </c>
      <c r="AC95" s="123">
        <f t="shared" si="19"/>
        <v>415.11458195346722</v>
      </c>
      <c r="AD95" s="123"/>
      <c r="AK95" s="121">
        <f t="shared" si="33"/>
        <v>93</v>
      </c>
      <c r="AL95" s="101">
        <f t="shared" si="23"/>
        <v>0</v>
      </c>
      <c r="AM95" s="101">
        <f>10+Module!$K$57/($Z$1+1)</f>
        <v>133.65759122654444</v>
      </c>
      <c r="AN95" s="101">
        <f>$Z$1*(25+Module!$I$6)</f>
        <v>50.5</v>
      </c>
      <c r="AO95" s="101">
        <f>(AM95*($Z$1+1)*0.002488974)/($Z$1+1)*Module!$I$5*Module!$I$7</f>
        <v>102.62345540579445</v>
      </c>
      <c r="AP95" s="101">
        <f>$P$120*Module!$I$7*X95*Module!$I$5</f>
        <v>210.00140145985469</v>
      </c>
      <c r="AQ95" s="151">
        <f t="shared" si="24"/>
        <v>1000000</v>
      </c>
      <c r="AS95" s="101">
        <f t="shared" si="25"/>
        <v>0</v>
      </c>
      <c r="AT95" s="101">
        <f>10+Module!$K$57/($AA$1+1)</f>
        <v>92.438394151029627</v>
      </c>
      <c r="AU95" s="101">
        <f>$AA$1*(25+Module!$I$6)</f>
        <v>101</v>
      </c>
      <c r="AV95" s="101">
        <f>(AT95*($Z$1+1)*0.002488974)/($Z$1+1)*Module!$I$5*Module!$I$7</f>
        <v>70.974999121916298</v>
      </c>
      <c r="AW95" s="101">
        <f>$P$120*Module!$I$7*X95*Module!$I$5</f>
        <v>210.00140145985469</v>
      </c>
      <c r="AX95" s="151">
        <f t="shared" si="26"/>
        <v>1000000</v>
      </c>
      <c r="AZ95" s="101">
        <f t="shared" si="27"/>
        <v>0</v>
      </c>
      <c r="BA95" s="101">
        <f>10+Module!$K$57/($AB$1+1)</f>
        <v>71.82879561327222</v>
      </c>
      <c r="BB95" s="101">
        <f>$AB$1*(25+Module!$I$6)</f>
        <v>151.5</v>
      </c>
      <c r="BC95" s="101">
        <f>(BA95*($AB$1+1)*0.002488974)/($AB$1+1)*Module!$I$5*Module!$I$7</f>
        <v>55.150770979977231</v>
      </c>
      <c r="BD95" s="101">
        <f>$P$120*Module!$I$7*X95*Module!$I$5</f>
        <v>210.00140145985469</v>
      </c>
      <c r="BE95" s="151">
        <f t="shared" si="28"/>
        <v>1000000</v>
      </c>
      <c r="BG95" s="101">
        <f t="shared" si="29"/>
        <v>0</v>
      </c>
      <c r="BH95" s="101">
        <f>10+Module!$K$57/($AC$1+1)</f>
        <v>59.463036490617775</v>
      </c>
      <c r="BI95" s="101">
        <f>$AC$1*(25+Module!$I$6)</f>
        <v>202</v>
      </c>
      <c r="BJ95" s="101">
        <f>(BH95*($AC$1+1)*0.002488974)/($AC$1+1)*Module!$I$5*Module!$I$7</f>
        <v>45.656234094813776</v>
      </c>
      <c r="BK95" s="101">
        <f>$P$120*Module!$I$7*X95*Module!$I$5</f>
        <v>210.00140145985469</v>
      </c>
      <c r="BL95" s="151">
        <f t="shared" si="30"/>
        <v>1000000</v>
      </c>
    </row>
    <row r="96" spans="1:64" ht="18.75" customHeight="1" thickBot="1">
      <c r="I96" s="11" t="s">
        <v>0</v>
      </c>
      <c r="J96" s="2">
        <f>ROUNDDOWN(($O$93-J93*VLOOKUP(Module!$H$2,INFO!$A$3:$AA$65,7,0))/VLOOKUP(Module!$H$2,INFO!$A$3:$AA$65,7,0),0)</f>
        <v>13</v>
      </c>
      <c r="K96" s="2">
        <f>ROUNDDOWN(($O$93-K93*VLOOKUP(Module!$H$2,INFO!$A$3:$AA$65,7,0))/VLOOKUP(Module!$H$2,INFO!$A$3:$AA$65,7,0),0)</f>
        <v>14</v>
      </c>
      <c r="L96" s="2" t="e">
        <f>ROUNDDOWN(($O$93-L93*VLOOKUP(Module!$H$2,INFO!$A$3:$AA$65,7,0))/VLOOKUP(Module!$H$2,INFO!$A$3:$AA$65,7,0),0)</f>
        <v>#VALUE!</v>
      </c>
      <c r="M96" s="2" t="e">
        <f>ROUNDDOWN(($O$93-M93*VLOOKUP(Module!$H$2,INFO!$A$3:$AA$65,7,0))/VLOOKUP(Module!$H$2,INFO!$A$3:$AA$65,7,0),0)</f>
        <v>#VALUE!</v>
      </c>
      <c r="N96" s="2" t="e">
        <f>ROUNDDOWN(($O$93-N93*VLOOKUP(Module!$H$2,INFO!$A$3:$AA$65,7,0))/VLOOKUP(Module!$H$2,INFO!$A$3:$AA$65,7,0),0)</f>
        <v>#VALUE!</v>
      </c>
      <c r="O96" s="134">
        <f>100-(IF(1&lt;&gt;"-",100-1*100*VLOOKUP(Module!$H$2,INFO!$A$3:$G$65,7,0)/O93,"-"))</f>
        <v>2.3375717394253286</v>
      </c>
      <c r="P96" s="101">
        <f>P95*R96</f>
        <v>0.8571428571428571</v>
      </c>
      <c r="Q96" s="101">
        <v>100</v>
      </c>
      <c r="R96" s="101">
        <f>1/Q97</f>
        <v>0.14285714285714285</v>
      </c>
      <c r="S96" s="101">
        <f t="shared" si="41"/>
        <v>12</v>
      </c>
      <c r="T96" s="101" t="e">
        <f t="shared" si="42"/>
        <v>#N/A</v>
      </c>
      <c r="U96" s="101">
        <f t="shared" si="43"/>
        <v>-7</v>
      </c>
      <c r="V96" s="101" t="e">
        <f>#REF!</f>
        <v>#REF!</v>
      </c>
      <c r="W96" s="780"/>
      <c r="X96" s="121">
        <f t="shared" si="32"/>
        <v>94</v>
      </c>
      <c r="Y96" s="122">
        <f>'calcul pneu pour calculateur'!P97</f>
        <v>82.79191317935225</v>
      </c>
      <c r="Z96" s="123">
        <f t="shared" si="40"/>
        <v>165.5838263587045</v>
      </c>
      <c r="AA96" s="123">
        <f t="shared" si="17"/>
        <v>248.37573953805673</v>
      </c>
      <c r="AB96" s="123">
        <f t="shared" si="18"/>
        <v>331.167652717409</v>
      </c>
      <c r="AC96" s="123">
        <f t="shared" si="19"/>
        <v>413.95956589676126</v>
      </c>
      <c r="AD96" s="123"/>
      <c r="AK96" s="121">
        <f t="shared" si="33"/>
        <v>94</v>
      </c>
      <c r="AL96" s="101">
        <f t="shared" si="23"/>
        <v>0</v>
      </c>
      <c r="AM96" s="101">
        <f>10+Module!$K$57/($Z$1+1)</f>
        <v>133.65759122654444</v>
      </c>
      <c r="AN96" s="101">
        <f>$Z$1*(25+Module!$I$6)</f>
        <v>50.5</v>
      </c>
      <c r="AO96" s="101">
        <f>(AM96*($Z$1+1)*0.002488974)/($Z$1+1)*Module!$I$5*Module!$I$7</f>
        <v>102.62345540579445</v>
      </c>
      <c r="AP96" s="101">
        <f>$P$120*Module!$I$7*X96*Module!$I$5</f>
        <v>212.25948104544452</v>
      </c>
      <c r="AQ96" s="151">
        <f t="shared" si="24"/>
        <v>1000000</v>
      </c>
      <c r="AS96" s="101">
        <f t="shared" si="25"/>
        <v>0</v>
      </c>
      <c r="AT96" s="101">
        <f>10+Module!$K$57/($AA$1+1)</f>
        <v>92.438394151029627</v>
      </c>
      <c r="AU96" s="101">
        <f>$AA$1*(25+Module!$I$6)</f>
        <v>101</v>
      </c>
      <c r="AV96" s="101">
        <f>(AT96*($Z$1+1)*0.002488974)/($Z$1+1)*Module!$I$5*Module!$I$7</f>
        <v>70.974999121916298</v>
      </c>
      <c r="AW96" s="101">
        <f>$P$120*Module!$I$7*X96*Module!$I$5</f>
        <v>212.25948104544452</v>
      </c>
      <c r="AX96" s="151">
        <f t="shared" si="26"/>
        <v>1000000</v>
      </c>
      <c r="AZ96" s="101">
        <f t="shared" si="27"/>
        <v>0</v>
      </c>
      <c r="BA96" s="101">
        <f>10+Module!$K$57/($AB$1+1)</f>
        <v>71.82879561327222</v>
      </c>
      <c r="BB96" s="101">
        <f>$AB$1*(25+Module!$I$6)</f>
        <v>151.5</v>
      </c>
      <c r="BC96" s="101">
        <f>(BA96*($AB$1+1)*0.002488974)/($AB$1+1)*Module!$I$5*Module!$I$7</f>
        <v>55.150770979977231</v>
      </c>
      <c r="BD96" s="101">
        <f>$P$120*Module!$I$7*X96*Module!$I$5</f>
        <v>212.25948104544452</v>
      </c>
      <c r="BE96" s="151">
        <f t="shared" si="28"/>
        <v>1000000</v>
      </c>
      <c r="BG96" s="101">
        <f t="shared" si="29"/>
        <v>0</v>
      </c>
      <c r="BH96" s="101">
        <f>10+Module!$K$57/($AC$1+1)</f>
        <v>59.463036490617775</v>
      </c>
      <c r="BI96" s="101">
        <f>$AC$1*(25+Module!$I$6)</f>
        <v>202</v>
      </c>
      <c r="BJ96" s="101">
        <f>(BH96*($AC$1+1)*0.002488974)/($AC$1+1)*Module!$I$5*Module!$I$7</f>
        <v>45.656234094813776</v>
      </c>
      <c r="BK96" s="101">
        <f>$P$120*Module!$I$7*X96*Module!$I$5</f>
        <v>212.25948104544452</v>
      </c>
      <c r="BL96" s="151">
        <f t="shared" si="30"/>
        <v>1000000</v>
      </c>
    </row>
    <row r="97" spans="3:183" ht="39.75" customHeight="1">
      <c r="I97" s="793"/>
      <c r="J97" s="793"/>
      <c r="Q97" s="136">
        <f>R94-P94</f>
        <v>7</v>
      </c>
      <c r="S97" s="101">
        <f t="shared" si="41"/>
        <v>13</v>
      </c>
      <c r="T97" s="101" t="e">
        <f t="shared" si="42"/>
        <v>#N/A</v>
      </c>
      <c r="U97" s="101">
        <f t="shared" si="43"/>
        <v>-8</v>
      </c>
      <c r="V97" s="101" t="e">
        <f>V96+(V96*$R$80)/100</f>
        <v>#REF!</v>
      </c>
      <c r="W97" s="780"/>
      <c r="X97" s="121">
        <f t="shared" si="32"/>
        <v>95</v>
      </c>
      <c r="Y97" s="122">
        <f>'calcul pneu pour calculateur'!P98</f>
        <v>82.560909968011075</v>
      </c>
      <c r="Z97" s="123">
        <f t="shared" si="40"/>
        <v>165.12181993602215</v>
      </c>
      <c r="AA97" s="123">
        <f t="shared" si="17"/>
        <v>247.68272990403324</v>
      </c>
      <c r="AB97" s="123">
        <f t="shared" si="18"/>
        <v>330.2436398720443</v>
      </c>
      <c r="AC97" s="123">
        <f t="shared" si="19"/>
        <v>412.80454984005536</v>
      </c>
      <c r="AD97" s="123"/>
      <c r="AK97" s="121">
        <f t="shared" si="33"/>
        <v>95</v>
      </c>
      <c r="AL97" s="101">
        <f t="shared" si="23"/>
        <v>0</v>
      </c>
      <c r="AM97" s="101">
        <f>10+Module!$K$57/($Z$1+1)</f>
        <v>133.65759122654444</v>
      </c>
      <c r="AN97" s="101">
        <f>$Z$1*(25+Module!$I$6)</f>
        <v>50.5</v>
      </c>
      <c r="AO97" s="101">
        <f>(AM97*($Z$1+1)*0.002488974)/($Z$1+1)*Module!$I$5*Module!$I$7</f>
        <v>102.62345540579445</v>
      </c>
      <c r="AP97" s="101">
        <f>$P$120*Module!$I$7*X97*Module!$I$5</f>
        <v>214.51756063103434</v>
      </c>
      <c r="AQ97" s="151">
        <f t="shared" si="24"/>
        <v>1000000</v>
      </c>
      <c r="AS97" s="101">
        <f t="shared" si="25"/>
        <v>0</v>
      </c>
      <c r="AT97" s="101">
        <f>10+Module!$K$57/($AA$1+1)</f>
        <v>92.438394151029627</v>
      </c>
      <c r="AU97" s="101">
        <f>$AA$1*(25+Module!$I$6)</f>
        <v>101</v>
      </c>
      <c r="AV97" s="101">
        <f>(AT97*($Z$1+1)*0.002488974)/($Z$1+1)*Module!$I$5*Module!$I$7</f>
        <v>70.974999121916298</v>
      </c>
      <c r="AW97" s="101">
        <f>$P$120*Module!$I$7*X97*Module!$I$5</f>
        <v>214.51756063103434</v>
      </c>
      <c r="AX97" s="151">
        <f t="shared" si="26"/>
        <v>1000000</v>
      </c>
      <c r="AZ97" s="101">
        <f t="shared" si="27"/>
        <v>0</v>
      </c>
      <c r="BA97" s="101">
        <f>10+Module!$K$57/($AB$1+1)</f>
        <v>71.82879561327222</v>
      </c>
      <c r="BB97" s="101">
        <f>$AB$1*(25+Module!$I$6)</f>
        <v>151.5</v>
      </c>
      <c r="BC97" s="101">
        <f>(BA97*($AB$1+1)*0.002488974)/($AB$1+1)*Module!$I$5*Module!$I$7</f>
        <v>55.150770979977231</v>
      </c>
      <c r="BD97" s="101">
        <f>$P$120*Module!$I$7*X97*Module!$I$5</f>
        <v>214.51756063103434</v>
      </c>
      <c r="BE97" s="151">
        <f t="shared" si="28"/>
        <v>1000000</v>
      </c>
      <c r="BG97" s="101">
        <f t="shared" si="29"/>
        <v>0</v>
      </c>
      <c r="BH97" s="101">
        <f>10+Module!$K$57/($AC$1+1)</f>
        <v>59.463036490617775</v>
      </c>
      <c r="BI97" s="101">
        <f>$AC$1*(25+Module!$I$6)</f>
        <v>202</v>
      </c>
      <c r="BJ97" s="101">
        <f>(BH97*($AC$1+1)*0.002488974)/($AC$1+1)*Module!$I$5*Module!$I$7</f>
        <v>45.656234094813776</v>
      </c>
      <c r="BK97" s="101">
        <f>$P$120*Module!$I$7*X97*Module!$I$5</f>
        <v>214.51756063103434</v>
      </c>
      <c r="BL97" s="151">
        <f t="shared" si="30"/>
        <v>1000000</v>
      </c>
    </row>
    <row r="98" spans="3:183" ht="15.75" hidden="1" customHeight="1" thickBot="1">
      <c r="C98" s="100">
        <f>Module!H12</f>
        <v>0.4158</v>
      </c>
      <c r="D98" s="13" t="s">
        <v>225</v>
      </c>
      <c r="E98" s="13" t="s">
        <v>186</v>
      </c>
      <c r="F98" s="13" t="s">
        <v>262</v>
      </c>
      <c r="G98" s="118" t="s">
        <v>261</v>
      </c>
      <c r="H98" s="63"/>
      <c r="I98" s="101" t="e">
        <f>#REF!</f>
        <v>#REF!</v>
      </c>
      <c r="J98" s="101">
        <v>108.125</v>
      </c>
      <c r="K98" s="101">
        <v>1.01</v>
      </c>
      <c r="W98" s="780"/>
      <c r="X98" s="121">
        <f t="shared" si="32"/>
        <v>96</v>
      </c>
      <c r="Y98" s="122">
        <f>'calcul pneu pour calculateur'!P99</f>
        <v>82.329906756669885</v>
      </c>
      <c r="Z98" s="123">
        <f t="shared" si="40"/>
        <v>164.65981351333977</v>
      </c>
      <c r="AA98" s="123">
        <f t="shared" si="17"/>
        <v>246.98972027000966</v>
      </c>
      <c r="AB98" s="123">
        <f t="shared" si="18"/>
        <v>329.31962702667954</v>
      </c>
      <c r="AC98" s="123">
        <f t="shared" si="19"/>
        <v>411.6495337833494</v>
      </c>
      <c r="AD98" s="123"/>
      <c r="AK98" s="121">
        <f t="shared" si="33"/>
        <v>96</v>
      </c>
      <c r="AL98" s="101">
        <f t="shared" si="23"/>
        <v>0</v>
      </c>
      <c r="AM98" s="101">
        <f>10+Module!$K$57/($Z$1+1)</f>
        <v>133.65759122654444</v>
      </c>
      <c r="AN98" s="101">
        <f>$Z$1*(25+Module!$I$6)</f>
        <v>50.5</v>
      </c>
      <c r="AO98" s="101">
        <f>(AM98*($Z$1+1)*0.002488974)/($Z$1+1)*Module!$I$5*Module!$I$7</f>
        <v>102.62345540579445</v>
      </c>
      <c r="AP98" s="101">
        <f>$P$120*Module!$I$7*X98*Module!$I$5</f>
        <v>216.77564021662423</v>
      </c>
      <c r="AQ98" s="151">
        <f t="shared" si="24"/>
        <v>1000000</v>
      </c>
      <c r="AS98" s="101">
        <f t="shared" si="25"/>
        <v>0</v>
      </c>
      <c r="AT98" s="101">
        <f>10+Module!$K$57/($AA$1+1)</f>
        <v>92.438394151029627</v>
      </c>
      <c r="AU98" s="101">
        <f>$AA$1*(25+Module!$I$6)</f>
        <v>101</v>
      </c>
      <c r="AV98" s="101">
        <f>(AT98*($Z$1+1)*0.002488974)/($Z$1+1)*Module!$I$5*Module!$I$7</f>
        <v>70.974999121916298</v>
      </c>
      <c r="AW98" s="101">
        <f>$P$120*Module!$I$7*X98*Module!$I$5</f>
        <v>216.77564021662423</v>
      </c>
      <c r="AX98" s="151">
        <f t="shared" si="26"/>
        <v>1000000</v>
      </c>
      <c r="AZ98" s="101">
        <f t="shared" si="27"/>
        <v>0</v>
      </c>
      <c r="BA98" s="101">
        <f>10+Module!$K$57/($AB$1+1)</f>
        <v>71.82879561327222</v>
      </c>
      <c r="BB98" s="101">
        <f>$AB$1*(25+Module!$I$6)</f>
        <v>151.5</v>
      </c>
      <c r="BC98" s="101">
        <f>(BA98*($AB$1+1)*0.002488974)/($AB$1+1)*Module!$I$5*Module!$I$7</f>
        <v>55.150770979977231</v>
      </c>
      <c r="BD98" s="101">
        <f>$P$120*Module!$I$7*X98*Module!$I$5</f>
        <v>216.77564021662423</v>
      </c>
      <c r="BE98" s="151">
        <f t="shared" si="28"/>
        <v>1000000</v>
      </c>
      <c r="BG98" s="101">
        <f t="shared" si="29"/>
        <v>0</v>
      </c>
      <c r="BH98" s="101">
        <f>10+Module!$K$57/($AC$1+1)</f>
        <v>59.463036490617775</v>
      </c>
      <c r="BI98" s="101">
        <f>$AC$1*(25+Module!$I$6)</f>
        <v>202</v>
      </c>
      <c r="BJ98" s="101">
        <f>(BH98*($AC$1+1)*0.002488974)/($AC$1+1)*Module!$I$5*Module!$I$7</f>
        <v>45.656234094813776</v>
      </c>
      <c r="BK98" s="101">
        <f>$P$120*Module!$I$7*X98*Module!$I$5</f>
        <v>216.77564021662423</v>
      </c>
      <c r="BL98" s="151">
        <f t="shared" si="30"/>
        <v>1000000</v>
      </c>
    </row>
    <row r="99" spans="3:183" ht="15.75" hidden="1" customHeight="1" thickBot="1">
      <c r="C99" s="13" t="s">
        <v>225</v>
      </c>
      <c r="D99" s="110">
        <f>Module!H47</f>
        <v>0</v>
      </c>
      <c r="E99" s="100">
        <f>IF(Module!$H$48="",0,E100-C98)</f>
        <v>0</v>
      </c>
      <c r="F99" s="100">
        <f>IF(Module!$H$49="",0,F100-$C$98)</f>
        <v>0</v>
      </c>
      <c r="G99" s="100">
        <f>IF(Module!$H$50="",0,G100-$C$98)</f>
        <v>0</v>
      </c>
      <c r="H99" s="101">
        <f>SUM(D99:G99)*Module!$I$5</f>
        <v>0</v>
      </c>
      <c r="I99" s="101">
        <f>(H61/Module!$I$5)*$K$98</f>
        <v>0</v>
      </c>
      <c r="J99" s="101">
        <f>I99*Module!$I$5</f>
        <v>0</v>
      </c>
      <c r="K99" s="101">
        <v>4.0000000000000002E-4</v>
      </c>
      <c r="W99" s="780"/>
      <c r="X99" s="121">
        <f t="shared" si="32"/>
        <v>97</v>
      </c>
      <c r="Y99" s="122">
        <f>'calcul pneu pour calculateur'!P100</f>
        <v>82.09890354532871</v>
      </c>
      <c r="Z99" s="123">
        <f t="shared" si="40"/>
        <v>164.19780709065742</v>
      </c>
      <c r="AA99" s="123">
        <f t="shared" si="17"/>
        <v>246.29671063598613</v>
      </c>
      <c r="AB99" s="123">
        <f t="shared" si="18"/>
        <v>328.39561418131484</v>
      </c>
      <c r="AC99" s="123">
        <f t="shared" si="19"/>
        <v>410.49451772664355</v>
      </c>
      <c r="AD99" s="123"/>
      <c r="AK99" s="121">
        <f t="shared" si="33"/>
        <v>97</v>
      </c>
      <c r="AL99" s="101">
        <f t="shared" si="23"/>
        <v>0</v>
      </c>
      <c r="AM99" s="101">
        <f>10+Module!$K$57/($Z$1+1)</f>
        <v>133.65759122654444</v>
      </c>
      <c r="AN99" s="101">
        <f>$Z$1*(25+Module!$I$6)</f>
        <v>50.5</v>
      </c>
      <c r="AO99" s="101">
        <f>(AM99*($Z$1+1)*0.002488974)/($Z$1+1)*Module!$I$5*Module!$I$7</f>
        <v>102.62345540579445</v>
      </c>
      <c r="AP99" s="101">
        <f>$P$120*Module!$I$7*X99*Module!$I$5</f>
        <v>219.03371980221405</v>
      </c>
      <c r="AQ99" s="151">
        <f t="shared" si="24"/>
        <v>1000000</v>
      </c>
      <c r="AS99" s="101">
        <f t="shared" si="25"/>
        <v>0</v>
      </c>
      <c r="AT99" s="101">
        <f>10+Module!$K$57/($AA$1+1)</f>
        <v>92.438394151029627</v>
      </c>
      <c r="AU99" s="101">
        <f>$AA$1*(25+Module!$I$6)</f>
        <v>101</v>
      </c>
      <c r="AV99" s="101">
        <f>(AT99*($Z$1+1)*0.002488974)/($Z$1+1)*Module!$I$5*Module!$I$7</f>
        <v>70.974999121916298</v>
      </c>
      <c r="AW99" s="101">
        <f>$P$120*Module!$I$7*X99*Module!$I$5</f>
        <v>219.03371980221405</v>
      </c>
      <c r="AX99" s="151">
        <f t="shared" si="26"/>
        <v>1000000</v>
      </c>
      <c r="AZ99" s="101">
        <f t="shared" si="27"/>
        <v>0</v>
      </c>
      <c r="BA99" s="101">
        <f>10+Module!$K$57/($AB$1+1)</f>
        <v>71.82879561327222</v>
      </c>
      <c r="BB99" s="101">
        <f>$AB$1*(25+Module!$I$6)</f>
        <v>151.5</v>
      </c>
      <c r="BC99" s="101">
        <f>(BA99*($AB$1+1)*0.002488974)/($AB$1+1)*Module!$I$5*Module!$I$7</f>
        <v>55.150770979977231</v>
      </c>
      <c r="BD99" s="101">
        <f>$P$120*Module!$I$7*X99*Module!$I$5</f>
        <v>219.03371980221405</v>
      </c>
      <c r="BE99" s="151">
        <f t="shared" si="28"/>
        <v>1000000</v>
      </c>
      <c r="BG99" s="101">
        <f t="shared" si="29"/>
        <v>0</v>
      </c>
      <c r="BH99" s="101">
        <f>10+Module!$K$57/($AC$1+1)</f>
        <v>59.463036490617775</v>
      </c>
      <c r="BI99" s="101">
        <f>$AC$1*(25+Module!$I$6)</f>
        <v>202</v>
      </c>
      <c r="BJ99" s="101">
        <f>(BH99*($AC$1+1)*0.002488974)/($AC$1+1)*Module!$I$5*Module!$I$7</f>
        <v>45.656234094813776</v>
      </c>
      <c r="BK99" s="101">
        <f>$P$120*Module!$I$7*X99*Module!$I$5</f>
        <v>219.03371980221405</v>
      </c>
      <c r="BL99" s="151">
        <f t="shared" si="30"/>
        <v>1000000</v>
      </c>
      <c r="FX99" s="10"/>
      <c r="FY99" s="10"/>
      <c r="FZ99" s="10"/>
      <c r="GA99" s="10"/>
    </row>
    <row r="100" spans="3:183" ht="15.75" hidden="1" customHeight="1" thickBot="1">
      <c r="C100" s="13" t="s">
        <v>212</v>
      </c>
      <c r="D100" s="100">
        <f>IF(Module!$H$47="",0,D99+$C$98)</f>
        <v>0</v>
      </c>
      <c r="E100" s="110">
        <f>Module!H48</f>
        <v>0</v>
      </c>
      <c r="F100" s="100">
        <f>IF(Module!$H$49="",0,F101-$C$98)</f>
        <v>0</v>
      </c>
      <c r="G100" s="100">
        <f>IF(Module!$H$50="",0,G101-$C$98)</f>
        <v>0</v>
      </c>
      <c r="H100" s="101">
        <f>SUM(D100:G100)*Module!$I$5</f>
        <v>0</v>
      </c>
      <c r="I100" s="101">
        <f>(H62/Module!$I$5)*$K$98</f>
        <v>0</v>
      </c>
      <c r="J100" s="101">
        <f>I100*Module!$I$5</f>
        <v>0</v>
      </c>
      <c r="W100" s="780"/>
      <c r="X100" s="121">
        <f t="shared" si="32"/>
        <v>98</v>
      </c>
      <c r="Y100" s="122">
        <f>'calcul pneu pour calculateur'!P101</f>
        <v>81.867900333987535</v>
      </c>
      <c r="Z100" s="123">
        <f t="shared" si="40"/>
        <v>163.73580066797507</v>
      </c>
      <c r="AA100" s="123">
        <f t="shared" si="17"/>
        <v>245.60370100196261</v>
      </c>
      <c r="AB100" s="123">
        <f t="shared" si="18"/>
        <v>327.47160133595014</v>
      </c>
      <c r="AC100" s="123">
        <f t="shared" si="19"/>
        <v>409.3395016699377</v>
      </c>
      <c r="AD100" s="123"/>
      <c r="AK100" s="121">
        <f t="shared" si="33"/>
        <v>98</v>
      </c>
      <c r="AL100" s="101">
        <f t="shared" si="23"/>
        <v>0</v>
      </c>
      <c r="AM100" s="101">
        <f>10+Module!$K$57/($Z$1+1)</f>
        <v>133.65759122654444</v>
      </c>
      <c r="AN100" s="101">
        <f>$Z$1*(25+Module!$I$6)</f>
        <v>50.5</v>
      </c>
      <c r="AO100" s="101">
        <f>(AM100*($Z$1+1)*0.002488974)/($Z$1+1)*Module!$I$5*Module!$I$7</f>
        <v>102.62345540579445</v>
      </c>
      <c r="AP100" s="101">
        <f>$P$120*Module!$I$7*X100*Module!$I$5</f>
        <v>221.29179938780388</v>
      </c>
      <c r="AQ100" s="151">
        <f t="shared" si="24"/>
        <v>1000000</v>
      </c>
      <c r="AS100" s="101">
        <f t="shared" si="25"/>
        <v>0</v>
      </c>
      <c r="AT100" s="101">
        <f>10+Module!$K$57/($AA$1+1)</f>
        <v>92.438394151029627</v>
      </c>
      <c r="AU100" s="101">
        <f>$AA$1*(25+Module!$I$6)</f>
        <v>101</v>
      </c>
      <c r="AV100" s="101">
        <f>(AT100*($Z$1+1)*0.002488974)/($Z$1+1)*Module!$I$5*Module!$I$7</f>
        <v>70.974999121916298</v>
      </c>
      <c r="AW100" s="101">
        <f>$P$120*Module!$I$7*X100*Module!$I$5</f>
        <v>221.29179938780388</v>
      </c>
      <c r="AX100" s="151">
        <f t="shared" si="26"/>
        <v>1000000</v>
      </c>
      <c r="AZ100" s="101">
        <f t="shared" si="27"/>
        <v>0</v>
      </c>
      <c r="BA100" s="101">
        <f>10+Module!$K$57/($AB$1+1)</f>
        <v>71.82879561327222</v>
      </c>
      <c r="BB100" s="101">
        <f>$AB$1*(25+Module!$I$6)</f>
        <v>151.5</v>
      </c>
      <c r="BC100" s="101">
        <f>(BA100*($AB$1+1)*0.002488974)/($AB$1+1)*Module!$I$5*Module!$I$7</f>
        <v>55.150770979977231</v>
      </c>
      <c r="BD100" s="101">
        <f>$P$120*Module!$I$7*X100*Module!$I$5</f>
        <v>221.29179938780388</v>
      </c>
      <c r="BE100" s="151">
        <f t="shared" si="28"/>
        <v>1000000</v>
      </c>
      <c r="BG100" s="101">
        <f t="shared" si="29"/>
        <v>0</v>
      </c>
      <c r="BH100" s="101">
        <f>10+Module!$K$57/($AC$1+1)</f>
        <v>59.463036490617775</v>
      </c>
      <c r="BI100" s="101">
        <f>$AC$1*(25+Module!$I$6)</f>
        <v>202</v>
      </c>
      <c r="BJ100" s="101">
        <f>(BH100*($AC$1+1)*0.002488974)/($AC$1+1)*Module!$I$5*Module!$I$7</f>
        <v>45.656234094813776</v>
      </c>
      <c r="BK100" s="101">
        <f>$P$120*Module!$I$7*X100*Module!$I$5</f>
        <v>221.29179938780388</v>
      </c>
      <c r="BL100" s="151">
        <f t="shared" si="30"/>
        <v>1000000</v>
      </c>
      <c r="FX100" s="10"/>
      <c r="FY100" s="10"/>
      <c r="FZ100" s="10"/>
      <c r="GA100" s="10"/>
    </row>
    <row r="101" spans="3:183" ht="15.75" hidden="1" customHeight="1" thickBot="1">
      <c r="C101" s="13" t="s">
        <v>135</v>
      </c>
      <c r="D101" s="100">
        <f>IF(Module!$H$47="",0,D100+$C$98)</f>
        <v>0</v>
      </c>
      <c r="E101" s="100">
        <f>IF(Module!$H$48="",0,E100+$C$98)</f>
        <v>0</v>
      </c>
      <c r="F101" s="110">
        <f>Module!H49</f>
        <v>0</v>
      </c>
      <c r="G101" s="100">
        <f>IF(Module!$H$50="",0,G102-$C$98)</f>
        <v>0</v>
      </c>
      <c r="H101" s="101">
        <f>SUM(D101:G101)*Module!$I$5</f>
        <v>0</v>
      </c>
      <c r="I101" s="101">
        <f>(H63/Module!$I$5)*$K$98</f>
        <v>0</v>
      </c>
      <c r="J101" s="101">
        <f>I101*Module!$I$5</f>
        <v>0</v>
      </c>
      <c r="W101" s="780"/>
      <c r="X101" s="121">
        <f t="shared" si="32"/>
        <v>99</v>
      </c>
      <c r="Y101" s="122">
        <f>'calcul pneu pour calculateur'!P102</f>
        <v>81.636897122646332</v>
      </c>
      <c r="Z101" s="123">
        <f t="shared" si="40"/>
        <v>163.27379424529266</v>
      </c>
      <c r="AA101" s="123">
        <f t="shared" si="17"/>
        <v>244.91069136793899</v>
      </c>
      <c r="AB101" s="123">
        <f t="shared" si="18"/>
        <v>326.54758849058533</v>
      </c>
      <c r="AC101" s="123">
        <f t="shared" si="19"/>
        <v>408.18448561323169</v>
      </c>
      <c r="AD101" s="123"/>
      <c r="AK101" s="121">
        <f t="shared" si="33"/>
        <v>99</v>
      </c>
      <c r="AL101" s="101">
        <f t="shared" si="23"/>
        <v>0</v>
      </c>
      <c r="AM101" s="101">
        <f>10+Module!$K$57/($Z$1+1)</f>
        <v>133.65759122654444</v>
      </c>
      <c r="AN101" s="101">
        <f>$Z$1*(25+Module!$I$6)</f>
        <v>50.5</v>
      </c>
      <c r="AO101" s="101">
        <f>(AM101*($Z$1+1)*0.002488974)/($Z$1+1)*Module!$I$5*Module!$I$7</f>
        <v>102.62345540579445</v>
      </c>
      <c r="AP101" s="101">
        <f>$P$120*Module!$I$7*X101*Module!$I$5</f>
        <v>223.5498789733937</v>
      </c>
      <c r="AQ101" s="151">
        <f t="shared" si="24"/>
        <v>1000000</v>
      </c>
      <c r="AS101" s="101">
        <f t="shared" si="25"/>
        <v>0</v>
      </c>
      <c r="AT101" s="101">
        <f>10+Module!$K$57/($AA$1+1)</f>
        <v>92.438394151029627</v>
      </c>
      <c r="AU101" s="101">
        <f>$AA$1*(25+Module!$I$6)</f>
        <v>101</v>
      </c>
      <c r="AV101" s="101">
        <f>(AT101*($Z$1+1)*0.002488974)/($Z$1+1)*Module!$I$5*Module!$I$7</f>
        <v>70.974999121916298</v>
      </c>
      <c r="AW101" s="101">
        <f>$P$120*Module!$I$7*X101*Module!$I$5</f>
        <v>223.5498789733937</v>
      </c>
      <c r="AX101" s="151">
        <f t="shared" si="26"/>
        <v>1000000</v>
      </c>
      <c r="AZ101" s="101">
        <f t="shared" si="27"/>
        <v>0</v>
      </c>
      <c r="BA101" s="101">
        <f>10+Module!$K$57/($AB$1+1)</f>
        <v>71.82879561327222</v>
      </c>
      <c r="BB101" s="101">
        <f>$AB$1*(25+Module!$I$6)</f>
        <v>151.5</v>
      </c>
      <c r="BC101" s="101">
        <f>(BA101*($AB$1+1)*0.002488974)/($AB$1+1)*Module!$I$5*Module!$I$7</f>
        <v>55.150770979977231</v>
      </c>
      <c r="BD101" s="101">
        <f>$P$120*Module!$I$7*X101*Module!$I$5</f>
        <v>223.5498789733937</v>
      </c>
      <c r="BE101" s="151">
        <f t="shared" si="28"/>
        <v>1000000</v>
      </c>
      <c r="BG101" s="101">
        <f t="shared" si="29"/>
        <v>0</v>
      </c>
      <c r="BH101" s="101">
        <f>10+Module!$K$57/($AC$1+1)</f>
        <v>59.463036490617775</v>
      </c>
      <c r="BI101" s="101">
        <f>$AC$1*(25+Module!$I$6)</f>
        <v>202</v>
      </c>
      <c r="BJ101" s="101">
        <f>(BH101*($AC$1+1)*0.002488974)/($AC$1+1)*Module!$I$5*Module!$I$7</f>
        <v>45.656234094813776</v>
      </c>
      <c r="BK101" s="101">
        <f>$P$120*Module!$I$7*X101*Module!$I$5</f>
        <v>223.5498789733937</v>
      </c>
      <c r="BL101" s="151">
        <f t="shared" si="30"/>
        <v>1000000</v>
      </c>
      <c r="FX101" s="10"/>
      <c r="FY101" s="10"/>
      <c r="FZ101" s="10"/>
      <c r="GA101" s="10"/>
    </row>
    <row r="102" spans="3:183" ht="15.75" hidden="1" customHeight="1" thickBot="1">
      <c r="C102" s="13" t="s">
        <v>152</v>
      </c>
      <c r="D102" s="100">
        <f>IF(Module!$H$47="",0,D101+$C$98)</f>
        <v>0</v>
      </c>
      <c r="E102" s="100">
        <f>IF(Module!$H$48="",0,E101+$C$98)</f>
        <v>0</v>
      </c>
      <c r="F102" s="100">
        <f>IF(Module!$H$49="",0,F101+$C$98)</f>
        <v>0</v>
      </c>
      <c r="G102" s="110">
        <f>Module!H50</f>
        <v>0</v>
      </c>
      <c r="H102" s="101">
        <f>SUM(D102:G102)*Module!$I$5</f>
        <v>0</v>
      </c>
      <c r="I102" s="101">
        <f>(H64/Module!$I$5)*$K$98</f>
        <v>0</v>
      </c>
      <c r="J102" s="101">
        <f>I102*Module!$I$5</f>
        <v>0</v>
      </c>
      <c r="W102" s="781"/>
      <c r="X102" s="121">
        <f t="shared" si="32"/>
        <v>100</v>
      </c>
      <c r="Y102" s="122">
        <f>'calcul pneu pour calculateur'!P103</f>
        <v>81.405893911305157</v>
      </c>
      <c r="Z102" s="123">
        <f t="shared" si="40"/>
        <v>162.81178782261031</v>
      </c>
      <c r="AA102" s="123">
        <f t="shared" si="17"/>
        <v>244.21768173391547</v>
      </c>
      <c r="AB102" s="123">
        <f t="shared" si="18"/>
        <v>325.62357564522063</v>
      </c>
      <c r="AC102" s="123">
        <f t="shared" si="19"/>
        <v>407.02946955652578</v>
      </c>
      <c r="AD102" s="123"/>
      <c r="AK102" s="121">
        <f t="shared" si="33"/>
        <v>100</v>
      </c>
      <c r="AL102" s="101">
        <f t="shared" si="23"/>
        <v>0</v>
      </c>
      <c r="AM102" s="101">
        <f>10+Module!$K$57/($Z$1+1)</f>
        <v>133.65759122654444</v>
      </c>
      <c r="AN102" s="101">
        <f>$Z$1*(25+Module!$I$6)</f>
        <v>50.5</v>
      </c>
      <c r="AO102" s="101">
        <f>(AM102*($Z$1+1)*0.002488974)/($Z$1+1)*Module!$I$5*Module!$I$7</f>
        <v>102.62345540579445</v>
      </c>
      <c r="AP102" s="101">
        <f>$P$120*Module!$I$7*X102*Module!$I$5</f>
        <v>225.80795855898356</v>
      </c>
      <c r="AQ102" s="151">
        <f t="shared" si="24"/>
        <v>1000000</v>
      </c>
      <c r="AS102" s="101">
        <f t="shared" si="25"/>
        <v>0</v>
      </c>
      <c r="AT102" s="101">
        <f>10+Module!$K$57/($AA$1+1)</f>
        <v>92.438394151029627</v>
      </c>
      <c r="AU102" s="101">
        <f>$AA$1*(25+Module!$I$6)</f>
        <v>101</v>
      </c>
      <c r="AV102" s="101">
        <f>(AT102*($Z$1+1)*0.002488974)/($Z$1+1)*Module!$I$5*Module!$I$7</f>
        <v>70.974999121916298</v>
      </c>
      <c r="AW102" s="101">
        <f>$P$120*Module!$I$7*X102*Module!$I$5</f>
        <v>225.80795855898356</v>
      </c>
      <c r="AX102" s="151">
        <f t="shared" si="26"/>
        <v>1000000</v>
      </c>
      <c r="AZ102" s="101">
        <f t="shared" si="27"/>
        <v>0</v>
      </c>
      <c r="BA102" s="101">
        <f>10+Module!$K$57/($AB$1+1)</f>
        <v>71.82879561327222</v>
      </c>
      <c r="BB102" s="101">
        <f>$AB$1*(25+Module!$I$6)</f>
        <v>151.5</v>
      </c>
      <c r="BC102" s="101">
        <f>(BA102*($AB$1+1)*0.002488974)/($AB$1+1)*Module!$I$5*Module!$I$7</f>
        <v>55.150770979977231</v>
      </c>
      <c r="BD102" s="101">
        <f>$P$120*Module!$I$7*X102*Module!$I$5</f>
        <v>225.80795855898356</v>
      </c>
      <c r="BE102" s="151">
        <f t="shared" si="28"/>
        <v>1000000</v>
      </c>
      <c r="BG102" s="101">
        <f t="shared" si="29"/>
        <v>0</v>
      </c>
      <c r="BH102" s="101">
        <f>10+Module!$K$57/($AC$1+1)</f>
        <v>59.463036490617775</v>
      </c>
      <c r="BI102" s="101">
        <f>$AC$1*(25+Module!$I$6)</f>
        <v>202</v>
      </c>
      <c r="BJ102" s="101">
        <f>(BH102*($AC$1+1)*0.002488974)/($AC$1+1)*Module!$I$5*Module!$I$7</f>
        <v>45.656234094813776</v>
      </c>
      <c r="BK102" s="101">
        <f>$P$120*Module!$I$7*X102*Module!$I$5</f>
        <v>225.80795855898356</v>
      </c>
      <c r="BL102" s="151">
        <f t="shared" si="30"/>
        <v>1000000</v>
      </c>
    </row>
    <row r="103" spans="3:183" ht="15.75" hidden="1" customHeight="1" thickBot="1">
      <c r="W103" s="776" t="s">
        <v>253</v>
      </c>
      <c r="X103" s="121">
        <v>0</v>
      </c>
      <c r="Y103" s="122">
        <f>'calcul pneu pour calculateur'!P104</f>
        <v>139.95393621317709</v>
      </c>
      <c r="Z103" s="123">
        <f t="shared" si="40"/>
        <v>279.90787242635417</v>
      </c>
      <c r="AA103" s="123">
        <f t="shared" si="17"/>
        <v>419.86180863953126</v>
      </c>
      <c r="AB103" s="123">
        <f t="shared" si="18"/>
        <v>559.81574485270835</v>
      </c>
      <c r="AC103" s="123">
        <f t="shared" si="19"/>
        <v>699.76968106588538</v>
      </c>
      <c r="AD103" s="123"/>
      <c r="AK103" s="121">
        <v>0</v>
      </c>
      <c r="AL103" s="101">
        <f>$H$62</f>
        <v>0</v>
      </c>
      <c r="AM103" s="101">
        <f>10+Module!$K$57/($Z$1+1)</f>
        <v>133.65759122654444</v>
      </c>
      <c r="AN103" s="101">
        <f>$Z$1*(25+Module!$I$6)</f>
        <v>50.5</v>
      </c>
      <c r="AO103" s="101">
        <f>(AM103*($Z$1+1)*0.002488974)/($Z$1+1)*Module!$I$5*Module!$I$7</f>
        <v>102.62345540579445</v>
      </c>
      <c r="AP103" s="101">
        <f>$P$120*Module!$I$7*X103*Module!$I$5</f>
        <v>0</v>
      </c>
      <c r="AQ103" s="151">
        <f t="shared" si="24"/>
        <v>153.12345540579446</v>
      </c>
      <c r="AS103" s="101">
        <f>$H$62</f>
        <v>0</v>
      </c>
      <c r="AT103" s="101">
        <f>10+Module!$K$57/($AA$1+1)</f>
        <v>92.438394151029627</v>
      </c>
      <c r="AU103" s="101">
        <f>$AA$1*(25+Module!$I$6)</f>
        <v>101</v>
      </c>
      <c r="AV103" s="101">
        <f>(AT103*($Z$1+1)*0.002488974)/($Z$1+1)*Module!$I$5*Module!$I$7</f>
        <v>70.974999121916298</v>
      </c>
      <c r="AW103" s="101">
        <f>$P$120*Module!$I$7*X103*Module!$I$5</f>
        <v>0</v>
      </c>
      <c r="AX103" s="151">
        <f t="shared" si="26"/>
        <v>171.97499912191631</v>
      </c>
      <c r="AZ103" s="101">
        <f>$H$62</f>
        <v>0</v>
      </c>
      <c r="BA103" s="101">
        <f>10+Module!$K$57/($AB$1+1)</f>
        <v>71.82879561327222</v>
      </c>
      <c r="BB103" s="101">
        <f>$AB$1*(25+Module!$I$6)</f>
        <v>151.5</v>
      </c>
      <c r="BC103" s="101">
        <f>(BA103*($AB$1+1)*0.002488974)/($AB$1+1)*Module!$I$5*Module!$I$7</f>
        <v>55.150770979977231</v>
      </c>
      <c r="BD103" s="101">
        <f>$P$120*Module!$I$7*X103*Module!$I$5</f>
        <v>0</v>
      </c>
      <c r="BE103" s="151">
        <f t="shared" si="28"/>
        <v>206.65077097997724</v>
      </c>
      <c r="BG103" s="101">
        <f>$H$62</f>
        <v>0</v>
      </c>
      <c r="BH103" s="101">
        <f>10+Module!$K$57/($AC$1+1)</f>
        <v>59.463036490617775</v>
      </c>
      <c r="BI103" s="101">
        <f>$AC$1*(25+Module!$I$6)</f>
        <v>202</v>
      </c>
      <c r="BJ103" s="101">
        <f>(BH103*($AC$1+1)*0.002488974)/($AC$1+1)*Module!$I$5*Module!$I$7</f>
        <v>45.656234094813776</v>
      </c>
      <c r="BK103" s="101">
        <f>$P$120*Module!$I$7*X103*Module!$I$5</f>
        <v>0</v>
      </c>
      <c r="BL103" s="151">
        <f t="shared" si="30"/>
        <v>247.65623409481378</v>
      </c>
    </row>
    <row r="104" spans="3:183" ht="15.75" hidden="1" customHeight="1" thickBot="1">
      <c r="W104" s="777"/>
      <c r="X104" s="121">
        <f t="shared" si="32"/>
        <v>1</v>
      </c>
      <c r="Y104" s="122">
        <f>'calcul pneu pour calculateur'!P105</f>
        <v>139.60054211016694</v>
      </c>
      <c r="Z104" s="123">
        <f t="shared" si="40"/>
        <v>279.20108422033388</v>
      </c>
      <c r="AA104" s="123">
        <f t="shared" si="17"/>
        <v>418.80162633050082</v>
      </c>
      <c r="AB104" s="123">
        <f t="shared" si="18"/>
        <v>558.40216844066777</v>
      </c>
      <c r="AC104" s="123">
        <f t="shared" si="19"/>
        <v>698.00271055083476</v>
      </c>
      <c r="AD104" s="123"/>
      <c r="AK104" s="121">
        <f t="shared" si="33"/>
        <v>1</v>
      </c>
      <c r="AL104" s="101">
        <f t="shared" ref="AL104:AL167" si="44">$H$62</f>
        <v>0</v>
      </c>
      <c r="AM104" s="101">
        <f>10+Module!$K$57/($Z$1+1)</f>
        <v>133.65759122654444</v>
      </c>
      <c r="AN104" s="101">
        <f>$Z$1*(25+Module!$I$6)</f>
        <v>50.5</v>
      </c>
      <c r="AO104" s="101">
        <f>(AM104*($Z$1+1)*0.002488974)/($Z$1+1)*Module!$I$5*Module!$I$7</f>
        <v>102.62345540579445</v>
      </c>
      <c r="AP104" s="101">
        <f>$P$120*Module!$I$7*X104*Module!$I$5</f>
        <v>2.2580795855898352</v>
      </c>
      <c r="AQ104" s="151">
        <f t="shared" si="24"/>
        <v>1000000</v>
      </c>
      <c r="AS104" s="101">
        <f t="shared" ref="AS104:AS167" si="45">$H$62</f>
        <v>0</v>
      </c>
      <c r="AT104" s="101">
        <f>10+Module!$K$57/($AA$1+1)</f>
        <v>92.438394151029627</v>
      </c>
      <c r="AU104" s="101">
        <f>$AA$1*(25+Module!$I$6)</f>
        <v>101</v>
      </c>
      <c r="AV104" s="101">
        <f>(AT104*($Z$1+1)*0.002488974)/($Z$1+1)*Module!$I$5*Module!$I$7</f>
        <v>70.974999121916298</v>
      </c>
      <c r="AW104" s="101">
        <f>$P$120*Module!$I$7*X104*Module!$I$5</f>
        <v>2.2580795855898352</v>
      </c>
      <c r="AX104" s="151">
        <f t="shared" si="26"/>
        <v>1000000</v>
      </c>
      <c r="AZ104" s="101">
        <f t="shared" ref="AZ104:AZ167" si="46">$H$62</f>
        <v>0</v>
      </c>
      <c r="BA104" s="101">
        <f>10+Module!$K$57/($AB$1+1)</f>
        <v>71.82879561327222</v>
      </c>
      <c r="BB104" s="101">
        <f>$AB$1*(25+Module!$I$6)</f>
        <v>151.5</v>
      </c>
      <c r="BC104" s="101">
        <f>(BA104*($AB$1+1)*0.002488974)/($AB$1+1)*Module!$I$5*Module!$I$7</f>
        <v>55.150770979977231</v>
      </c>
      <c r="BD104" s="101">
        <f>$P$120*Module!$I$7*X104*Module!$I$5</f>
        <v>2.2580795855898352</v>
      </c>
      <c r="BE104" s="151">
        <f t="shared" si="28"/>
        <v>1000000</v>
      </c>
      <c r="BG104" s="101">
        <f t="shared" ref="BG104:BG167" si="47">$H$62</f>
        <v>0</v>
      </c>
      <c r="BH104" s="101">
        <f>10+Module!$K$57/($AC$1+1)</f>
        <v>59.463036490617775</v>
      </c>
      <c r="BI104" s="101">
        <f>$AC$1*(25+Module!$I$6)</f>
        <v>202</v>
      </c>
      <c r="BJ104" s="101">
        <f>(BH104*($AC$1+1)*0.002488974)/($AC$1+1)*Module!$I$5*Module!$I$7</f>
        <v>45.656234094813776</v>
      </c>
      <c r="BK104" s="101">
        <f>$P$120*Module!$I$7*X104*Module!$I$5</f>
        <v>2.2580795855898352</v>
      </c>
      <c r="BL104" s="151">
        <f t="shared" si="30"/>
        <v>1000000</v>
      </c>
    </row>
    <row r="105" spans="3:183" ht="15.75" hidden="1" customHeight="1" thickBot="1">
      <c r="W105" s="777"/>
      <c r="X105" s="121">
        <f t="shared" si="32"/>
        <v>2</v>
      </c>
      <c r="Y105" s="122">
        <f>'calcul pneu pour calculateur'!P106</f>
        <v>139.2471480071568</v>
      </c>
      <c r="Z105" s="123">
        <f t="shared" si="40"/>
        <v>278.49429601431359</v>
      </c>
      <c r="AA105" s="123">
        <f t="shared" si="17"/>
        <v>417.74144402147039</v>
      </c>
      <c r="AB105" s="123">
        <f t="shared" si="18"/>
        <v>556.98859202862718</v>
      </c>
      <c r="AC105" s="123">
        <f t="shared" si="19"/>
        <v>696.23574003578392</v>
      </c>
      <c r="AD105" s="123"/>
      <c r="AK105" s="121">
        <f t="shared" si="33"/>
        <v>2</v>
      </c>
      <c r="AL105" s="101">
        <f t="shared" si="44"/>
        <v>0</v>
      </c>
      <c r="AM105" s="101">
        <f>10+Module!$K$57/($Z$1+1)</f>
        <v>133.65759122654444</v>
      </c>
      <c r="AN105" s="101">
        <f>$Z$1*(25+Module!$I$6)</f>
        <v>50.5</v>
      </c>
      <c r="AO105" s="101">
        <f>(AM105*($Z$1+1)*0.002488974)/($Z$1+1)*Module!$I$5*Module!$I$7</f>
        <v>102.62345540579445</v>
      </c>
      <c r="AP105" s="101">
        <f>$P$120*Module!$I$7*X105*Module!$I$5</f>
        <v>4.5161591711796705</v>
      </c>
      <c r="AQ105" s="151">
        <f t="shared" si="24"/>
        <v>1000000</v>
      </c>
      <c r="AS105" s="101">
        <f t="shared" si="45"/>
        <v>0</v>
      </c>
      <c r="AT105" s="101">
        <f>10+Module!$K$57/($AA$1+1)</f>
        <v>92.438394151029627</v>
      </c>
      <c r="AU105" s="101">
        <f>$AA$1*(25+Module!$I$6)</f>
        <v>101</v>
      </c>
      <c r="AV105" s="101">
        <f>(AT105*($Z$1+1)*0.002488974)/($Z$1+1)*Module!$I$5*Module!$I$7</f>
        <v>70.974999121916298</v>
      </c>
      <c r="AW105" s="101">
        <f>$P$120*Module!$I$7*X105*Module!$I$5</f>
        <v>4.5161591711796705</v>
      </c>
      <c r="AX105" s="151">
        <f t="shared" si="26"/>
        <v>1000000</v>
      </c>
      <c r="AZ105" s="101">
        <f t="shared" si="46"/>
        <v>0</v>
      </c>
      <c r="BA105" s="101">
        <f>10+Module!$K$57/($AB$1+1)</f>
        <v>71.82879561327222</v>
      </c>
      <c r="BB105" s="101">
        <f>$AB$1*(25+Module!$I$6)</f>
        <v>151.5</v>
      </c>
      <c r="BC105" s="101">
        <f>(BA105*($AB$1+1)*0.002488974)/($AB$1+1)*Module!$I$5*Module!$I$7</f>
        <v>55.150770979977231</v>
      </c>
      <c r="BD105" s="101">
        <f>$P$120*Module!$I$7*X105*Module!$I$5</f>
        <v>4.5161591711796705</v>
      </c>
      <c r="BE105" s="151">
        <f t="shared" si="28"/>
        <v>1000000</v>
      </c>
      <c r="BG105" s="101">
        <f t="shared" si="47"/>
        <v>0</v>
      </c>
      <c r="BH105" s="101">
        <f>10+Module!$K$57/($AC$1+1)</f>
        <v>59.463036490617775</v>
      </c>
      <c r="BI105" s="101">
        <f>$AC$1*(25+Module!$I$6)</f>
        <v>202</v>
      </c>
      <c r="BJ105" s="101">
        <f>(BH105*($AC$1+1)*0.002488974)/($AC$1+1)*Module!$I$5*Module!$I$7</f>
        <v>45.656234094813776</v>
      </c>
      <c r="BK105" s="101">
        <f>$P$120*Module!$I$7*X105*Module!$I$5</f>
        <v>4.5161591711796705</v>
      </c>
      <c r="BL105" s="151">
        <f t="shared" si="30"/>
        <v>1000000</v>
      </c>
    </row>
    <row r="106" spans="3:183" ht="15.75" hidden="1" customHeight="1" thickBot="1">
      <c r="W106" s="777"/>
      <c r="X106" s="121">
        <f t="shared" si="32"/>
        <v>3</v>
      </c>
      <c r="Y106" s="122">
        <f>'calcul pneu pour calculateur'!P107</f>
        <v>138.89375390414665</v>
      </c>
      <c r="Z106" s="123">
        <f t="shared" si="40"/>
        <v>277.7875078082933</v>
      </c>
      <c r="AA106" s="123">
        <f t="shared" si="17"/>
        <v>416.68126171243995</v>
      </c>
      <c r="AB106" s="123">
        <f t="shared" si="18"/>
        <v>555.5750156165866</v>
      </c>
      <c r="AC106" s="123">
        <f t="shared" si="19"/>
        <v>694.4687695207333</v>
      </c>
      <c r="AD106" s="123"/>
      <c r="AK106" s="121">
        <f t="shared" si="33"/>
        <v>3</v>
      </c>
      <c r="AL106" s="101">
        <f t="shared" si="44"/>
        <v>0</v>
      </c>
      <c r="AM106" s="101">
        <f>10+Module!$K$57/($Z$1+1)</f>
        <v>133.65759122654444</v>
      </c>
      <c r="AN106" s="101">
        <f>$Z$1*(25+Module!$I$6)</f>
        <v>50.5</v>
      </c>
      <c r="AO106" s="101">
        <f>(AM106*($Z$1+1)*0.002488974)/($Z$1+1)*Module!$I$5*Module!$I$7</f>
        <v>102.62345540579445</v>
      </c>
      <c r="AP106" s="101">
        <f>$P$120*Module!$I$7*X106*Module!$I$5</f>
        <v>6.774238756769507</v>
      </c>
      <c r="AQ106" s="151">
        <f t="shared" si="24"/>
        <v>1000000</v>
      </c>
      <c r="AS106" s="101">
        <f t="shared" si="45"/>
        <v>0</v>
      </c>
      <c r="AT106" s="101">
        <f>10+Module!$K$57/($AA$1+1)</f>
        <v>92.438394151029627</v>
      </c>
      <c r="AU106" s="101">
        <f>$AA$1*(25+Module!$I$6)</f>
        <v>101</v>
      </c>
      <c r="AV106" s="101">
        <f>(AT106*($Z$1+1)*0.002488974)/($Z$1+1)*Module!$I$5*Module!$I$7</f>
        <v>70.974999121916298</v>
      </c>
      <c r="AW106" s="101">
        <f>$P$120*Module!$I$7*X106*Module!$I$5</f>
        <v>6.774238756769507</v>
      </c>
      <c r="AX106" s="151">
        <f t="shared" si="26"/>
        <v>1000000</v>
      </c>
      <c r="AZ106" s="101">
        <f t="shared" si="46"/>
        <v>0</v>
      </c>
      <c r="BA106" s="101">
        <f>10+Module!$K$57/($AB$1+1)</f>
        <v>71.82879561327222</v>
      </c>
      <c r="BB106" s="101">
        <f>$AB$1*(25+Module!$I$6)</f>
        <v>151.5</v>
      </c>
      <c r="BC106" s="101">
        <f>(BA106*($AB$1+1)*0.002488974)/($AB$1+1)*Module!$I$5*Module!$I$7</f>
        <v>55.150770979977231</v>
      </c>
      <c r="BD106" s="101">
        <f>$P$120*Module!$I$7*X106*Module!$I$5</f>
        <v>6.774238756769507</v>
      </c>
      <c r="BE106" s="151">
        <f t="shared" si="28"/>
        <v>1000000</v>
      </c>
      <c r="BG106" s="101">
        <f t="shared" si="47"/>
        <v>0</v>
      </c>
      <c r="BH106" s="101">
        <f>10+Module!$K$57/($AC$1+1)</f>
        <v>59.463036490617775</v>
      </c>
      <c r="BI106" s="101">
        <f>$AC$1*(25+Module!$I$6)</f>
        <v>202</v>
      </c>
      <c r="BJ106" s="101">
        <f>(BH106*($AC$1+1)*0.002488974)/($AC$1+1)*Module!$I$5*Module!$I$7</f>
        <v>45.656234094813776</v>
      </c>
      <c r="BK106" s="101">
        <f>$P$120*Module!$I$7*X106*Module!$I$5</f>
        <v>6.774238756769507</v>
      </c>
      <c r="BL106" s="151">
        <f t="shared" si="30"/>
        <v>1000000</v>
      </c>
    </row>
    <row r="107" spans="3:183" ht="19.5" hidden="1" customHeight="1" thickBot="1">
      <c r="I107" s="124">
        <f>IF(J69&lt;&gt;"-",ROUNDUP(J69*Module!$J57*VLOOKUP(Module!$H$2,INFO!$A$3:$G$65,7,0),0),"-")</f>
        <v>66</v>
      </c>
      <c r="J107" s="124">
        <f>IF(K69&lt;&gt;"-",ROUNDUP(K69*Module!$J57*VLOOKUP(Module!$H$2,INFO!$A$3:$G$65,7,0),0),"-")</f>
        <v>61</v>
      </c>
      <c r="K107" s="124">
        <f>IF(L69&lt;&gt;"-",ROUNDUP(L69*Module!$J57*VLOOKUP(Module!$H$2,INFO!$A$3:$G$65,7,0),0),"-")</f>
        <v>61</v>
      </c>
      <c r="L107" s="124">
        <f>IF(M69&lt;&gt;"-",ROUNDUP(M69*Module!$J57*VLOOKUP(Module!$H$2,INFO!$A$3:$G$65,7,0),0),"-")</f>
        <v>61</v>
      </c>
      <c r="M107" s="124" t="str">
        <f>IF(N69&lt;&gt;"-",ROUNDUP(N69*Module!$J57*VLOOKUP(Module!$H$2,INFO!$A$3:$G$65,7,0),0),"-")</f>
        <v>-</v>
      </c>
      <c r="W107" s="777"/>
      <c r="X107" s="121">
        <f t="shared" si="32"/>
        <v>4</v>
      </c>
      <c r="Y107" s="122">
        <f>'calcul pneu pour calculateur'!P108</f>
        <v>138.5403598011365</v>
      </c>
      <c r="Z107" s="123">
        <f t="shared" ref="Z107:Z170" si="48">Y107*2</f>
        <v>277.08071960227301</v>
      </c>
      <c r="AA107" s="123">
        <f t="shared" ref="AA107:AA170" si="49">Y107*3</f>
        <v>415.62107940340951</v>
      </c>
      <c r="AB107" s="123">
        <f t="shared" ref="AB107:AB170" si="50">Y107*4</f>
        <v>554.16143920454601</v>
      </c>
      <c r="AC107" s="123">
        <f t="shared" ref="AC107:AC170" si="51">Y107*5</f>
        <v>692.70179900568246</v>
      </c>
      <c r="AK107" s="121">
        <f t="shared" si="33"/>
        <v>4</v>
      </c>
      <c r="AL107" s="101">
        <f t="shared" si="44"/>
        <v>0</v>
      </c>
      <c r="AM107" s="101">
        <f>10+Module!$K$57/($Z$1+1)</f>
        <v>133.65759122654444</v>
      </c>
      <c r="AN107" s="101">
        <f>$Z$1*(25+Module!$I$6)</f>
        <v>50.5</v>
      </c>
      <c r="AO107" s="101">
        <f>(AM107*($Z$1+1)*0.002488974)/($Z$1+1)*Module!$I$5*Module!$I$7</f>
        <v>102.62345540579445</v>
      </c>
      <c r="AP107" s="101">
        <f>$P$120*Module!$I$7*X107*Module!$I$5</f>
        <v>9.0323183423593409</v>
      </c>
      <c r="AQ107" s="151">
        <f t="shared" si="24"/>
        <v>1000000</v>
      </c>
      <c r="AS107" s="101">
        <f t="shared" si="45"/>
        <v>0</v>
      </c>
      <c r="AT107" s="101">
        <f>10+Module!$K$57/($AA$1+1)</f>
        <v>92.438394151029627</v>
      </c>
      <c r="AU107" s="101">
        <f>$AA$1*(25+Module!$I$6)</f>
        <v>101</v>
      </c>
      <c r="AV107" s="101">
        <f>(AT107*($Z$1+1)*0.002488974)/($Z$1+1)*Module!$I$5*Module!$I$7</f>
        <v>70.974999121916298</v>
      </c>
      <c r="AW107" s="101">
        <f>$P$120*Module!$I$7*X107*Module!$I$5</f>
        <v>9.0323183423593409</v>
      </c>
      <c r="AX107" s="151">
        <f t="shared" si="26"/>
        <v>1000000</v>
      </c>
      <c r="AZ107" s="101">
        <f t="shared" si="46"/>
        <v>0</v>
      </c>
      <c r="BA107" s="101">
        <f>10+Module!$K$57/($AB$1+1)</f>
        <v>71.82879561327222</v>
      </c>
      <c r="BB107" s="101">
        <f>$AB$1*(25+Module!$I$6)</f>
        <v>151.5</v>
      </c>
      <c r="BC107" s="101">
        <f>(BA107*($AB$1+1)*0.002488974)/($AB$1+1)*Module!$I$5*Module!$I$7</f>
        <v>55.150770979977231</v>
      </c>
      <c r="BD107" s="101">
        <f>$P$120*Module!$I$7*X107*Module!$I$5</f>
        <v>9.0323183423593409</v>
      </c>
      <c r="BE107" s="151">
        <f t="shared" si="28"/>
        <v>1000000</v>
      </c>
      <c r="BG107" s="101">
        <f t="shared" si="47"/>
        <v>0</v>
      </c>
      <c r="BH107" s="101">
        <f>10+Module!$K$57/($AC$1+1)</f>
        <v>59.463036490617775</v>
      </c>
      <c r="BI107" s="101">
        <f>$AC$1*(25+Module!$I$6)</f>
        <v>202</v>
      </c>
      <c r="BJ107" s="101">
        <f>(BH107*($AC$1+1)*0.002488974)/($AC$1+1)*Module!$I$5*Module!$I$7</f>
        <v>45.656234094813776</v>
      </c>
      <c r="BK107" s="101">
        <f>$P$120*Module!$I$7*X107*Module!$I$5</f>
        <v>9.0323183423593409</v>
      </c>
      <c r="BL107" s="151">
        <f t="shared" si="30"/>
        <v>1000000</v>
      </c>
    </row>
    <row r="108" spans="3:183" ht="19.5" hidden="1" customHeight="1" thickBot="1">
      <c r="I108" s="124">
        <f>IF(J77&lt;&gt;"-",ROUNDUP(J77*Module!$J57*VLOOKUP(Module!$H$2,INFO!$A$3:$G$65,7,0),0),"-")</f>
        <v>83</v>
      </c>
      <c r="J108" s="124">
        <f>IF(K77&lt;&gt;"-",ROUNDUP(K77*Module!$J57*VLOOKUP(Module!$H$2,INFO!$A$3:$G$65,7,0),0),"-")</f>
        <v>83</v>
      </c>
      <c r="K108" s="124">
        <f>IF(L77&lt;&gt;"-",ROUNDUP(L77*Module!$J57*VLOOKUP(Module!$H$2,INFO!$A$3:$G$65,7,0),0),"-")</f>
        <v>83</v>
      </c>
      <c r="L108" s="124" t="str">
        <f>IF(M77&lt;&gt;"-",ROUNDUP(M77*Module!$J57*VLOOKUP(Module!$H$2,INFO!$A$3:$G$65,7,0),0),"-")</f>
        <v>-</v>
      </c>
      <c r="M108" s="124" t="str">
        <f>IF(N77&lt;&gt;"-",ROUNDUP(N77*Module!$J57*VLOOKUP(Module!$H$2,INFO!$A$3:$G$65,7,0),0),"-")</f>
        <v>-</v>
      </c>
      <c r="W108" s="777"/>
      <c r="X108" s="121">
        <f t="shared" si="32"/>
        <v>5</v>
      </c>
      <c r="Y108" s="122">
        <f>'calcul pneu pour calculateur'!P109</f>
        <v>138.18696569812636</v>
      </c>
      <c r="Z108" s="123">
        <f t="shared" si="48"/>
        <v>276.37393139625271</v>
      </c>
      <c r="AA108" s="123">
        <f t="shared" si="49"/>
        <v>414.56089709437907</v>
      </c>
      <c r="AB108" s="123">
        <f t="shared" si="50"/>
        <v>552.74786279250543</v>
      </c>
      <c r="AC108" s="123">
        <f t="shared" si="51"/>
        <v>690.93482849063184</v>
      </c>
      <c r="AK108" s="121">
        <f t="shared" si="33"/>
        <v>5</v>
      </c>
      <c r="AL108" s="101">
        <f t="shared" si="44"/>
        <v>0</v>
      </c>
      <c r="AM108" s="101">
        <f>10+Module!$K$57/($Z$1+1)</f>
        <v>133.65759122654444</v>
      </c>
      <c r="AN108" s="101">
        <f>$Z$1*(25+Module!$I$6)</f>
        <v>50.5</v>
      </c>
      <c r="AO108" s="101">
        <f>(AM108*($Z$1+1)*0.002488974)/($Z$1+1)*Module!$I$5*Module!$I$7</f>
        <v>102.62345540579445</v>
      </c>
      <c r="AP108" s="101">
        <f>$P$120*Module!$I$7*X108*Module!$I$5</f>
        <v>11.290397927949178</v>
      </c>
      <c r="AQ108" s="151">
        <f t="shared" si="24"/>
        <v>1000000</v>
      </c>
      <c r="AS108" s="101">
        <f t="shared" si="45"/>
        <v>0</v>
      </c>
      <c r="AT108" s="101">
        <f>10+Module!$K$57/($AA$1+1)</f>
        <v>92.438394151029627</v>
      </c>
      <c r="AU108" s="101">
        <f>$AA$1*(25+Module!$I$6)</f>
        <v>101</v>
      </c>
      <c r="AV108" s="101">
        <f>(AT108*($Z$1+1)*0.002488974)/($Z$1+1)*Module!$I$5*Module!$I$7</f>
        <v>70.974999121916298</v>
      </c>
      <c r="AW108" s="101">
        <f>$P$120*Module!$I$7*X108*Module!$I$5</f>
        <v>11.290397927949178</v>
      </c>
      <c r="AX108" s="151">
        <f t="shared" si="26"/>
        <v>1000000</v>
      </c>
      <c r="AZ108" s="101">
        <f t="shared" si="46"/>
        <v>0</v>
      </c>
      <c r="BA108" s="101">
        <f>10+Module!$K$57/($AB$1+1)</f>
        <v>71.82879561327222</v>
      </c>
      <c r="BB108" s="101">
        <f>$AB$1*(25+Module!$I$6)</f>
        <v>151.5</v>
      </c>
      <c r="BC108" s="101">
        <f>(BA108*($AB$1+1)*0.002488974)/($AB$1+1)*Module!$I$5*Module!$I$7</f>
        <v>55.150770979977231</v>
      </c>
      <c r="BD108" s="101">
        <f>$P$120*Module!$I$7*X108*Module!$I$5</f>
        <v>11.290397927949178</v>
      </c>
      <c r="BE108" s="151">
        <f t="shared" si="28"/>
        <v>1000000</v>
      </c>
      <c r="BG108" s="101">
        <f t="shared" si="47"/>
        <v>0</v>
      </c>
      <c r="BH108" s="101">
        <f>10+Module!$K$57/($AC$1+1)</f>
        <v>59.463036490617775</v>
      </c>
      <c r="BI108" s="101">
        <f>$AC$1*(25+Module!$I$6)</f>
        <v>202</v>
      </c>
      <c r="BJ108" s="101">
        <f>(BH108*($AC$1+1)*0.002488974)/($AC$1+1)*Module!$I$5*Module!$I$7</f>
        <v>45.656234094813776</v>
      </c>
      <c r="BK108" s="101">
        <f>$P$120*Module!$I$7*X108*Module!$I$5</f>
        <v>11.290397927949178</v>
      </c>
      <c r="BL108" s="151">
        <f t="shared" si="30"/>
        <v>1000000</v>
      </c>
    </row>
    <row r="109" spans="3:183" ht="19.5" hidden="1" customHeight="1" thickBot="1">
      <c r="I109" s="124">
        <f>IF(J85&lt;&gt;"-",ROUNDUP(J85*Module!$J57*VLOOKUP(Module!$H$2,INFO!$A$3:$G$65,7,0),0),"-")</f>
        <v>126</v>
      </c>
      <c r="J109" s="124">
        <f>IF(K85&lt;&gt;"-",ROUNDUP(K85*Module!$J57*VLOOKUP(Module!$H$2,INFO!$A$3:$G$65,7,0),0),"-")</f>
        <v>122</v>
      </c>
      <c r="K109" s="124" t="str">
        <f>IF(L85&lt;&gt;"-",ROUNDUP(L85*Module!$J57*VLOOKUP(Module!$H$2,INFO!$A$3:$G$65,7,0),0),"-")</f>
        <v>-</v>
      </c>
      <c r="L109" s="124" t="str">
        <f>IF(M85&lt;&gt;"-",ROUNDUP(M85*Module!$J57*VLOOKUP(Module!$H$2,INFO!$A$3:$G$65,7,0),0),"-")</f>
        <v>-</v>
      </c>
      <c r="M109" s="124" t="str">
        <f>IF(N85&lt;&gt;"-",ROUNDUP(N85*Module!$J57*VLOOKUP(Module!$H$2,INFO!$A$3:$G$65,7,0),0),"-")</f>
        <v>-</v>
      </c>
      <c r="T109" s="101" t="e">
        <v>#N/A</v>
      </c>
      <c r="W109" s="777"/>
      <c r="X109" s="121">
        <f t="shared" si="32"/>
        <v>6</v>
      </c>
      <c r="Y109" s="122">
        <f>'calcul pneu pour calculateur'!P110</f>
        <v>137.83357159511621</v>
      </c>
      <c r="Z109" s="123">
        <f t="shared" si="48"/>
        <v>275.66714319023242</v>
      </c>
      <c r="AA109" s="123">
        <f t="shared" si="49"/>
        <v>413.50071478534863</v>
      </c>
      <c r="AB109" s="123">
        <f t="shared" si="50"/>
        <v>551.33428638046485</v>
      </c>
      <c r="AC109" s="123">
        <f t="shared" si="51"/>
        <v>689.167857975581</v>
      </c>
      <c r="AK109" s="121">
        <f t="shared" si="33"/>
        <v>6</v>
      </c>
      <c r="AL109" s="101">
        <f t="shared" si="44"/>
        <v>0</v>
      </c>
      <c r="AM109" s="101">
        <f>10+Module!$K$57/($Z$1+1)</f>
        <v>133.65759122654444</v>
      </c>
      <c r="AN109" s="101">
        <f>$Z$1*(25+Module!$I$6)</f>
        <v>50.5</v>
      </c>
      <c r="AO109" s="101">
        <f>(AM109*($Z$1+1)*0.002488974)/($Z$1+1)*Module!$I$5*Module!$I$7</f>
        <v>102.62345540579445</v>
      </c>
      <c r="AP109" s="101">
        <f>$P$120*Module!$I$7*X109*Module!$I$5</f>
        <v>13.548477513539014</v>
      </c>
      <c r="AQ109" s="151">
        <f t="shared" si="24"/>
        <v>1000000</v>
      </c>
      <c r="AS109" s="101">
        <f t="shared" si="45"/>
        <v>0</v>
      </c>
      <c r="AT109" s="101">
        <f>10+Module!$K$57/($AA$1+1)</f>
        <v>92.438394151029627</v>
      </c>
      <c r="AU109" s="101">
        <f>$AA$1*(25+Module!$I$6)</f>
        <v>101</v>
      </c>
      <c r="AV109" s="101">
        <f>(AT109*($Z$1+1)*0.002488974)/($Z$1+1)*Module!$I$5*Module!$I$7</f>
        <v>70.974999121916298</v>
      </c>
      <c r="AW109" s="101">
        <f>$P$120*Module!$I$7*X109*Module!$I$5</f>
        <v>13.548477513539014</v>
      </c>
      <c r="AX109" s="151">
        <f t="shared" si="26"/>
        <v>1000000</v>
      </c>
      <c r="AZ109" s="101">
        <f t="shared" si="46"/>
        <v>0</v>
      </c>
      <c r="BA109" s="101">
        <f>10+Module!$K$57/($AB$1+1)</f>
        <v>71.82879561327222</v>
      </c>
      <c r="BB109" s="101">
        <f>$AB$1*(25+Module!$I$6)</f>
        <v>151.5</v>
      </c>
      <c r="BC109" s="101">
        <f>(BA109*($AB$1+1)*0.002488974)/($AB$1+1)*Module!$I$5*Module!$I$7</f>
        <v>55.150770979977231</v>
      </c>
      <c r="BD109" s="101">
        <f>$P$120*Module!$I$7*X109*Module!$I$5</f>
        <v>13.548477513539014</v>
      </c>
      <c r="BE109" s="151">
        <f t="shared" si="28"/>
        <v>1000000</v>
      </c>
      <c r="BG109" s="101">
        <f t="shared" si="47"/>
        <v>0</v>
      </c>
      <c r="BH109" s="101">
        <f>10+Module!$K$57/($AC$1+1)</f>
        <v>59.463036490617775</v>
      </c>
      <c r="BI109" s="101">
        <f>$AC$1*(25+Module!$I$6)</f>
        <v>202</v>
      </c>
      <c r="BJ109" s="101">
        <f>(BH109*($AC$1+1)*0.002488974)/($AC$1+1)*Module!$I$5*Module!$I$7</f>
        <v>45.656234094813776</v>
      </c>
      <c r="BK109" s="101">
        <f>$P$120*Module!$I$7*X109*Module!$I$5</f>
        <v>13.548477513539014</v>
      </c>
      <c r="BL109" s="151">
        <f t="shared" si="30"/>
        <v>1000000</v>
      </c>
    </row>
    <row r="110" spans="3:183" ht="19.5" hidden="1" customHeight="1" thickBot="1">
      <c r="I110" s="124">
        <f>IF(J93&lt;&gt;"-",ROUNDUP(J93*Module!$J57*VLOOKUP(Module!$H$2,INFO!$A$3:$G$65,7,0),0),"-")</f>
        <v>126</v>
      </c>
      <c r="J110" s="124">
        <f>IF(K93&lt;&gt;"-",ROUNDUP(K93*Module!$J57*VLOOKUP(Module!$H$2,INFO!$A$3:$G$65,7,0),0),"-")</f>
        <v>122</v>
      </c>
      <c r="K110" s="124" t="str">
        <f>IF(L93&lt;&gt;"-",ROUNDUP(L93*Module!$J57*VLOOKUP(Module!$H$2,INFO!$A$3:$G$65,7,0),0),"-")</f>
        <v>-</v>
      </c>
      <c r="L110" s="124" t="str">
        <f>IF(M93&lt;&gt;"-",ROUNDUP(M93*Module!$J57*VLOOKUP(Module!$H$2,INFO!$A$3:$G$65,7,0),0),"-")</f>
        <v>-</v>
      </c>
      <c r="M110" s="124" t="str">
        <f>IF(N93&lt;&gt;"-",ROUNDUP(N93*Module!$J57*VLOOKUP(Module!$H$2,INFO!$A$3:$G$65,7,0),0),"-")</f>
        <v>-</v>
      </c>
      <c r="W110" s="777"/>
      <c r="X110" s="121">
        <f t="shared" si="32"/>
        <v>7</v>
      </c>
      <c r="Y110" s="122">
        <f>'calcul pneu pour calculateur'!P111</f>
        <v>137.48017749210607</v>
      </c>
      <c r="Z110" s="123">
        <f t="shared" si="48"/>
        <v>274.96035498421213</v>
      </c>
      <c r="AA110" s="123">
        <f t="shared" si="49"/>
        <v>412.4405324763182</v>
      </c>
      <c r="AB110" s="123">
        <f t="shared" si="50"/>
        <v>549.92070996842426</v>
      </c>
      <c r="AC110" s="123">
        <f t="shared" si="51"/>
        <v>687.40088746053038</v>
      </c>
      <c r="AK110" s="121">
        <f t="shared" si="33"/>
        <v>7</v>
      </c>
      <c r="AL110" s="101">
        <f t="shared" si="44"/>
        <v>0</v>
      </c>
      <c r="AM110" s="101">
        <f>10+Module!$K$57/($Z$1+1)</f>
        <v>133.65759122654444</v>
      </c>
      <c r="AN110" s="101">
        <f>$Z$1*(25+Module!$I$6)</f>
        <v>50.5</v>
      </c>
      <c r="AO110" s="101">
        <f>(AM110*($Z$1+1)*0.002488974)/($Z$1+1)*Module!$I$5*Module!$I$7</f>
        <v>102.62345540579445</v>
      </c>
      <c r="AP110" s="101">
        <f>$P$120*Module!$I$7*X110*Module!$I$5</f>
        <v>15.806557099128847</v>
      </c>
      <c r="AQ110" s="151">
        <f t="shared" si="24"/>
        <v>1000000</v>
      </c>
      <c r="AS110" s="101">
        <f t="shared" si="45"/>
        <v>0</v>
      </c>
      <c r="AT110" s="101">
        <f>10+Module!$K$57/($AA$1+1)</f>
        <v>92.438394151029627</v>
      </c>
      <c r="AU110" s="101">
        <f>$AA$1*(25+Module!$I$6)</f>
        <v>101</v>
      </c>
      <c r="AV110" s="101">
        <f>(AT110*($Z$1+1)*0.002488974)/($Z$1+1)*Module!$I$5*Module!$I$7</f>
        <v>70.974999121916298</v>
      </c>
      <c r="AW110" s="101">
        <f>$P$120*Module!$I$7*X110*Module!$I$5</f>
        <v>15.806557099128847</v>
      </c>
      <c r="AX110" s="151">
        <f t="shared" si="26"/>
        <v>1000000</v>
      </c>
      <c r="AZ110" s="101">
        <f t="shared" si="46"/>
        <v>0</v>
      </c>
      <c r="BA110" s="101">
        <f>10+Module!$K$57/($AB$1+1)</f>
        <v>71.82879561327222</v>
      </c>
      <c r="BB110" s="101">
        <f>$AB$1*(25+Module!$I$6)</f>
        <v>151.5</v>
      </c>
      <c r="BC110" s="101">
        <f>(BA110*($AB$1+1)*0.002488974)/($AB$1+1)*Module!$I$5*Module!$I$7</f>
        <v>55.150770979977231</v>
      </c>
      <c r="BD110" s="101">
        <f>$P$120*Module!$I$7*X110*Module!$I$5</f>
        <v>15.806557099128847</v>
      </c>
      <c r="BE110" s="151">
        <f t="shared" si="28"/>
        <v>1000000</v>
      </c>
      <c r="BG110" s="101">
        <f t="shared" si="47"/>
        <v>0</v>
      </c>
      <c r="BH110" s="101">
        <f>10+Module!$K$57/($AC$1+1)</f>
        <v>59.463036490617775</v>
      </c>
      <c r="BI110" s="101">
        <f>$AC$1*(25+Module!$I$6)</f>
        <v>202</v>
      </c>
      <c r="BJ110" s="101">
        <f>(BH110*($AC$1+1)*0.002488974)/($AC$1+1)*Module!$I$5*Module!$I$7</f>
        <v>45.656234094813776</v>
      </c>
      <c r="BK110" s="101">
        <f>$P$120*Module!$I$7*X110*Module!$I$5</f>
        <v>15.806557099128847</v>
      </c>
      <c r="BL110" s="151">
        <f t="shared" si="30"/>
        <v>1000000</v>
      </c>
    </row>
    <row r="111" spans="3:183" ht="19.5" hidden="1" customHeight="1" thickBot="1">
      <c r="W111" s="777"/>
      <c r="X111" s="121">
        <f t="shared" si="32"/>
        <v>8</v>
      </c>
      <c r="Y111" s="122">
        <f>'calcul pneu pour calculateur'!P112</f>
        <v>137.12678338909592</v>
      </c>
      <c r="Z111" s="123">
        <f t="shared" si="48"/>
        <v>274.25356677819184</v>
      </c>
      <c r="AA111" s="123">
        <f t="shared" si="49"/>
        <v>411.38035016728776</v>
      </c>
      <c r="AB111" s="123">
        <f t="shared" si="50"/>
        <v>548.50713355638368</v>
      </c>
      <c r="AC111" s="123">
        <f t="shared" si="51"/>
        <v>685.63391694547954</v>
      </c>
      <c r="AK111" s="121">
        <f t="shared" si="33"/>
        <v>8</v>
      </c>
      <c r="AL111" s="101">
        <f t="shared" si="44"/>
        <v>0</v>
      </c>
      <c r="AM111" s="101">
        <f>10+Module!$K$57/($Z$1+1)</f>
        <v>133.65759122654444</v>
      </c>
      <c r="AN111" s="101">
        <f>$Z$1*(25+Module!$I$6)</f>
        <v>50.5</v>
      </c>
      <c r="AO111" s="101">
        <f>(AM111*($Z$1+1)*0.002488974)/($Z$1+1)*Module!$I$5*Module!$I$7</f>
        <v>102.62345540579445</v>
      </c>
      <c r="AP111" s="101">
        <f>$P$120*Module!$I$7*X111*Module!$I$5</f>
        <v>18.064636684718682</v>
      </c>
      <c r="AQ111" s="151">
        <f t="shared" si="24"/>
        <v>1000000</v>
      </c>
      <c r="AS111" s="101">
        <f t="shared" si="45"/>
        <v>0</v>
      </c>
      <c r="AT111" s="101">
        <f>10+Module!$K$57/($AA$1+1)</f>
        <v>92.438394151029627</v>
      </c>
      <c r="AU111" s="101">
        <f>$AA$1*(25+Module!$I$6)</f>
        <v>101</v>
      </c>
      <c r="AV111" s="101">
        <f>(AT111*($Z$1+1)*0.002488974)/($Z$1+1)*Module!$I$5*Module!$I$7</f>
        <v>70.974999121916298</v>
      </c>
      <c r="AW111" s="101">
        <f>$P$120*Module!$I$7*X111*Module!$I$5</f>
        <v>18.064636684718682</v>
      </c>
      <c r="AX111" s="151">
        <f t="shared" si="26"/>
        <v>1000000</v>
      </c>
      <c r="AZ111" s="101">
        <f t="shared" si="46"/>
        <v>0</v>
      </c>
      <c r="BA111" s="101">
        <f>10+Module!$K$57/($AB$1+1)</f>
        <v>71.82879561327222</v>
      </c>
      <c r="BB111" s="101">
        <f>$AB$1*(25+Module!$I$6)</f>
        <v>151.5</v>
      </c>
      <c r="BC111" s="101">
        <f>(BA111*($AB$1+1)*0.002488974)/($AB$1+1)*Module!$I$5*Module!$I$7</f>
        <v>55.150770979977231</v>
      </c>
      <c r="BD111" s="101">
        <f>$P$120*Module!$I$7*X111*Module!$I$5</f>
        <v>18.064636684718682</v>
      </c>
      <c r="BE111" s="151">
        <f t="shared" si="28"/>
        <v>1000000</v>
      </c>
      <c r="BG111" s="101">
        <f t="shared" si="47"/>
        <v>0</v>
      </c>
      <c r="BH111" s="101">
        <f>10+Module!$K$57/($AC$1+1)</f>
        <v>59.463036490617775</v>
      </c>
      <c r="BI111" s="101">
        <f>$AC$1*(25+Module!$I$6)</f>
        <v>202</v>
      </c>
      <c r="BJ111" s="101">
        <f>(BH111*($AC$1+1)*0.002488974)/($AC$1+1)*Module!$I$5*Module!$I$7</f>
        <v>45.656234094813776</v>
      </c>
      <c r="BK111" s="101">
        <f>$P$120*Module!$I$7*X111*Module!$I$5</f>
        <v>18.064636684718682</v>
      </c>
      <c r="BL111" s="151">
        <f t="shared" si="30"/>
        <v>1000000</v>
      </c>
    </row>
    <row r="112" spans="3:183" ht="19.5" hidden="1" customHeight="1" thickBot="1">
      <c r="W112" s="777"/>
      <c r="X112" s="121">
        <f t="shared" si="32"/>
        <v>9</v>
      </c>
      <c r="Y112" s="122">
        <f>'calcul pneu pour calculateur'!P113</f>
        <v>136.77338928608577</v>
      </c>
      <c r="Z112" s="123">
        <f t="shared" si="48"/>
        <v>273.54677857217155</v>
      </c>
      <c r="AA112" s="123">
        <f t="shared" si="49"/>
        <v>410.32016785825732</v>
      </c>
      <c r="AB112" s="123">
        <f t="shared" si="50"/>
        <v>547.09355714434309</v>
      </c>
      <c r="AC112" s="123">
        <f t="shared" si="51"/>
        <v>683.86694643042892</v>
      </c>
      <c r="AK112" s="121">
        <f t="shared" si="33"/>
        <v>9</v>
      </c>
      <c r="AL112" s="101">
        <f t="shared" si="44"/>
        <v>0</v>
      </c>
      <c r="AM112" s="101">
        <f>10+Module!$K$57/($Z$1+1)</f>
        <v>133.65759122654444</v>
      </c>
      <c r="AN112" s="101">
        <f>$Z$1*(25+Module!$I$6)</f>
        <v>50.5</v>
      </c>
      <c r="AO112" s="101">
        <f>(AM112*($Z$1+1)*0.002488974)/($Z$1+1)*Module!$I$5*Module!$I$7</f>
        <v>102.62345540579445</v>
      </c>
      <c r="AP112" s="101">
        <f>$P$120*Module!$I$7*X112*Module!$I$5</f>
        <v>20.322716270308518</v>
      </c>
      <c r="AQ112" s="151">
        <f t="shared" si="24"/>
        <v>1000000</v>
      </c>
      <c r="AS112" s="101">
        <f t="shared" si="45"/>
        <v>0</v>
      </c>
      <c r="AT112" s="101">
        <f>10+Module!$K$57/($AA$1+1)</f>
        <v>92.438394151029627</v>
      </c>
      <c r="AU112" s="101">
        <f>$AA$1*(25+Module!$I$6)</f>
        <v>101</v>
      </c>
      <c r="AV112" s="101">
        <f>(AT112*($Z$1+1)*0.002488974)/($Z$1+1)*Module!$I$5*Module!$I$7</f>
        <v>70.974999121916298</v>
      </c>
      <c r="AW112" s="101">
        <f>$P$120*Module!$I$7*X112*Module!$I$5</f>
        <v>20.322716270308518</v>
      </c>
      <c r="AX112" s="151">
        <f t="shared" si="26"/>
        <v>1000000</v>
      </c>
      <c r="AZ112" s="101">
        <f t="shared" si="46"/>
        <v>0</v>
      </c>
      <c r="BA112" s="101">
        <f>10+Module!$K$57/($AB$1+1)</f>
        <v>71.82879561327222</v>
      </c>
      <c r="BB112" s="101">
        <f>$AB$1*(25+Module!$I$6)</f>
        <v>151.5</v>
      </c>
      <c r="BC112" s="101">
        <f>(BA112*($AB$1+1)*0.002488974)/($AB$1+1)*Module!$I$5*Module!$I$7</f>
        <v>55.150770979977231</v>
      </c>
      <c r="BD112" s="101">
        <f>$P$120*Module!$I$7*X112*Module!$I$5</f>
        <v>20.322716270308518</v>
      </c>
      <c r="BE112" s="151">
        <f t="shared" si="28"/>
        <v>1000000</v>
      </c>
      <c r="BG112" s="101">
        <f t="shared" si="47"/>
        <v>0</v>
      </c>
      <c r="BH112" s="101">
        <f>10+Module!$K$57/($AC$1+1)</f>
        <v>59.463036490617775</v>
      </c>
      <c r="BI112" s="101">
        <f>$AC$1*(25+Module!$I$6)</f>
        <v>202</v>
      </c>
      <c r="BJ112" s="101">
        <f>(BH112*($AC$1+1)*0.002488974)/($AC$1+1)*Module!$I$5*Module!$I$7</f>
        <v>45.656234094813776</v>
      </c>
      <c r="BK112" s="101">
        <f>$P$120*Module!$I$7*X112*Module!$I$5</f>
        <v>20.322716270308518</v>
      </c>
      <c r="BL112" s="151">
        <f t="shared" si="30"/>
        <v>1000000</v>
      </c>
    </row>
    <row r="113" spans="13:64" ht="19.5" hidden="1" customHeight="1" thickBot="1">
      <c r="W113" s="777"/>
      <c r="X113" s="121">
        <f t="shared" si="32"/>
        <v>10</v>
      </c>
      <c r="Y113" s="122">
        <f>'calcul pneu pour calculateur'!P114</f>
        <v>136.41999518307563</v>
      </c>
      <c r="Z113" s="123">
        <f t="shared" si="48"/>
        <v>272.83999036615126</v>
      </c>
      <c r="AA113" s="123">
        <f t="shared" si="49"/>
        <v>409.25998554922688</v>
      </c>
      <c r="AB113" s="123">
        <f t="shared" si="50"/>
        <v>545.67998073230251</v>
      </c>
      <c r="AC113" s="123">
        <f t="shared" si="51"/>
        <v>682.09997591537808</v>
      </c>
      <c r="AK113" s="121">
        <f t="shared" si="33"/>
        <v>10</v>
      </c>
      <c r="AL113" s="101">
        <f t="shared" si="44"/>
        <v>0</v>
      </c>
      <c r="AM113" s="101">
        <f>10+Module!$K$57/($Z$1+1)</f>
        <v>133.65759122654444</v>
      </c>
      <c r="AN113" s="101">
        <f>$Z$1*(25+Module!$I$6)</f>
        <v>50.5</v>
      </c>
      <c r="AO113" s="101">
        <f>(AM113*($Z$1+1)*0.002488974)/($Z$1+1)*Module!$I$5*Module!$I$7</f>
        <v>102.62345540579445</v>
      </c>
      <c r="AP113" s="101">
        <f>$P$120*Module!$I$7*X113*Module!$I$5</f>
        <v>22.580795855898355</v>
      </c>
      <c r="AQ113" s="151">
        <f t="shared" si="24"/>
        <v>1000000</v>
      </c>
      <c r="AS113" s="101">
        <f t="shared" si="45"/>
        <v>0</v>
      </c>
      <c r="AT113" s="101">
        <f>10+Module!$K$57/($AA$1+1)</f>
        <v>92.438394151029627</v>
      </c>
      <c r="AU113" s="101">
        <f>$AA$1*(25+Module!$I$6)</f>
        <v>101</v>
      </c>
      <c r="AV113" s="101">
        <f>(AT113*($Z$1+1)*0.002488974)/($Z$1+1)*Module!$I$5*Module!$I$7</f>
        <v>70.974999121916298</v>
      </c>
      <c r="AW113" s="101">
        <f>$P$120*Module!$I$7*X113*Module!$I$5</f>
        <v>22.580795855898355</v>
      </c>
      <c r="AX113" s="151">
        <f t="shared" si="26"/>
        <v>1000000</v>
      </c>
      <c r="AZ113" s="101">
        <f t="shared" si="46"/>
        <v>0</v>
      </c>
      <c r="BA113" s="101">
        <f>10+Module!$K$57/($AB$1+1)</f>
        <v>71.82879561327222</v>
      </c>
      <c r="BB113" s="101">
        <f>$AB$1*(25+Module!$I$6)</f>
        <v>151.5</v>
      </c>
      <c r="BC113" s="101">
        <f>(BA113*($AB$1+1)*0.002488974)/($AB$1+1)*Module!$I$5*Module!$I$7</f>
        <v>55.150770979977231</v>
      </c>
      <c r="BD113" s="101">
        <f>$P$120*Module!$I$7*X113*Module!$I$5</f>
        <v>22.580795855898355</v>
      </c>
      <c r="BE113" s="151">
        <f t="shared" si="28"/>
        <v>1000000</v>
      </c>
      <c r="BG113" s="101">
        <f t="shared" si="47"/>
        <v>0</v>
      </c>
      <c r="BH113" s="101">
        <f>10+Module!$K$57/($AC$1+1)</f>
        <v>59.463036490617775</v>
      </c>
      <c r="BI113" s="101">
        <f>$AC$1*(25+Module!$I$6)</f>
        <v>202</v>
      </c>
      <c r="BJ113" s="101">
        <f>(BH113*($AC$1+1)*0.002488974)/($AC$1+1)*Module!$I$5*Module!$I$7</f>
        <v>45.656234094813776</v>
      </c>
      <c r="BK113" s="101">
        <f>$P$120*Module!$I$7*X113*Module!$I$5</f>
        <v>22.580795855898355</v>
      </c>
      <c r="BL113" s="151">
        <f t="shared" si="30"/>
        <v>1000000</v>
      </c>
    </row>
    <row r="114" spans="13:64" ht="19.5" hidden="1" customHeight="1" thickBot="1">
      <c r="W114" s="777"/>
      <c r="X114" s="121">
        <f t="shared" si="32"/>
        <v>11</v>
      </c>
      <c r="Y114" s="122">
        <f>'calcul pneu pour calculateur'!P115</f>
        <v>136.06660108006548</v>
      </c>
      <c r="Z114" s="123">
        <f t="shared" si="48"/>
        <v>272.13320216013096</v>
      </c>
      <c r="AA114" s="123">
        <f t="shared" si="49"/>
        <v>408.19980324019645</v>
      </c>
      <c r="AB114" s="123">
        <f t="shared" si="50"/>
        <v>544.26640432026193</v>
      </c>
      <c r="AC114" s="123">
        <f t="shared" si="51"/>
        <v>680.33300540032747</v>
      </c>
      <c r="AK114" s="121">
        <f t="shared" si="33"/>
        <v>11</v>
      </c>
      <c r="AL114" s="101">
        <f t="shared" si="44"/>
        <v>0</v>
      </c>
      <c r="AM114" s="101">
        <f>10+Module!$K$57/($Z$1+1)</f>
        <v>133.65759122654444</v>
      </c>
      <c r="AN114" s="101">
        <f>$Z$1*(25+Module!$I$6)</f>
        <v>50.5</v>
      </c>
      <c r="AO114" s="101">
        <f>(AM114*($Z$1+1)*0.002488974)/($Z$1+1)*Module!$I$5*Module!$I$7</f>
        <v>102.62345540579445</v>
      </c>
      <c r="AP114" s="101">
        <f>$P$120*Module!$I$7*X114*Module!$I$5</f>
        <v>24.838875441488192</v>
      </c>
      <c r="AQ114" s="151">
        <f t="shared" si="24"/>
        <v>1000000</v>
      </c>
      <c r="AS114" s="101">
        <f t="shared" si="45"/>
        <v>0</v>
      </c>
      <c r="AT114" s="101">
        <f>10+Module!$K$57/($AA$1+1)</f>
        <v>92.438394151029627</v>
      </c>
      <c r="AU114" s="101">
        <f>$AA$1*(25+Module!$I$6)</f>
        <v>101</v>
      </c>
      <c r="AV114" s="101">
        <f>(AT114*($Z$1+1)*0.002488974)/($Z$1+1)*Module!$I$5*Module!$I$7</f>
        <v>70.974999121916298</v>
      </c>
      <c r="AW114" s="101">
        <f>$P$120*Module!$I$7*X114*Module!$I$5</f>
        <v>24.838875441488192</v>
      </c>
      <c r="AX114" s="151">
        <f t="shared" si="26"/>
        <v>1000000</v>
      </c>
      <c r="AZ114" s="101">
        <f t="shared" si="46"/>
        <v>0</v>
      </c>
      <c r="BA114" s="101">
        <f>10+Module!$K$57/($AB$1+1)</f>
        <v>71.82879561327222</v>
      </c>
      <c r="BB114" s="101">
        <f>$AB$1*(25+Module!$I$6)</f>
        <v>151.5</v>
      </c>
      <c r="BC114" s="101">
        <f>(BA114*($AB$1+1)*0.002488974)/($AB$1+1)*Module!$I$5*Module!$I$7</f>
        <v>55.150770979977231</v>
      </c>
      <c r="BD114" s="101">
        <f>$P$120*Module!$I$7*X114*Module!$I$5</f>
        <v>24.838875441488192</v>
      </c>
      <c r="BE114" s="151">
        <f t="shared" si="28"/>
        <v>1000000</v>
      </c>
      <c r="BG114" s="101">
        <f t="shared" si="47"/>
        <v>0</v>
      </c>
      <c r="BH114" s="101">
        <f>10+Module!$K$57/($AC$1+1)</f>
        <v>59.463036490617775</v>
      </c>
      <c r="BI114" s="101">
        <f>$AC$1*(25+Module!$I$6)</f>
        <v>202</v>
      </c>
      <c r="BJ114" s="101">
        <f>(BH114*($AC$1+1)*0.002488974)/($AC$1+1)*Module!$I$5*Module!$I$7</f>
        <v>45.656234094813776</v>
      </c>
      <c r="BK114" s="101">
        <f>$P$120*Module!$I$7*X114*Module!$I$5</f>
        <v>24.838875441488192</v>
      </c>
      <c r="BL114" s="151">
        <f t="shared" si="30"/>
        <v>1000000</v>
      </c>
    </row>
    <row r="115" spans="13:64" ht="19.5" hidden="1" customHeight="1" thickBot="1">
      <c r="W115" s="777"/>
      <c r="X115" s="121">
        <f t="shared" si="32"/>
        <v>12</v>
      </c>
      <c r="Y115" s="122">
        <f>'calcul pneu pour calculateur'!P116</f>
        <v>135.71320697705534</v>
      </c>
      <c r="Z115" s="123">
        <f t="shared" si="48"/>
        <v>271.42641395411067</v>
      </c>
      <c r="AA115" s="123">
        <f t="shared" si="49"/>
        <v>407.13962093116601</v>
      </c>
      <c r="AB115" s="123">
        <f t="shared" si="50"/>
        <v>542.85282790822134</v>
      </c>
      <c r="AC115" s="123">
        <f t="shared" si="51"/>
        <v>678.56603488527662</v>
      </c>
      <c r="AK115" s="121">
        <f t="shared" si="33"/>
        <v>12</v>
      </c>
      <c r="AL115" s="101">
        <f t="shared" si="44"/>
        <v>0</v>
      </c>
      <c r="AM115" s="101">
        <f>10+Module!$K$57/($Z$1+1)</f>
        <v>133.65759122654444</v>
      </c>
      <c r="AN115" s="101">
        <f>$Z$1*(25+Module!$I$6)</f>
        <v>50.5</v>
      </c>
      <c r="AO115" s="101">
        <f>(AM115*($Z$1+1)*0.002488974)/($Z$1+1)*Module!$I$5*Module!$I$7</f>
        <v>102.62345540579445</v>
      </c>
      <c r="AP115" s="101">
        <f>$P$120*Module!$I$7*X115*Module!$I$5</f>
        <v>27.096955027078028</v>
      </c>
      <c r="AQ115" s="151">
        <f t="shared" si="24"/>
        <v>1000000</v>
      </c>
      <c r="AS115" s="101">
        <f t="shared" si="45"/>
        <v>0</v>
      </c>
      <c r="AT115" s="101">
        <f>10+Module!$K$57/($AA$1+1)</f>
        <v>92.438394151029627</v>
      </c>
      <c r="AU115" s="101">
        <f>$AA$1*(25+Module!$I$6)</f>
        <v>101</v>
      </c>
      <c r="AV115" s="101">
        <f>(AT115*($Z$1+1)*0.002488974)/($Z$1+1)*Module!$I$5*Module!$I$7</f>
        <v>70.974999121916298</v>
      </c>
      <c r="AW115" s="101">
        <f>$P$120*Module!$I$7*X115*Module!$I$5</f>
        <v>27.096955027078028</v>
      </c>
      <c r="AX115" s="151">
        <f t="shared" si="26"/>
        <v>1000000</v>
      </c>
      <c r="AZ115" s="101">
        <f t="shared" si="46"/>
        <v>0</v>
      </c>
      <c r="BA115" s="101">
        <f>10+Module!$K$57/($AB$1+1)</f>
        <v>71.82879561327222</v>
      </c>
      <c r="BB115" s="101">
        <f>$AB$1*(25+Module!$I$6)</f>
        <v>151.5</v>
      </c>
      <c r="BC115" s="101">
        <f>(BA115*($AB$1+1)*0.002488974)/($AB$1+1)*Module!$I$5*Module!$I$7</f>
        <v>55.150770979977231</v>
      </c>
      <c r="BD115" s="101">
        <f>$P$120*Module!$I$7*X115*Module!$I$5</f>
        <v>27.096955027078028</v>
      </c>
      <c r="BE115" s="151">
        <f t="shared" si="28"/>
        <v>1000000</v>
      </c>
      <c r="BG115" s="101">
        <f t="shared" si="47"/>
        <v>0</v>
      </c>
      <c r="BH115" s="101">
        <f>10+Module!$K$57/($AC$1+1)</f>
        <v>59.463036490617775</v>
      </c>
      <c r="BI115" s="101">
        <f>$AC$1*(25+Module!$I$6)</f>
        <v>202</v>
      </c>
      <c r="BJ115" s="101">
        <f>(BH115*($AC$1+1)*0.002488974)/($AC$1+1)*Module!$I$5*Module!$I$7</f>
        <v>45.656234094813776</v>
      </c>
      <c r="BK115" s="101">
        <f>$P$120*Module!$I$7*X115*Module!$I$5</f>
        <v>27.096955027078028</v>
      </c>
      <c r="BL115" s="151">
        <f t="shared" si="30"/>
        <v>1000000</v>
      </c>
    </row>
    <row r="116" spans="13:64" ht="19.5" hidden="1" customHeight="1" thickBot="1">
      <c r="W116" s="777"/>
      <c r="X116" s="121">
        <f t="shared" si="32"/>
        <v>13</v>
      </c>
      <c r="Y116" s="122">
        <f>'calcul pneu pour calculateur'!P117</f>
        <v>135.35981287404519</v>
      </c>
      <c r="Z116" s="123">
        <f t="shared" si="48"/>
        <v>270.71962574809038</v>
      </c>
      <c r="AA116" s="123">
        <f t="shared" si="49"/>
        <v>406.07943862213557</v>
      </c>
      <c r="AB116" s="123">
        <f t="shared" si="50"/>
        <v>541.43925149618076</v>
      </c>
      <c r="AC116" s="123">
        <f t="shared" si="51"/>
        <v>676.79906437022601</v>
      </c>
      <c r="AK116" s="121">
        <f t="shared" si="33"/>
        <v>13</v>
      </c>
      <c r="AL116" s="101">
        <f t="shared" si="44"/>
        <v>0</v>
      </c>
      <c r="AM116" s="101">
        <f>10+Module!$K$57/($Z$1+1)</f>
        <v>133.65759122654444</v>
      </c>
      <c r="AN116" s="101">
        <f>$Z$1*(25+Module!$I$6)</f>
        <v>50.5</v>
      </c>
      <c r="AO116" s="101">
        <f>(AM116*($Z$1+1)*0.002488974)/($Z$1+1)*Module!$I$5*Module!$I$7</f>
        <v>102.62345540579445</v>
      </c>
      <c r="AP116" s="101">
        <f>$P$120*Module!$I$7*X116*Module!$I$5</f>
        <v>29.355034612667861</v>
      </c>
      <c r="AQ116" s="151">
        <f t="shared" si="24"/>
        <v>1000000</v>
      </c>
      <c r="AS116" s="101">
        <f t="shared" si="45"/>
        <v>0</v>
      </c>
      <c r="AT116" s="101">
        <f>10+Module!$K$57/($AA$1+1)</f>
        <v>92.438394151029627</v>
      </c>
      <c r="AU116" s="101">
        <f>$AA$1*(25+Module!$I$6)</f>
        <v>101</v>
      </c>
      <c r="AV116" s="101">
        <f>(AT116*($Z$1+1)*0.002488974)/($Z$1+1)*Module!$I$5*Module!$I$7</f>
        <v>70.974999121916298</v>
      </c>
      <c r="AW116" s="101">
        <f>$P$120*Module!$I$7*X116*Module!$I$5</f>
        <v>29.355034612667861</v>
      </c>
      <c r="AX116" s="151">
        <f t="shared" si="26"/>
        <v>1000000</v>
      </c>
      <c r="AZ116" s="101">
        <f t="shared" si="46"/>
        <v>0</v>
      </c>
      <c r="BA116" s="101">
        <f>10+Module!$K$57/($AB$1+1)</f>
        <v>71.82879561327222</v>
      </c>
      <c r="BB116" s="101">
        <f>$AB$1*(25+Module!$I$6)</f>
        <v>151.5</v>
      </c>
      <c r="BC116" s="101">
        <f>(BA116*($AB$1+1)*0.002488974)/($AB$1+1)*Module!$I$5*Module!$I$7</f>
        <v>55.150770979977231</v>
      </c>
      <c r="BD116" s="101">
        <f>$P$120*Module!$I$7*X116*Module!$I$5</f>
        <v>29.355034612667861</v>
      </c>
      <c r="BE116" s="151">
        <f t="shared" si="28"/>
        <v>1000000</v>
      </c>
      <c r="BG116" s="101">
        <f t="shared" si="47"/>
        <v>0</v>
      </c>
      <c r="BH116" s="101">
        <f>10+Module!$K$57/($AC$1+1)</f>
        <v>59.463036490617775</v>
      </c>
      <c r="BI116" s="101">
        <f>$AC$1*(25+Module!$I$6)</f>
        <v>202</v>
      </c>
      <c r="BJ116" s="101">
        <f>(BH116*($AC$1+1)*0.002488974)/($AC$1+1)*Module!$I$5*Module!$I$7</f>
        <v>45.656234094813776</v>
      </c>
      <c r="BK116" s="101">
        <f>$P$120*Module!$I$7*X116*Module!$I$5</f>
        <v>29.355034612667861</v>
      </c>
      <c r="BL116" s="151">
        <f t="shared" si="30"/>
        <v>1000000</v>
      </c>
    </row>
    <row r="117" spans="13:64" ht="19.5" hidden="1" customHeight="1" thickBot="1">
      <c r="Q117" s="101">
        <f>Q118*100</f>
        <v>3.1087719298245711</v>
      </c>
      <c r="W117" s="777"/>
      <c r="X117" s="121">
        <f t="shared" si="32"/>
        <v>14</v>
      </c>
      <c r="Y117" s="122">
        <f>'calcul pneu pour calculateur'!P118</f>
        <v>135.00641877103504</v>
      </c>
      <c r="Z117" s="123">
        <f t="shared" si="48"/>
        <v>270.01283754207009</v>
      </c>
      <c r="AA117" s="123">
        <f t="shared" si="49"/>
        <v>405.01925631310513</v>
      </c>
      <c r="AB117" s="123">
        <f t="shared" si="50"/>
        <v>540.02567508414018</v>
      </c>
      <c r="AC117" s="123">
        <f t="shared" si="51"/>
        <v>675.03209385517516</v>
      </c>
      <c r="AK117" s="121">
        <f t="shared" si="33"/>
        <v>14</v>
      </c>
      <c r="AL117" s="101">
        <f t="shared" si="44"/>
        <v>0</v>
      </c>
      <c r="AM117" s="101">
        <f>10+Module!$K$57/($Z$1+1)</f>
        <v>133.65759122654444</v>
      </c>
      <c r="AN117" s="101">
        <f>$Z$1*(25+Module!$I$6)</f>
        <v>50.5</v>
      </c>
      <c r="AO117" s="101">
        <f>(AM117*($Z$1+1)*0.002488974)/($Z$1+1)*Module!$I$5*Module!$I$7</f>
        <v>102.62345540579445</v>
      </c>
      <c r="AP117" s="101">
        <f>$P$120*Module!$I$7*X117*Module!$I$5</f>
        <v>31.613114198257694</v>
      </c>
      <c r="AQ117" s="151">
        <f t="shared" si="24"/>
        <v>1000000</v>
      </c>
      <c r="AS117" s="101">
        <f t="shared" si="45"/>
        <v>0</v>
      </c>
      <c r="AT117" s="101">
        <f>10+Module!$K$57/($AA$1+1)</f>
        <v>92.438394151029627</v>
      </c>
      <c r="AU117" s="101">
        <f>$AA$1*(25+Module!$I$6)</f>
        <v>101</v>
      </c>
      <c r="AV117" s="101">
        <f>(AT117*($Z$1+1)*0.002488974)/($Z$1+1)*Module!$I$5*Module!$I$7</f>
        <v>70.974999121916298</v>
      </c>
      <c r="AW117" s="101">
        <f>$P$120*Module!$I$7*X117*Module!$I$5</f>
        <v>31.613114198257694</v>
      </c>
      <c r="AX117" s="151">
        <f t="shared" si="26"/>
        <v>1000000</v>
      </c>
      <c r="AZ117" s="101">
        <f t="shared" si="46"/>
        <v>0</v>
      </c>
      <c r="BA117" s="101">
        <f>10+Module!$K$57/($AB$1+1)</f>
        <v>71.82879561327222</v>
      </c>
      <c r="BB117" s="101">
        <f>$AB$1*(25+Module!$I$6)</f>
        <v>151.5</v>
      </c>
      <c r="BC117" s="101">
        <f>(BA117*($AB$1+1)*0.002488974)/($AB$1+1)*Module!$I$5*Module!$I$7</f>
        <v>55.150770979977231</v>
      </c>
      <c r="BD117" s="101">
        <f>$P$120*Module!$I$7*X117*Module!$I$5</f>
        <v>31.613114198257694</v>
      </c>
      <c r="BE117" s="151">
        <f t="shared" si="28"/>
        <v>1000000</v>
      </c>
      <c r="BG117" s="101">
        <f t="shared" si="47"/>
        <v>0</v>
      </c>
      <c r="BH117" s="101">
        <f>10+Module!$K$57/($AC$1+1)</f>
        <v>59.463036490617775</v>
      </c>
      <c r="BI117" s="101">
        <f>$AC$1*(25+Module!$I$6)</f>
        <v>202</v>
      </c>
      <c r="BJ117" s="101">
        <f>(BH117*($AC$1+1)*0.002488974)/($AC$1+1)*Module!$I$5*Module!$I$7</f>
        <v>45.656234094813776</v>
      </c>
      <c r="BK117" s="101">
        <f>$P$120*Module!$I$7*X117*Module!$I$5</f>
        <v>31.613114198257694</v>
      </c>
      <c r="BL117" s="151">
        <f t="shared" si="30"/>
        <v>1000000</v>
      </c>
    </row>
    <row r="118" spans="13:64" ht="19.5" hidden="1" customHeight="1" thickBot="1">
      <c r="M118" s="101">
        <f>C59*M119</f>
        <v>0.86198996415770957</v>
      </c>
      <c r="O118" s="101">
        <v>81.872</v>
      </c>
      <c r="P118" s="101">
        <v>80.099999999999994</v>
      </c>
      <c r="Q118" s="101">
        <f>(O118-P118)/57</f>
        <v>3.1087719298245713E-2</v>
      </c>
      <c r="R118" s="101">
        <f>Q118/4.247</f>
        <v>7.3199244874607283E-3</v>
      </c>
      <c r="W118" s="777"/>
      <c r="X118" s="121">
        <f t="shared" si="32"/>
        <v>15</v>
      </c>
      <c r="Y118" s="122">
        <f>'calcul pneu pour calculateur'!P119</f>
        <v>134.6530246680249</v>
      </c>
      <c r="Z118" s="123">
        <f t="shared" si="48"/>
        <v>269.3060493360498</v>
      </c>
      <c r="AA118" s="123">
        <f t="shared" si="49"/>
        <v>403.95907400407469</v>
      </c>
      <c r="AB118" s="123">
        <f t="shared" si="50"/>
        <v>538.61209867209959</v>
      </c>
      <c r="AC118" s="123">
        <f t="shared" si="51"/>
        <v>673.26512334012455</v>
      </c>
      <c r="AK118" s="121">
        <f t="shared" si="33"/>
        <v>15</v>
      </c>
      <c r="AL118" s="101">
        <f t="shared" si="44"/>
        <v>0</v>
      </c>
      <c r="AM118" s="101">
        <f>10+Module!$K$57/($Z$1+1)</f>
        <v>133.65759122654444</v>
      </c>
      <c r="AN118" s="101">
        <f>$Z$1*(25+Module!$I$6)</f>
        <v>50.5</v>
      </c>
      <c r="AO118" s="101">
        <f>(AM118*($Z$1+1)*0.002488974)/($Z$1+1)*Module!$I$5*Module!$I$7</f>
        <v>102.62345540579445</v>
      </c>
      <c r="AP118" s="101">
        <f>$P$120*Module!$I$7*X118*Module!$I$5</f>
        <v>33.871193783847531</v>
      </c>
      <c r="AQ118" s="151">
        <f t="shared" si="24"/>
        <v>1000000</v>
      </c>
      <c r="AS118" s="101">
        <f t="shared" si="45"/>
        <v>0</v>
      </c>
      <c r="AT118" s="101">
        <f>10+Module!$K$57/($AA$1+1)</f>
        <v>92.438394151029627</v>
      </c>
      <c r="AU118" s="101">
        <f>$AA$1*(25+Module!$I$6)</f>
        <v>101</v>
      </c>
      <c r="AV118" s="101">
        <f>(AT118*($Z$1+1)*0.002488974)/($Z$1+1)*Module!$I$5*Module!$I$7</f>
        <v>70.974999121916298</v>
      </c>
      <c r="AW118" s="101">
        <f>$P$120*Module!$I$7*X118*Module!$I$5</f>
        <v>33.871193783847531</v>
      </c>
      <c r="AX118" s="151">
        <f t="shared" si="26"/>
        <v>1000000</v>
      </c>
      <c r="AZ118" s="101">
        <f t="shared" si="46"/>
        <v>0</v>
      </c>
      <c r="BA118" s="101">
        <f>10+Module!$K$57/($AB$1+1)</f>
        <v>71.82879561327222</v>
      </c>
      <c r="BB118" s="101">
        <f>$AB$1*(25+Module!$I$6)</f>
        <v>151.5</v>
      </c>
      <c r="BC118" s="101">
        <f>(BA118*($AB$1+1)*0.002488974)/($AB$1+1)*Module!$I$5*Module!$I$7</f>
        <v>55.150770979977231</v>
      </c>
      <c r="BD118" s="101">
        <f>$P$120*Module!$I$7*X118*Module!$I$5</f>
        <v>33.871193783847531</v>
      </c>
      <c r="BE118" s="151">
        <f t="shared" si="28"/>
        <v>1000000</v>
      </c>
      <c r="BG118" s="101">
        <f t="shared" si="47"/>
        <v>0</v>
      </c>
      <c r="BH118" s="101">
        <f>10+Module!$K$57/($AC$1+1)</f>
        <v>59.463036490617775</v>
      </c>
      <c r="BI118" s="101">
        <f>$AC$1*(25+Module!$I$6)</f>
        <v>202</v>
      </c>
      <c r="BJ118" s="101">
        <f>(BH118*($AC$1+1)*0.002488974)/($AC$1+1)*Module!$I$5*Module!$I$7</f>
        <v>45.656234094813776</v>
      </c>
      <c r="BK118" s="101">
        <f>$P$120*Module!$I$7*X118*Module!$I$5</f>
        <v>33.871193783847531</v>
      </c>
      <c r="BL118" s="151">
        <f t="shared" si="30"/>
        <v>1000000</v>
      </c>
    </row>
    <row r="119" spans="13:64" ht="19.5" hidden="1" customHeight="1" thickBot="1">
      <c r="M119" s="101">
        <f>N119-O119</f>
        <v>11</v>
      </c>
      <c r="N119" s="101">
        <v>17</v>
      </c>
      <c r="O119" s="101">
        <v>6</v>
      </c>
      <c r="W119" s="777"/>
      <c r="X119" s="121">
        <f t="shared" si="32"/>
        <v>16</v>
      </c>
      <c r="Y119" s="122">
        <f>'calcul pneu pour calculateur'!P120</f>
        <v>134.29963056501475</v>
      </c>
      <c r="Z119" s="123">
        <f t="shared" si="48"/>
        <v>268.5992611300295</v>
      </c>
      <c r="AA119" s="123">
        <f t="shared" si="49"/>
        <v>402.89889169504426</v>
      </c>
      <c r="AB119" s="123">
        <f t="shared" si="50"/>
        <v>537.19852226005901</v>
      </c>
      <c r="AC119" s="123">
        <f t="shared" si="51"/>
        <v>671.4981528250737</v>
      </c>
      <c r="AK119" s="121">
        <f t="shared" si="33"/>
        <v>16</v>
      </c>
      <c r="AL119" s="101">
        <f t="shared" si="44"/>
        <v>0</v>
      </c>
      <c r="AM119" s="101">
        <f>10+Module!$K$57/($Z$1+1)</f>
        <v>133.65759122654444</v>
      </c>
      <c r="AN119" s="101">
        <f>$Z$1*(25+Module!$I$6)</f>
        <v>50.5</v>
      </c>
      <c r="AO119" s="101">
        <f>(AM119*($Z$1+1)*0.002488974)/($Z$1+1)*Module!$I$5*Module!$I$7</f>
        <v>102.62345540579445</v>
      </c>
      <c r="AP119" s="101">
        <f>$P$120*Module!$I$7*X119*Module!$I$5</f>
        <v>36.129273369437364</v>
      </c>
      <c r="AQ119" s="151">
        <f t="shared" si="24"/>
        <v>1000000</v>
      </c>
      <c r="AS119" s="101">
        <f t="shared" si="45"/>
        <v>0</v>
      </c>
      <c r="AT119" s="101">
        <f>10+Module!$K$57/($AA$1+1)</f>
        <v>92.438394151029627</v>
      </c>
      <c r="AU119" s="101">
        <f>$AA$1*(25+Module!$I$6)</f>
        <v>101</v>
      </c>
      <c r="AV119" s="101">
        <f>(AT119*($Z$1+1)*0.002488974)/($Z$1+1)*Module!$I$5*Module!$I$7</f>
        <v>70.974999121916298</v>
      </c>
      <c r="AW119" s="101">
        <f>$P$120*Module!$I$7*X119*Module!$I$5</f>
        <v>36.129273369437364</v>
      </c>
      <c r="AX119" s="151">
        <f t="shared" si="26"/>
        <v>1000000</v>
      </c>
      <c r="AZ119" s="101">
        <f t="shared" si="46"/>
        <v>0</v>
      </c>
      <c r="BA119" s="101">
        <f>10+Module!$K$57/($AB$1+1)</f>
        <v>71.82879561327222</v>
      </c>
      <c r="BB119" s="101">
        <f>$AB$1*(25+Module!$I$6)</f>
        <v>151.5</v>
      </c>
      <c r="BC119" s="101">
        <f>(BA119*($AB$1+1)*0.002488974)/($AB$1+1)*Module!$I$5*Module!$I$7</f>
        <v>55.150770979977231</v>
      </c>
      <c r="BD119" s="101">
        <f>$P$120*Module!$I$7*X119*Module!$I$5</f>
        <v>36.129273369437364</v>
      </c>
      <c r="BE119" s="151">
        <f t="shared" si="28"/>
        <v>1000000</v>
      </c>
      <c r="BG119" s="101">
        <f t="shared" si="47"/>
        <v>0</v>
      </c>
      <c r="BH119" s="101">
        <f>10+Module!$K$57/($AC$1+1)</f>
        <v>59.463036490617775</v>
      </c>
      <c r="BI119" s="101">
        <f>$AC$1*(25+Module!$I$6)</f>
        <v>202</v>
      </c>
      <c r="BJ119" s="101">
        <f>(BH119*($AC$1+1)*0.002488974)/($AC$1+1)*Module!$I$5*Module!$I$7</f>
        <v>45.656234094813776</v>
      </c>
      <c r="BK119" s="101">
        <f>$P$120*Module!$I$7*X119*Module!$I$5</f>
        <v>36.129273369437364</v>
      </c>
      <c r="BL119" s="151">
        <f t="shared" si="30"/>
        <v>1000000</v>
      </c>
    </row>
    <row r="120" spans="13:64" ht="19.5" hidden="1" customHeight="1" thickBot="1">
      <c r="M120" s="101">
        <f>O118-M118</f>
        <v>81.010010035842285</v>
      </c>
      <c r="P120" s="148">
        <v>7.3199244874607283E-3</v>
      </c>
      <c r="W120" s="777"/>
      <c r="X120" s="121">
        <f t="shared" si="32"/>
        <v>17</v>
      </c>
      <c r="Y120" s="122">
        <f>'calcul pneu pour calculateur'!P121</f>
        <v>133.94623646200461</v>
      </c>
      <c r="Z120" s="123">
        <f t="shared" si="48"/>
        <v>267.89247292400921</v>
      </c>
      <c r="AA120" s="123">
        <f t="shared" si="49"/>
        <v>401.83870938601382</v>
      </c>
      <c r="AB120" s="123">
        <f t="shared" si="50"/>
        <v>535.78494584801842</v>
      </c>
      <c r="AC120" s="123">
        <f t="shared" si="51"/>
        <v>669.73118231002309</v>
      </c>
      <c r="AK120" s="121">
        <f t="shared" si="33"/>
        <v>17</v>
      </c>
      <c r="AL120" s="101">
        <f t="shared" si="44"/>
        <v>0</v>
      </c>
      <c r="AM120" s="101">
        <f>10+Module!$K$57/($Z$1+1)</f>
        <v>133.65759122654444</v>
      </c>
      <c r="AN120" s="101">
        <f>$Z$1*(25+Module!$I$6)</f>
        <v>50.5</v>
      </c>
      <c r="AO120" s="101">
        <f>(AM120*($Z$1+1)*0.002488974)/($Z$1+1)*Module!$I$5*Module!$I$7</f>
        <v>102.62345540579445</v>
      </c>
      <c r="AP120" s="101">
        <f>$P$120*Module!$I$7*X120*Module!$I$5</f>
        <v>38.387352955027204</v>
      </c>
      <c r="AQ120" s="151">
        <f t="shared" si="24"/>
        <v>1000000</v>
      </c>
      <c r="AS120" s="101">
        <f t="shared" si="45"/>
        <v>0</v>
      </c>
      <c r="AT120" s="101">
        <f>10+Module!$K$57/($AA$1+1)</f>
        <v>92.438394151029627</v>
      </c>
      <c r="AU120" s="101">
        <f>$AA$1*(25+Module!$I$6)</f>
        <v>101</v>
      </c>
      <c r="AV120" s="101">
        <f>(AT120*($Z$1+1)*0.002488974)/($Z$1+1)*Module!$I$5*Module!$I$7</f>
        <v>70.974999121916298</v>
      </c>
      <c r="AW120" s="101">
        <f>$P$120*Module!$I$7*X120*Module!$I$5</f>
        <v>38.387352955027204</v>
      </c>
      <c r="AX120" s="151">
        <f t="shared" si="26"/>
        <v>1000000</v>
      </c>
      <c r="AZ120" s="101">
        <f t="shared" si="46"/>
        <v>0</v>
      </c>
      <c r="BA120" s="101">
        <f>10+Module!$K$57/($AB$1+1)</f>
        <v>71.82879561327222</v>
      </c>
      <c r="BB120" s="101">
        <f>$AB$1*(25+Module!$I$6)</f>
        <v>151.5</v>
      </c>
      <c r="BC120" s="101">
        <f>(BA120*($AB$1+1)*0.002488974)/($AB$1+1)*Module!$I$5*Module!$I$7</f>
        <v>55.150770979977231</v>
      </c>
      <c r="BD120" s="101">
        <f>$P$120*Module!$I$7*X120*Module!$I$5</f>
        <v>38.387352955027204</v>
      </c>
      <c r="BE120" s="151">
        <f t="shared" si="28"/>
        <v>1000000</v>
      </c>
      <c r="BG120" s="101">
        <f t="shared" si="47"/>
        <v>0</v>
      </c>
      <c r="BH120" s="101">
        <f>10+Module!$K$57/($AC$1+1)</f>
        <v>59.463036490617775</v>
      </c>
      <c r="BI120" s="101">
        <f>$AC$1*(25+Module!$I$6)</f>
        <v>202</v>
      </c>
      <c r="BJ120" s="101">
        <f>(BH120*($AC$1+1)*0.002488974)/($AC$1+1)*Module!$I$5*Module!$I$7</f>
        <v>45.656234094813776</v>
      </c>
      <c r="BK120" s="101">
        <f>$P$120*Module!$I$7*X120*Module!$I$5</f>
        <v>38.387352955027204</v>
      </c>
      <c r="BL120" s="151">
        <f t="shared" si="30"/>
        <v>1000000</v>
      </c>
    </row>
    <row r="121" spans="13:64" ht="18.75" hidden="1" customHeight="1" thickBot="1">
      <c r="W121" s="777"/>
      <c r="X121" s="121">
        <f t="shared" si="32"/>
        <v>18</v>
      </c>
      <c r="Y121" s="122">
        <f>'calcul pneu pour calculateur'!P122</f>
        <v>133.59284235899446</v>
      </c>
      <c r="Z121" s="123">
        <f t="shared" si="48"/>
        <v>267.18568471798892</v>
      </c>
      <c r="AA121" s="123">
        <f t="shared" si="49"/>
        <v>400.77852707698338</v>
      </c>
      <c r="AB121" s="123">
        <f t="shared" si="50"/>
        <v>534.37136943597784</v>
      </c>
      <c r="AC121" s="123">
        <f t="shared" si="51"/>
        <v>667.96421179497224</v>
      </c>
      <c r="AK121" s="121">
        <f t="shared" si="33"/>
        <v>18</v>
      </c>
      <c r="AL121" s="101">
        <f t="shared" si="44"/>
        <v>0</v>
      </c>
      <c r="AM121" s="101">
        <f>10+Module!$K$57/($Z$1+1)</f>
        <v>133.65759122654444</v>
      </c>
      <c r="AN121" s="101">
        <f>$Z$1*(25+Module!$I$6)</f>
        <v>50.5</v>
      </c>
      <c r="AO121" s="101">
        <f>(AM121*($Z$1+1)*0.002488974)/($Z$1+1)*Module!$I$5*Module!$I$7</f>
        <v>102.62345540579445</v>
      </c>
      <c r="AP121" s="101">
        <f>$P$120*Module!$I$7*X121*Module!$I$5</f>
        <v>40.645432540617037</v>
      </c>
      <c r="AQ121" s="151">
        <f t="shared" si="24"/>
        <v>1000000</v>
      </c>
      <c r="AS121" s="101">
        <f t="shared" si="45"/>
        <v>0</v>
      </c>
      <c r="AT121" s="101">
        <f>10+Module!$K$57/($AA$1+1)</f>
        <v>92.438394151029627</v>
      </c>
      <c r="AU121" s="101">
        <f>$AA$1*(25+Module!$I$6)</f>
        <v>101</v>
      </c>
      <c r="AV121" s="101">
        <f>(AT121*($Z$1+1)*0.002488974)/($Z$1+1)*Module!$I$5*Module!$I$7</f>
        <v>70.974999121916298</v>
      </c>
      <c r="AW121" s="101">
        <f>$P$120*Module!$I$7*X121*Module!$I$5</f>
        <v>40.645432540617037</v>
      </c>
      <c r="AX121" s="151">
        <f t="shared" si="26"/>
        <v>1000000</v>
      </c>
      <c r="AZ121" s="101">
        <f t="shared" si="46"/>
        <v>0</v>
      </c>
      <c r="BA121" s="101">
        <f>10+Module!$K$57/($AB$1+1)</f>
        <v>71.82879561327222</v>
      </c>
      <c r="BB121" s="101">
        <f>$AB$1*(25+Module!$I$6)</f>
        <v>151.5</v>
      </c>
      <c r="BC121" s="101">
        <f>(BA121*($AB$1+1)*0.002488974)/($AB$1+1)*Module!$I$5*Module!$I$7</f>
        <v>55.150770979977231</v>
      </c>
      <c r="BD121" s="101">
        <f>$P$120*Module!$I$7*X121*Module!$I$5</f>
        <v>40.645432540617037</v>
      </c>
      <c r="BE121" s="151">
        <f t="shared" si="28"/>
        <v>1000000</v>
      </c>
      <c r="BG121" s="101">
        <f t="shared" si="47"/>
        <v>0</v>
      </c>
      <c r="BH121" s="101">
        <f>10+Module!$K$57/($AC$1+1)</f>
        <v>59.463036490617775</v>
      </c>
      <c r="BI121" s="101">
        <f>$AC$1*(25+Module!$I$6)</f>
        <v>202</v>
      </c>
      <c r="BJ121" s="101">
        <f>(BH121*($AC$1+1)*0.002488974)/($AC$1+1)*Module!$I$5*Module!$I$7</f>
        <v>45.656234094813776</v>
      </c>
      <c r="BK121" s="101">
        <f>$P$120*Module!$I$7*X121*Module!$I$5</f>
        <v>40.645432540617037</v>
      </c>
      <c r="BL121" s="151">
        <f t="shared" si="30"/>
        <v>1000000</v>
      </c>
    </row>
    <row r="122" spans="13:64" ht="19.5" hidden="1" customHeight="1" thickBot="1">
      <c r="W122" s="777"/>
      <c r="X122" s="121">
        <f t="shared" si="32"/>
        <v>19</v>
      </c>
      <c r="Y122" s="122">
        <f>'calcul pneu pour calculateur'!P123</f>
        <v>133.23944825598431</v>
      </c>
      <c r="Z122" s="123">
        <f t="shared" si="48"/>
        <v>266.47889651196863</v>
      </c>
      <c r="AA122" s="123">
        <f t="shared" si="49"/>
        <v>399.71834476795294</v>
      </c>
      <c r="AB122" s="123">
        <f t="shared" si="50"/>
        <v>532.95779302393726</v>
      </c>
      <c r="AC122" s="123">
        <f t="shared" si="51"/>
        <v>666.19724127992163</v>
      </c>
      <c r="AK122" s="121">
        <f t="shared" si="33"/>
        <v>19</v>
      </c>
      <c r="AL122" s="101">
        <f t="shared" si="44"/>
        <v>0</v>
      </c>
      <c r="AM122" s="101">
        <f>10+Module!$K$57/($Z$1+1)</f>
        <v>133.65759122654444</v>
      </c>
      <c r="AN122" s="101">
        <f>$Z$1*(25+Module!$I$6)</f>
        <v>50.5</v>
      </c>
      <c r="AO122" s="101">
        <f>(AM122*($Z$1+1)*0.002488974)/($Z$1+1)*Module!$I$5*Module!$I$7</f>
        <v>102.62345540579445</v>
      </c>
      <c r="AP122" s="101">
        <f>$P$120*Module!$I$7*X122*Module!$I$5</f>
        <v>42.903512126206877</v>
      </c>
      <c r="AQ122" s="151">
        <f t="shared" si="24"/>
        <v>1000000</v>
      </c>
      <c r="AS122" s="101">
        <f t="shared" si="45"/>
        <v>0</v>
      </c>
      <c r="AT122" s="101">
        <f>10+Module!$K$57/($AA$1+1)</f>
        <v>92.438394151029627</v>
      </c>
      <c r="AU122" s="101">
        <f>$AA$1*(25+Module!$I$6)</f>
        <v>101</v>
      </c>
      <c r="AV122" s="101">
        <f>(AT122*($Z$1+1)*0.002488974)/($Z$1+1)*Module!$I$5*Module!$I$7</f>
        <v>70.974999121916298</v>
      </c>
      <c r="AW122" s="101">
        <f>$P$120*Module!$I$7*X122*Module!$I$5</f>
        <v>42.903512126206877</v>
      </c>
      <c r="AX122" s="151">
        <f t="shared" si="26"/>
        <v>1000000</v>
      </c>
      <c r="AZ122" s="101">
        <f t="shared" si="46"/>
        <v>0</v>
      </c>
      <c r="BA122" s="101">
        <f>10+Module!$K$57/($AB$1+1)</f>
        <v>71.82879561327222</v>
      </c>
      <c r="BB122" s="101">
        <f>$AB$1*(25+Module!$I$6)</f>
        <v>151.5</v>
      </c>
      <c r="BC122" s="101">
        <f>(BA122*($AB$1+1)*0.002488974)/($AB$1+1)*Module!$I$5*Module!$I$7</f>
        <v>55.150770979977231</v>
      </c>
      <c r="BD122" s="101">
        <f>$P$120*Module!$I$7*X122*Module!$I$5</f>
        <v>42.903512126206877</v>
      </c>
      <c r="BE122" s="151">
        <f t="shared" si="28"/>
        <v>1000000</v>
      </c>
      <c r="BG122" s="101">
        <f t="shared" si="47"/>
        <v>0</v>
      </c>
      <c r="BH122" s="101">
        <f>10+Module!$K$57/($AC$1+1)</f>
        <v>59.463036490617775</v>
      </c>
      <c r="BI122" s="101">
        <f>$AC$1*(25+Module!$I$6)</f>
        <v>202</v>
      </c>
      <c r="BJ122" s="101">
        <f>(BH122*($AC$1+1)*0.002488974)/($AC$1+1)*Module!$I$5*Module!$I$7</f>
        <v>45.656234094813776</v>
      </c>
      <c r="BK122" s="101">
        <f>$P$120*Module!$I$7*X122*Module!$I$5</f>
        <v>42.903512126206877</v>
      </c>
      <c r="BL122" s="151">
        <f t="shared" si="30"/>
        <v>1000000</v>
      </c>
    </row>
    <row r="123" spans="13:64" ht="19.5" hidden="1" customHeight="1" thickBot="1">
      <c r="W123" s="777"/>
      <c r="X123" s="121">
        <f t="shared" si="32"/>
        <v>20</v>
      </c>
      <c r="Y123" s="122">
        <f>'calcul pneu pour calculateur'!P124</f>
        <v>132.88605415297417</v>
      </c>
      <c r="Z123" s="123">
        <f t="shared" si="48"/>
        <v>265.77210830594834</v>
      </c>
      <c r="AA123" s="123">
        <f t="shared" si="49"/>
        <v>398.6581624589225</v>
      </c>
      <c r="AB123" s="123">
        <f t="shared" si="50"/>
        <v>531.54421661189667</v>
      </c>
      <c r="AC123" s="123">
        <f t="shared" si="51"/>
        <v>664.43027076487078</v>
      </c>
      <c r="AK123" s="121">
        <f t="shared" si="33"/>
        <v>20</v>
      </c>
      <c r="AL123" s="101">
        <f t="shared" si="44"/>
        <v>0</v>
      </c>
      <c r="AM123" s="101">
        <f>10+Module!$K$57/($Z$1+1)</f>
        <v>133.65759122654444</v>
      </c>
      <c r="AN123" s="101">
        <f>$Z$1*(25+Module!$I$6)</f>
        <v>50.5</v>
      </c>
      <c r="AO123" s="101">
        <f>(AM123*($Z$1+1)*0.002488974)/($Z$1+1)*Module!$I$5*Module!$I$7</f>
        <v>102.62345540579445</v>
      </c>
      <c r="AP123" s="101">
        <f>$P$120*Module!$I$7*X123*Module!$I$5</f>
        <v>45.16159171179671</v>
      </c>
      <c r="AQ123" s="151">
        <f t="shared" si="24"/>
        <v>1000000</v>
      </c>
      <c r="AS123" s="101">
        <f t="shared" si="45"/>
        <v>0</v>
      </c>
      <c r="AT123" s="101">
        <f>10+Module!$K$57/($AA$1+1)</f>
        <v>92.438394151029627</v>
      </c>
      <c r="AU123" s="101">
        <f>$AA$1*(25+Module!$I$6)</f>
        <v>101</v>
      </c>
      <c r="AV123" s="101">
        <f>(AT123*($Z$1+1)*0.002488974)/($Z$1+1)*Module!$I$5*Module!$I$7</f>
        <v>70.974999121916298</v>
      </c>
      <c r="AW123" s="101">
        <f>$P$120*Module!$I$7*X123*Module!$I$5</f>
        <v>45.16159171179671</v>
      </c>
      <c r="AX123" s="151">
        <f t="shared" si="26"/>
        <v>1000000</v>
      </c>
      <c r="AZ123" s="101">
        <f t="shared" si="46"/>
        <v>0</v>
      </c>
      <c r="BA123" s="101">
        <f>10+Module!$K$57/($AB$1+1)</f>
        <v>71.82879561327222</v>
      </c>
      <c r="BB123" s="101">
        <f>$AB$1*(25+Module!$I$6)</f>
        <v>151.5</v>
      </c>
      <c r="BC123" s="101">
        <f>(BA123*($AB$1+1)*0.002488974)/($AB$1+1)*Module!$I$5*Module!$I$7</f>
        <v>55.150770979977231</v>
      </c>
      <c r="BD123" s="101">
        <f>$P$120*Module!$I$7*X123*Module!$I$5</f>
        <v>45.16159171179671</v>
      </c>
      <c r="BE123" s="151">
        <f t="shared" si="28"/>
        <v>1000000</v>
      </c>
      <c r="BG123" s="101">
        <f t="shared" si="47"/>
        <v>0</v>
      </c>
      <c r="BH123" s="101">
        <f>10+Module!$K$57/($AC$1+1)</f>
        <v>59.463036490617775</v>
      </c>
      <c r="BI123" s="101">
        <f>$AC$1*(25+Module!$I$6)</f>
        <v>202</v>
      </c>
      <c r="BJ123" s="101">
        <f>(BH123*($AC$1+1)*0.002488974)/($AC$1+1)*Module!$I$5*Module!$I$7</f>
        <v>45.656234094813776</v>
      </c>
      <c r="BK123" s="101">
        <f>$P$120*Module!$I$7*X123*Module!$I$5</f>
        <v>45.16159171179671</v>
      </c>
      <c r="BL123" s="151">
        <f t="shared" si="30"/>
        <v>1000000</v>
      </c>
    </row>
    <row r="124" spans="13:64" ht="19.5" hidden="1" customHeight="1" thickBot="1">
      <c r="W124" s="777"/>
      <c r="X124" s="121">
        <f t="shared" si="32"/>
        <v>21</v>
      </c>
      <c r="Y124" s="122">
        <f>'calcul pneu pour calculateur'!P125</f>
        <v>132.53266004996402</v>
      </c>
      <c r="Z124" s="123">
        <f t="shared" si="48"/>
        <v>265.06532009992804</v>
      </c>
      <c r="AA124" s="123">
        <f t="shared" si="49"/>
        <v>397.59798014989207</v>
      </c>
      <c r="AB124" s="123">
        <f t="shared" si="50"/>
        <v>530.13064019985609</v>
      </c>
      <c r="AC124" s="123">
        <f t="shared" si="51"/>
        <v>662.66330024982017</v>
      </c>
      <c r="AK124" s="121">
        <f t="shared" si="33"/>
        <v>21</v>
      </c>
      <c r="AL124" s="101">
        <f t="shared" si="44"/>
        <v>0</v>
      </c>
      <c r="AM124" s="101">
        <f>10+Module!$K$57/($Z$1+1)</f>
        <v>133.65759122654444</v>
      </c>
      <c r="AN124" s="101">
        <f>$Z$1*(25+Module!$I$6)</f>
        <v>50.5</v>
      </c>
      <c r="AO124" s="101">
        <f>(AM124*($Z$1+1)*0.002488974)/($Z$1+1)*Module!$I$5*Module!$I$7</f>
        <v>102.62345540579445</v>
      </c>
      <c r="AP124" s="101">
        <f>$P$120*Module!$I$7*X124*Module!$I$5</f>
        <v>47.41967129738655</v>
      </c>
      <c r="AQ124" s="151">
        <f t="shared" si="24"/>
        <v>1000000</v>
      </c>
      <c r="AS124" s="101">
        <f t="shared" si="45"/>
        <v>0</v>
      </c>
      <c r="AT124" s="101">
        <f>10+Module!$K$57/($AA$1+1)</f>
        <v>92.438394151029627</v>
      </c>
      <c r="AU124" s="101">
        <f>$AA$1*(25+Module!$I$6)</f>
        <v>101</v>
      </c>
      <c r="AV124" s="101">
        <f>(AT124*($Z$1+1)*0.002488974)/($Z$1+1)*Module!$I$5*Module!$I$7</f>
        <v>70.974999121916298</v>
      </c>
      <c r="AW124" s="101">
        <f>$P$120*Module!$I$7*X124*Module!$I$5</f>
        <v>47.41967129738655</v>
      </c>
      <c r="AX124" s="151">
        <f t="shared" si="26"/>
        <v>1000000</v>
      </c>
      <c r="AZ124" s="101">
        <f t="shared" si="46"/>
        <v>0</v>
      </c>
      <c r="BA124" s="101">
        <f>10+Module!$K$57/($AB$1+1)</f>
        <v>71.82879561327222</v>
      </c>
      <c r="BB124" s="101">
        <f>$AB$1*(25+Module!$I$6)</f>
        <v>151.5</v>
      </c>
      <c r="BC124" s="101">
        <f>(BA124*($AB$1+1)*0.002488974)/($AB$1+1)*Module!$I$5*Module!$I$7</f>
        <v>55.150770979977231</v>
      </c>
      <c r="BD124" s="101">
        <f>$P$120*Module!$I$7*X124*Module!$I$5</f>
        <v>47.41967129738655</v>
      </c>
      <c r="BE124" s="151">
        <f t="shared" si="28"/>
        <v>1000000</v>
      </c>
      <c r="BG124" s="101">
        <f t="shared" si="47"/>
        <v>0</v>
      </c>
      <c r="BH124" s="101">
        <f>10+Module!$K$57/($AC$1+1)</f>
        <v>59.463036490617775</v>
      </c>
      <c r="BI124" s="101">
        <f>$AC$1*(25+Module!$I$6)</f>
        <v>202</v>
      </c>
      <c r="BJ124" s="101">
        <f>(BH124*($AC$1+1)*0.002488974)/($AC$1+1)*Module!$I$5*Module!$I$7</f>
        <v>45.656234094813776</v>
      </c>
      <c r="BK124" s="101">
        <f>$P$120*Module!$I$7*X124*Module!$I$5</f>
        <v>47.41967129738655</v>
      </c>
      <c r="BL124" s="151">
        <f t="shared" si="30"/>
        <v>1000000</v>
      </c>
    </row>
    <row r="125" spans="13:64" ht="19.5" hidden="1" customHeight="1" thickBot="1">
      <c r="W125" s="777"/>
      <c r="X125" s="121">
        <f t="shared" si="32"/>
        <v>22</v>
      </c>
      <c r="Y125" s="122">
        <f>'calcul pneu pour calculateur'!P126</f>
        <v>132.17926594695388</v>
      </c>
      <c r="Z125" s="123">
        <f t="shared" si="48"/>
        <v>264.35853189390775</v>
      </c>
      <c r="AA125" s="123">
        <f t="shared" si="49"/>
        <v>396.53779784086163</v>
      </c>
      <c r="AB125" s="123">
        <f t="shared" si="50"/>
        <v>528.7170637878155</v>
      </c>
      <c r="AC125" s="123">
        <f t="shared" si="51"/>
        <v>660.89632973476932</v>
      </c>
      <c r="AK125" s="121">
        <f t="shared" si="33"/>
        <v>22</v>
      </c>
      <c r="AL125" s="101">
        <f t="shared" si="44"/>
        <v>0</v>
      </c>
      <c r="AM125" s="101">
        <f>10+Module!$K$57/($Z$1+1)</f>
        <v>133.65759122654444</v>
      </c>
      <c r="AN125" s="101">
        <f>$Z$1*(25+Module!$I$6)</f>
        <v>50.5</v>
      </c>
      <c r="AO125" s="101">
        <f>(AM125*($Z$1+1)*0.002488974)/($Z$1+1)*Module!$I$5*Module!$I$7</f>
        <v>102.62345540579445</v>
      </c>
      <c r="AP125" s="101">
        <f>$P$120*Module!$I$7*X125*Module!$I$5</f>
        <v>49.677750882976383</v>
      </c>
      <c r="AQ125" s="151">
        <f t="shared" si="24"/>
        <v>1000000</v>
      </c>
      <c r="AS125" s="101">
        <f t="shared" si="45"/>
        <v>0</v>
      </c>
      <c r="AT125" s="101">
        <f>10+Module!$K$57/($AA$1+1)</f>
        <v>92.438394151029627</v>
      </c>
      <c r="AU125" s="101">
        <f>$AA$1*(25+Module!$I$6)</f>
        <v>101</v>
      </c>
      <c r="AV125" s="101">
        <f>(AT125*($Z$1+1)*0.002488974)/($Z$1+1)*Module!$I$5*Module!$I$7</f>
        <v>70.974999121916298</v>
      </c>
      <c r="AW125" s="101">
        <f>$P$120*Module!$I$7*X125*Module!$I$5</f>
        <v>49.677750882976383</v>
      </c>
      <c r="AX125" s="151">
        <f t="shared" si="26"/>
        <v>1000000</v>
      </c>
      <c r="AZ125" s="101">
        <f t="shared" si="46"/>
        <v>0</v>
      </c>
      <c r="BA125" s="101">
        <f>10+Module!$K$57/($AB$1+1)</f>
        <v>71.82879561327222</v>
      </c>
      <c r="BB125" s="101">
        <f>$AB$1*(25+Module!$I$6)</f>
        <v>151.5</v>
      </c>
      <c r="BC125" s="101">
        <f>(BA125*($AB$1+1)*0.002488974)/($AB$1+1)*Module!$I$5*Module!$I$7</f>
        <v>55.150770979977231</v>
      </c>
      <c r="BD125" s="101">
        <f>$P$120*Module!$I$7*X125*Module!$I$5</f>
        <v>49.677750882976383</v>
      </c>
      <c r="BE125" s="151">
        <f t="shared" si="28"/>
        <v>1000000</v>
      </c>
      <c r="BG125" s="101">
        <f t="shared" si="47"/>
        <v>0</v>
      </c>
      <c r="BH125" s="101">
        <f>10+Module!$K$57/($AC$1+1)</f>
        <v>59.463036490617775</v>
      </c>
      <c r="BI125" s="101">
        <f>$AC$1*(25+Module!$I$6)</f>
        <v>202</v>
      </c>
      <c r="BJ125" s="101">
        <f>(BH125*($AC$1+1)*0.002488974)/($AC$1+1)*Module!$I$5*Module!$I$7</f>
        <v>45.656234094813776</v>
      </c>
      <c r="BK125" s="101">
        <f>$P$120*Module!$I$7*X125*Module!$I$5</f>
        <v>49.677750882976383</v>
      </c>
      <c r="BL125" s="151">
        <f t="shared" si="30"/>
        <v>1000000</v>
      </c>
    </row>
    <row r="126" spans="13:64" ht="19.5" hidden="1" customHeight="1" thickBot="1">
      <c r="W126" s="777"/>
      <c r="X126" s="121">
        <f t="shared" si="32"/>
        <v>23</v>
      </c>
      <c r="Y126" s="122">
        <f>'calcul pneu pour calculateur'!P127</f>
        <v>131.82587184394373</v>
      </c>
      <c r="Z126" s="123">
        <f t="shared" si="48"/>
        <v>263.65174368788746</v>
      </c>
      <c r="AA126" s="123">
        <f t="shared" si="49"/>
        <v>395.47761553183119</v>
      </c>
      <c r="AB126" s="123">
        <f t="shared" si="50"/>
        <v>527.30348737577492</v>
      </c>
      <c r="AC126" s="123">
        <f t="shared" si="51"/>
        <v>659.12935921971871</v>
      </c>
      <c r="AK126" s="121">
        <f t="shared" si="33"/>
        <v>23</v>
      </c>
      <c r="AL126" s="101">
        <f t="shared" si="44"/>
        <v>0</v>
      </c>
      <c r="AM126" s="101">
        <f>10+Module!$K$57/($Z$1+1)</f>
        <v>133.65759122654444</v>
      </c>
      <c r="AN126" s="101">
        <f>$Z$1*(25+Module!$I$6)</f>
        <v>50.5</v>
      </c>
      <c r="AO126" s="101">
        <f>(AM126*($Z$1+1)*0.002488974)/($Z$1+1)*Module!$I$5*Module!$I$7</f>
        <v>102.62345540579445</v>
      </c>
      <c r="AP126" s="101">
        <f>$P$120*Module!$I$7*X126*Module!$I$5</f>
        <v>51.935830468566216</v>
      </c>
      <c r="AQ126" s="151">
        <f t="shared" si="24"/>
        <v>1000000</v>
      </c>
      <c r="AS126" s="101">
        <f t="shared" si="45"/>
        <v>0</v>
      </c>
      <c r="AT126" s="101">
        <f>10+Module!$K$57/($AA$1+1)</f>
        <v>92.438394151029627</v>
      </c>
      <c r="AU126" s="101">
        <f>$AA$1*(25+Module!$I$6)</f>
        <v>101</v>
      </c>
      <c r="AV126" s="101">
        <f>(AT126*($Z$1+1)*0.002488974)/($Z$1+1)*Module!$I$5*Module!$I$7</f>
        <v>70.974999121916298</v>
      </c>
      <c r="AW126" s="101">
        <f>$P$120*Module!$I$7*X126*Module!$I$5</f>
        <v>51.935830468566216</v>
      </c>
      <c r="AX126" s="151">
        <f t="shared" si="26"/>
        <v>1000000</v>
      </c>
      <c r="AZ126" s="101">
        <f t="shared" si="46"/>
        <v>0</v>
      </c>
      <c r="BA126" s="101">
        <f>10+Module!$K$57/($AB$1+1)</f>
        <v>71.82879561327222</v>
      </c>
      <c r="BB126" s="101">
        <f>$AB$1*(25+Module!$I$6)</f>
        <v>151.5</v>
      </c>
      <c r="BC126" s="101">
        <f>(BA126*($AB$1+1)*0.002488974)/($AB$1+1)*Module!$I$5*Module!$I$7</f>
        <v>55.150770979977231</v>
      </c>
      <c r="BD126" s="101">
        <f>$P$120*Module!$I$7*X126*Module!$I$5</f>
        <v>51.935830468566216</v>
      </c>
      <c r="BE126" s="151">
        <f t="shared" si="28"/>
        <v>1000000</v>
      </c>
      <c r="BG126" s="101">
        <f t="shared" si="47"/>
        <v>0</v>
      </c>
      <c r="BH126" s="101">
        <f>10+Module!$K$57/($AC$1+1)</f>
        <v>59.463036490617775</v>
      </c>
      <c r="BI126" s="101">
        <f>$AC$1*(25+Module!$I$6)</f>
        <v>202</v>
      </c>
      <c r="BJ126" s="101">
        <f>(BH126*($AC$1+1)*0.002488974)/($AC$1+1)*Module!$I$5*Module!$I$7</f>
        <v>45.656234094813776</v>
      </c>
      <c r="BK126" s="101">
        <f>$P$120*Module!$I$7*X126*Module!$I$5</f>
        <v>51.935830468566216</v>
      </c>
      <c r="BL126" s="151">
        <f t="shared" si="30"/>
        <v>1000000</v>
      </c>
    </row>
    <row r="127" spans="13:64" ht="19.5" hidden="1" customHeight="1" thickBot="1">
      <c r="W127" s="777"/>
      <c r="X127" s="121">
        <f t="shared" si="32"/>
        <v>24</v>
      </c>
      <c r="Y127" s="122">
        <f>'calcul pneu pour calculateur'!P128</f>
        <v>131.47247774093358</v>
      </c>
      <c r="Z127" s="123">
        <f t="shared" si="48"/>
        <v>262.94495548186717</v>
      </c>
      <c r="AA127" s="123">
        <f t="shared" si="49"/>
        <v>394.41743322280075</v>
      </c>
      <c r="AB127" s="123">
        <f t="shared" si="50"/>
        <v>525.88991096373434</v>
      </c>
      <c r="AC127" s="123">
        <f t="shared" si="51"/>
        <v>657.36238870466786</v>
      </c>
      <c r="AK127" s="121">
        <f t="shared" si="33"/>
        <v>24</v>
      </c>
      <c r="AL127" s="101">
        <f t="shared" si="44"/>
        <v>0</v>
      </c>
      <c r="AM127" s="101">
        <f>10+Module!$K$57/($Z$1+1)</f>
        <v>133.65759122654444</v>
      </c>
      <c r="AN127" s="101">
        <f>$Z$1*(25+Module!$I$6)</f>
        <v>50.5</v>
      </c>
      <c r="AO127" s="101">
        <f>(AM127*($Z$1+1)*0.002488974)/($Z$1+1)*Module!$I$5*Module!$I$7</f>
        <v>102.62345540579445</v>
      </c>
      <c r="AP127" s="101">
        <f>$P$120*Module!$I$7*X127*Module!$I$5</f>
        <v>54.193910054156056</v>
      </c>
      <c r="AQ127" s="151">
        <f t="shared" si="24"/>
        <v>1000000</v>
      </c>
      <c r="AS127" s="101">
        <f t="shared" si="45"/>
        <v>0</v>
      </c>
      <c r="AT127" s="101">
        <f>10+Module!$K$57/($AA$1+1)</f>
        <v>92.438394151029627</v>
      </c>
      <c r="AU127" s="101">
        <f>$AA$1*(25+Module!$I$6)</f>
        <v>101</v>
      </c>
      <c r="AV127" s="101">
        <f>(AT127*($Z$1+1)*0.002488974)/($Z$1+1)*Module!$I$5*Module!$I$7</f>
        <v>70.974999121916298</v>
      </c>
      <c r="AW127" s="101">
        <f>$P$120*Module!$I$7*X127*Module!$I$5</f>
        <v>54.193910054156056</v>
      </c>
      <c r="AX127" s="151">
        <f t="shared" si="26"/>
        <v>1000000</v>
      </c>
      <c r="AZ127" s="101">
        <f t="shared" si="46"/>
        <v>0</v>
      </c>
      <c r="BA127" s="101">
        <f>10+Module!$K$57/($AB$1+1)</f>
        <v>71.82879561327222</v>
      </c>
      <c r="BB127" s="101">
        <f>$AB$1*(25+Module!$I$6)</f>
        <v>151.5</v>
      </c>
      <c r="BC127" s="101">
        <f>(BA127*($AB$1+1)*0.002488974)/($AB$1+1)*Module!$I$5*Module!$I$7</f>
        <v>55.150770979977231</v>
      </c>
      <c r="BD127" s="101">
        <f>$P$120*Module!$I$7*X127*Module!$I$5</f>
        <v>54.193910054156056</v>
      </c>
      <c r="BE127" s="151">
        <f t="shared" si="28"/>
        <v>1000000</v>
      </c>
      <c r="BG127" s="101">
        <f t="shared" si="47"/>
        <v>0</v>
      </c>
      <c r="BH127" s="101">
        <f>10+Module!$K$57/($AC$1+1)</f>
        <v>59.463036490617775</v>
      </c>
      <c r="BI127" s="101">
        <f>$AC$1*(25+Module!$I$6)</f>
        <v>202</v>
      </c>
      <c r="BJ127" s="101">
        <f>(BH127*($AC$1+1)*0.002488974)/($AC$1+1)*Module!$I$5*Module!$I$7</f>
        <v>45.656234094813776</v>
      </c>
      <c r="BK127" s="101">
        <f>$P$120*Module!$I$7*X127*Module!$I$5</f>
        <v>54.193910054156056</v>
      </c>
      <c r="BL127" s="151">
        <f t="shared" si="30"/>
        <v>1000000</v>
      </c>
    </row>
    <row r="128" spans="13:64" ht="19.5" hidden="1" customHeight="1" thickBot="1">
      <c r="W128" s="777"/>
      <c r="X128" s="121">
        <f t="shared" si="32"/>
        <v>25</v>
      </c>
      <c r="Y128" s="122">
        <f>'calcul pneu pour calculateur'!P129</f>
        <v>131.11908363792344</v>
      </c>
      <c r="Z128" s="123">
        <f t="shared" si="48"/>
        <v>262.23816727584688</v>
      </c>
      <c r="AA128" s="123">
        <f t="shared" si="49"/>
        <v>393.35725091377032</v>
      </c>
      <c r="AB128" s="123">
        <f t="shared" si="50"/>
        <v>524.47633455169375</v>
      </c>
      <c r="AC128" s="123">
        <f t="shared" si="51"/>
        <v>655.59541818961725</v>
      </c>
      <c r="AK128" s="121">
        <f t="shared" si="33"/>
        <v>25</v>
      </c>
      <c r="AL128" s="101">
        <f t="shared" si="44"/>
        <v>0</v>
      </c>
      <c r="AM128" s="101">
        <f>10+Module!$K$57/($Z$1+1)</f>
        <v>133.65759122654444</v>
      </c>
      <c r="AN128" s="101">
        <f>$Z$1*(25+Module!$I$6)</f>
        <v>50.5</v>
      </c>
      <c r="AO128" s="101">
        <f>(AM128*($Z$1+1)*0.002488974)/($Z$1+1)*Module!$I$5*Module!$I$7</f>
        <v>102.62345540579445</v>
      </c>
      <c r="AP128" s="101">
        <f>$P$120*Module!$I$7*X128*Module!$I$5</f>
        <v>56.451989639745889</v>
      </c>
      <c r="AQ128" s="151">
        <f t="shared" si="24"/>
        <v>1000000</v>
      </c>
      <c r="AS128" s="101">
        <f t="shared" si="45"/>
        <v>0</v>
      </c>
      <c r="AT128" s="101">
        <f>10+Module!$K$57/($AA$1+1)</f>
        <v>92.438394151029627</v>
      </c>
      <c r="AU128" s="101">
        <f>$AA$1*(25+Module!$I$6)</f>
        <v>101</v>
      </c>
      <c r="AV128" s="101">
        <f>(AT128*($Z$1+1)*0.002488974)/($Z$1+1)*Module!$I$5*Module!$I$7</f>
        <v>70.974999121916298</v>
      </c>
      <c r="AW128" s="101">
        <f>$P$120*Module!$I$7*X128*Module!$I$5</f>
        <v>56.451989639745889</v>
      </c>
      <c r="AX128" s="151">
        <f t="shared" si="26"/>
        <v>1000000</v>
      </c>
      <c r="AZ128" s="101">
        <f t="shared" si="46"/>
        <v>0</v>
      </c>
      <c r="BA128" s="101">
        <f>10+Module!$K$57/($AB$1+1)</f>
        <v>71.82879561327222</v>
      </c>
      <c r="BB128" s="101">
        <f>$AB$1*(25+Module!$I$6)</f>
        <v>151.5</v>
      </c>
      <c r="BC128" s="101">
        <f>(BA128*($AB$1+1)*0.002488974)/($AB$1+1)*Module!$I$5*Module!$I$7</f>
        <v>55.150770979977231</v>
      </c>
      <c r="BD128" s="101">
        <f>$P$120*Module!$I$7*X128*Module!$I$5</f>
        <v>56.451989639745889</v>
      </c>
      <c r="BE128" s="151">
        <f t="shared" si="28"/>
        <v>1000000</v>
      </c>
      <c r="BG128" s="101">
        <f t="shared" si="47"/>
        <v>0</v>
      </c>
      <c r="BH128" s="101">
        <f>10+Module!$K$57/($AC$1+1)</f>
        <v>59.463036490617775</v>
      </c>
      <c r="BI128" s="101">
        <f>$AC$1*(25+Module!$I$6)</f>
        <v>202</v>
      </c>
      <c r="BJ128" s="101">
        <f>(BH128*($AC$1+1)*0.002488974)/($AC$1+1)*Module!$I$5*Module!$I$7</f>
        <v>45.656234094813776</v>
      </c>
      <c r="BK128" s="101">
        <f>$P$120*Module!$I$7*X128*Module!$I$5</f>
        <v>56.451989639745889</v>
      </c>
      <c r="BL128" s="151">
        <f t="shared" si="30"/>
        <v>1000000</v>
      </c>
    </row>
    <row r="129" spans="23:64" ht="19.5" hidden="1" customHeight="1" thickBot="1">
      <c r="W129" s="777"/>
      <c r="X129" s="121">
        <f t="shared" si="32"/>
        <v>26</v>
      </c>
      <c r="Y129" s="122">
        <f>'calcul pneu pour calculateur'!P130</f>
        <v>130.76568953491329</v>
      </c>
      <c r="Z129" s="123">
        <f t="shared" si="48"/>
        <v>261.53137906982658</v>
      </c>
      <c r="AA129" s="123">
        <f t="shared" si="49"/>
        <v>392.29706860473988</v>
      </c>
      <c r="AB129" s="123">
        <f t="shared" si="50"/>
        <v>523.06275813965317</v>
      </c>
      <c r="AC129" s="123">
        <f t="shared" si="51"/>
        <v>653.82844767456641</v>
      </c>
      <c r="AK129" s="121">
        <f t="shared" si="33"/>
        <v>26</v>
      </c>
      <c r="AL129" s="101">
        <f t="shared" si="44"/>
        <v>0</v>
      </c>
      <c r="AM129" s="101">
        <f>10+Module!$K$57/($Z$1+1)</f>
        <v>133.65759122654444</v>
      </c>
      <c r="AN129" s="101">
        <f>$Z$1*(25+Module!$I$6)</f>
        <v>50.5</v>
      </c>
      <c r="AO129" s="101">
        <f>(AM129*($Z$1+1)*0.002488974)/($Z$1+1)*Module!$I$5*Module!$I$7</f>
        <v>102.62345540579445</v>
      </c>
      <c r="AP129" s="101">
        <f>$P$120*Module!$I$7*X129*Module!$I$5</f>
        <v>58.710069225335722</v>
      </c>
      <c r="AQ129" s="151">
        <f t="shared" si="24"/>
        <v>1000000</v>
      </c>
      <c r="AS129" s="101">
        <f t="shared" si="45"/>
        <v>0</v>
      </c>
      <c r="AT129" s="101">
        <f>10+Module!$K$57/($AA$1+1)</f>
        <v>92.438394151029627</v>
      </c>
      <c r="AU129" s="101">
        <f>$AA$1*(25+Module!$I$6)</f>
        <v>101</v>
      </c>
      <c r="AV129" s="101">
        <f>(AT129*($Z$1+1)*0.002488974)/($Z$1+1)*Module!$I$5*Module!$I$7</f>
        <v>70.974999121916298</v>
      </c>
      <c r="AW129" s="101">
        <f>$P$120*Module!$I$7*X129*Module!$I$5</f>
        <v>58.710069225335722</v>
      </c>
      <c r="AX129" s="151">
        <f t="shared" si="26"/>
        <v>1000000</v>
      </c>
      <c r="AZ129" s="101">
        <f t="shared" si="46"/>
        <v>0</v>
      </c>
      <c r="BA129" s="101">
        <f>10+Module!$K$57/($AB$1+1)</f>
        <v>71.82879561327222</v>
      </c>
      <c r="BB129" s="101">
        <f>$AB$1*(25+Module!$I$6)</f>
        <v>151.5</v>
      </c>
      <c r="BC129" s="101">
        <f>(BA129*($AB$1+1)*0.002488974)/($AB$1+1)*Module!$I$5*Module!$I$7</f>
        <v>55.150770979977231</v>
      </c>
      <c r="BD129" s="101">
        <f>$P$120*Module!$I$7*X129*Module!$I$5</f>
        <v>58.710069225335722</v>
      </c>
      <c r="BE129" s="151">
        <f t="shared" si="28"/>
        <v>1000000</v>
      </c>
      <c r="BG129" s="101">
        <f t="shared" si="47"/>
        <v>0</v>
      </c>
      <c r="BH129" s="101">
        <f>10+Module!$K$57/($AC$1+1)</f>
        <v>59.463036490617775</v>
      </c>
      <c r="BI129" s="101">
        <f>$AC$1*(25+Module!$I$6)</f>
        <v>202</v>
      </c>
      <c r="BJ129" s="101">
        <f>(BH129*($AC$1+1)*0.002488974)/($AC$1+1)*Module!$I$5*Module!$I$7</f>
        <v>45.656234094813776</v>
      </c>
      <c r="BK129" s="101">
        <f>$P$120*Module!$I$7*X129*Module!$I$5</f>
        <v>58.710069225335722</v>
      </c>
      <c r="BL129" s="151">
        <f t="shared" si="30"/>
        <v>1000000</v>
      </c>
    </row>
    <row r="130" spans="23:64" ht="19.5" hidden="1" customHeight="1" thickBot="1">
      <c r="W130" s="777"/>
      <c r="X130" s="121">
        <f t="shared" si="32"/>
        <v>27</v>
      </c>
      <c r="Y130" s="122">
        <f>'calcul pneu pour calculateur'!P131</f>
        <v>130.41229543190315</v>
      </c>
      <c r="Z130" s="123">
        <f t="shared" si="48"/>
        <v>260.82459086380629</v>
      </c>
      <c r="AA130" s="123">
        <f t="shared" si="49"/>
        <v>391.23688629570944</v>
      </c>
      <c r="AB130" s="123">
        <f t="shared" si="50"/>
        <v>521.64918172761259</v>
      </c>
      <c r="AC130" s="123">
        <f t="shared" si="51"/>
        <v>652.06147715951579</v>
      </c>
      <c r="AK130" s="121">
        <f t="shared" si="33"/>
        <v>27</v>
      </c>
      <c r="AL130" s="101">
        <f t="shared" si="44"/>
        <v>0</v>
      </c>
      <c r="AM130" s="101">
        <f>10+Module!$K$57/($Z$1+1)</f>
        <v>133.65759122654444</v>
      </c>
      <c r="AN130" s="101">
        <f>$Z$1*(25+Module!$I$6)</f>
        <v>50.5</v>
      </c>
      <c r="AO130" s="101">
        <f>(AM130*($Z$1+1)*0.002488974)/($Z$1+1)*Module!$I$5*Module!$I$7</f>
        <v>102.62345540579445</v>
      </c>
      <c r="AP130" s="101">
        <f>$P$120*Module!$I$7*X130*Module!$I$5</f>
        <v>60.968148810925555</v>
      </c>
      <c r="AQ130" s="151">
        <f t="shared" si="24"/>
        <v>1000000</v>
      </c>
      <c r="AS130" s="101">
        <f t="shared" si="45"/>
        <v>0</v>
      </c>
      <c r="AT130" s="101">
        <f>10+Module!$K$57/($AA$1+1)</f>
        <v>92.438394151029627</v>
      </c>
      <c r="AU130" s="101">
        <f>$AA$1*(25+Module!$I$6)</f>
        <v>101</v>
      </c>
      <c r="AV130" s="101">
        <f>(AT130*($Z$1+1)*0.002488974)/($Z$1+1)*Module!$I$5*Module!$I$7</f>
        <v>70.974999121916298</v>
      </c>
      <c r="AW130" s="101">
        <f>$P$120*Module!$I$7*X130*Module!$I$5</f>
        <v>60.968148810925555</v>
      </c>
      <c r="AX130" s="151">
        <f t="shared" si="26"/>
        <v>1000000</v>
      </c>
      <c r="AZ130" s="101">
        <f t="shared" si="46"/>
        <v>0</v>
      </c>
      <c r="BA130" s="101">
        <f>10+Module!$K$57/($AB$1+1)</f>
        <v>71.82879561327222</v>
      </c>
      <c r="BB130" s="101">
        <f>$AB$1*(25+Module!$I$6)</f>
        <v>151.5</v>
      </c>
      <c r="BC130" s="101">
        <f>(BA130*($AB$1+1)*0.002488974)/($AB$1+1)*Module!$I$5*Module!$I$7</f>
        <v>55.150770979977231</v>
      </c>
      <c r="BD130" s="101">
        <f>$P$120*Module!$I$7*X130*Module!$I$5</f>
        <v>60.968148810925555</v>
      </c>
      <c r="BE130" s="151">
        <f t="shared" si="28"/>
        <v>1000000</v>
      </c>
      <c r="BG130" s="101">
        <f t="shared" si="47"/>
        <v>0</v>
      </c>
      <c r="BH130" s="101">
        <f>10+Module!$K$57/($AC$1+1)</f>
        <v>59.463036490617775</v>
      </c>
      <c r="BI130" s="101">
        <f>$AC$1*(25+Module!$I$6)</f>
        <v>202</v>
      </c>
      <c r="BJ130" s="101">
        <f>(BH130*($AC$1+1)*0.002488974)/($AC$1+1)*Module!$I$5*Module!$I$7</f>
        <v>45.656234094813776</v>
      </c>
      <c r="BK130" s="101">
        <f>$P$120*Module!$I$7*X130*Module!$I$5</f>
        <v>60.968148810925555</v>
      </c>
      <c r="BL130" s="151">
        <f t="shared" si="30"/>
        <v>1000000</v>
      </c>
    </row>
    <row r="131" spans="23:64" ht="19.5" hidden="1" customHeight="1" thickBot="1">
      <c r="W131" s="777"/>
      <c r="X131" s="121">
        <f t="shared" si="32"/>
        <v>28</v>
      </c>
      <c r="Y131" s="122">
        <f>'calcul pneu pour calculateur'!P132</f>
        <v>130.058901328893</v>
      </c>
      <c r="Z131" s="123">
        <f t="shared" si="48"/>
        <v>260.117802657786</v>
      </c>
      <c r="AA131" s="123">
        <f t="shared" si="49"/>
        <v>390.176703986679</v>
      </c>
      <c r="AB131" s="123">
        <f t="shared" si="50"/>
        <v>520.235605315572</v>
      </c>
      <c r="AC131" s="123">
        <f t="shared" si="51"/>
        <v>650.29450664446495</v>
      </c>
      <c r="AK131" s="121">
        <f t="shared" si="33"/>
        <v>28</v>
      </c>
      <c r="AL131" s="101">
        <f t="shared" si="44"/>
        <v>0</v>
      </c>
      <c r="AM131" s="101">
        <f>10+Module!$K$57/($Z$1+1)</f>
        <v>133.65759122654444</v>
      </c>
      <c r="AN131" s="101">
        <f>$Z$1*(25+Module!$I$6)</f>
        <v>50.5</v>
      </c>
      <c r="AO131" s="101">
        <f>(AM131*($Z$1+1)*0.002488974)/($Z$1+1)*Module!$I$5*Module!$I$7</f>
        <v>102.62345540579445</v>
      </c>
      <c r="AP131" s="101">
        <f>$P$120*Module!$I$7*X131*Module!$I$5</f>
        <v>63.226228396515388</v>
      </c>
      <c r="AQ131" s="151">
        <f t="shared" ref="AQ131:AQ194" si="52">IF(AK131 &gt;$AJ$17,1000000,AL131+AN131+AO131-AP131)</f>
        <v>1000000</v>
      </c>
      <c r="AS131" s="101">
        <f t="shared" si="45"/>
        <v>0</v>
      </c>
      <c r="AT131" s="101">
        <f>10+Module!$K$57/($AA$1+1)</f>
        <v>92.438394151029627</v>
      </c>
      <c r="AU131" s="101">
        <f>$AA$1*(25+Module!$I$6)</f>
        <v>101</v>
      </c>
      <c r="AV131" s="101">
        <f>(AT131*($Z$1+1)*0.002488974)/($Z$1+1)*Module!$I$5*Module!$I$7</f>
        <v>70.974999121916298</v>
      </c>
      <c r="AW131" s="101">
        <f>$P$120*Module!$I$7*X131*Module!$I$5</f>
        <v>63.226228396515388</v>
      </c>
      <c r="AX131" s="151">
        <f t="shared" ref="AX131:AX194" si="53">IF(AK131 &gt;$AJ$17,1000000,AS131+AU131+AV131-AW131)</f>
        <v>1000000</v>
      </c>
      <c r="AZ131" s="101">
        <f t="shared" si="46"/>
        <v>0</v>
      </c>
      <c r="BA131" s="101">
        <f>10+Module!$K$57/($AB$1+1)</f>
        <v>71.82879561327222</v>
      </c>
      <c r="BB131" s="101">
        <f>$AB$1*(25+Module!$I$6)</f>
        <v>151.5</v>
      </c>
      <c r="BC131" s="101">
        <f>(BA131*($AB$1+1)*0.002488974)/($AB$1+1)*Module!$I$5*Module!$I$7</f>
        <v>55.150770979977231</v>
      </c>
      <c r="BD131" s="101">
        <f>$P$120*Module!$I$7*X131*Module!$I$5</f>
        <v>63.226228396515388</v>
      </c>
      <c r="BE131" s="151">
        <f t="shared" ref="BE131:BE194" si="54">IF(AK131 &gt;$AJ$17,1000000,AZ131+BB131+BC131-BD131)</f>
        <v>1000000</v>
      </c>
      <c r="BG131" s="101">
        <f t="shared" si="47"/>
        <v>0</v>
      </c>
      <c r="BH131" s="101">
        <f>10+Module!$K$57/($AC$1+1)</f>
        <v>59.463036490617775</v>
      </c>
      <c r="BI131" s="101">
        <f>$AC$1*(25+Module!$I$6)</f>
        <v>202</v>
      </c>
      <c r="BJ131" s="101">
        <f>(BH131*($AC$1+1)*0.002488974)/($AC$1+1)*Module!$I$5*Module!$I$7</f>
        <v>45.656234094813776</v>
      </c>
      <c r="BK131" s="101">
        <f>$P$120*Module!$I$7*X131*Module!$I$5</f>
        <v>63.226228396515388</v>
      </c>
      <c r="BL131" s="151">
        <f t="shared" ref="BL131:BL194" si="55">IF(AK131 &gt;$AJ$17,1000000,BG131+BI131+BJ131-BK131)</f>
        <v>1000000</v>
      </c>
    </row>
    <row r="132" spans="23:64" ht="19.5" hidden="1" customHeight="1" thickBot="1">
      <c r="W132" s="777"/>
      <c r="X132" s="121">
        <f t="shared" ref="X132:X195" si="56">X131+1</f>
        <v>29</v>
      </c>
      <c r="Y132" s="122">
        <f>'calcul pneu pour calculateur'!P133</f>
        <v>129.70550722588285</v>
      </c>
      <c r="Z132" s="123">
        <f t="shared" si="48"/>
        <v>259.41101445176571</v>
      </c>
      <c r="AA132" s="123">
        <f t="shared" si="49"/>
        <v>389.11652167764856</v>
      </c>
      <c r="AB132" s="123">
        <f t="shared" si="50"/>
        <v>518.82202890353142</v>
      </c>
      <c r="AC132" s="123">
        <f t="shared" si="51"/>
        <v>648.52753612941433</v>
      </c>
      <c r="AK132" s="121">
        <f t="shared" ref="AK132:AK195" si="57">AK131+1</f>
        <v>29</v>
      </c>
      <c r="AL132" s="101">
        <f t="shared" si="44"/>
        <v>0</v>
      </c>
      <c r="AM132" s="101">
        <f>10+Module!$K$57/($Z$1+1)</f>
        <v>133.65759122654444</v>
      </c>
      <c r="AN132" s="101">
        <f>$Z$1*(25+Module!$I$6)</f>
        <v>50.5</v>
      </c>
      <c r="AO132" s="101">
        <f>(AM132*($Z$1+1)*0.002488974)/($Z$1+1)*Module!$I$5*Module!$I$7</f>
        <v>102.62345540579445</v>
      </c>
      <c r="AP132" s="101">
        <f>$P$120*Module!$I$7*X132*Module!$I$5</f>
        <v>65.484307982105236</v>
      </c>
      <c r="AQ132" s="151">
        <f t="shared" si="52"/>
        <v>1000000</v>
      </c>
      <c r="AS132" s="101">
        <f t="shared" si="45"/>
        <v>0</v>
      </c>
      <c r="AT132" s="101">
        <f>10+Module!$K$57/($AA$1+1)</f>
        <v>92.438394151029627</v>
      </c>
      <c r="AU132" s="101">
        <f>$AA$1*(25+Module!$I$6)</f>
        <v>101</v>
      </c>
      <c r="AV132" s="101">
        <f>(AT132*($Z$1+1)*0.002488974)/($Z$1+1)*Module!$I$5*Module!$I$7</f>
        <v>70.974999121916298</v>
      </c>
      <c r="AW132" s="101">
        <f>$P$120*Module!$I$7*X132*Module!$I$5</f>
        <v>65.484307982105236</v>
      </c>
      <c r="AX132" s="151">
        <f t="shared" si="53"/>
        <v>1000000</v>
      </c>
      <c r="AZ132" s="101">
        <f t="shared" si="46"/>
        <v>0</v>
      </c>
      <c r="BA132" s="101">
        <f>10+Module!$K$57/($AB$1+1)</f>
        <v>71.82879561327222</v>
      </c>
      <c r="BB132" s="101">
        <f>$AB$1*(25+Module!$I$6)</f>
        <v>151.5</v>
      </c>
      <c r="BC132" s="101">
        <f>(BA132*($AB$1+1)*0.002488974)/($AB$1+1)*Module!$I$5*Module!$I$7</f>
        <v>55.150770979977231</v>
      </c>
      <c r="BD132" s="101">
        <f>$P$120*Module!$I$7*X132*Module!$I$5</f>
        <v>65.484307982105236</v>
      </c>
      <c r="BE132" s="151">
        <f t="shared" si="54"/>
        <v>1000000</v>
      </c>
      <c r="BG132" s="101">
        <f t="shared" si="47"/>
        <v>0</v>
      </c>
      <c r="BH132" s="101">
        <f>10+Module!$K$57/($AC$1+1)</f>
        <v>59.463036490617775</v>
      </c>
      <c r="BI132" s="101">
        <f>$AC$1*(25+Module!$I$6)</f>
        <v>202</v>
      </c>
      <c r="BJ132" s="101">
        <f>(BH132*($AC$1+1)*0.002488974)/($AC$1+1)*Module!$I$5*Module!$I$7</f>
        <v>45.656234094813776</v>
      </c>
      <c r="BK132" s="101">
        <f>$P$120*Module!$I$7*X132*Module!$I$5</f>
        <v>65.484307982105236</v>
      </c>
      <c r="BL132" s="151">
        <f t="shared" si="55"/>
        <v>1000000</v>
      </c>
    </row>
    <row r="133" spans="23:64" ht="19.5" hidden="1" customHeight="1" thickBot="1">
      <c r="W133" s="777"/>
      <c r="X133" s="121">
        <f t="shared" si="56"/>
        <v>30</v>
      </c>
      <c r="Y133" s="122">
        <f>'calcul pneu pour calculateur'!P134</f>
        <v>129.35211312287271</v>
      </c>
      <c r="Z133" s="123">
        <f t="shared" si="48"/>
        <v>258.70422624574542</v>
      </c>
      <c r="AA133" s="123">
        <f t="shared" si="49"/>
        <v>388.05633936861813</v>
      </c>
      <c r="AB133" s="123">
        <f t="shared" si="50"/>
        <v>517.40845249149083</v>
      </c>
      <c r="AC133" s="123">
        <f t="shared" si="51"/>
        <v>646.76056561436349</v>
      </c>
      <c r="AK133" s="121">
        <f t="shared" si="57"/>
        <v>30</v>
      </c>
      <c r="AL133" s="101">
        <f t="shared" si="44"/>
        <v>0</v>
      </c>
      <c r="AM133" s="101">
        <f>10+Module!$K$57/($Z$1+1)</f>
        <v>133.65759122654444</v>
      </c>
      <c r="AN133" s="101">
        <f>$Z$1*(25+Module!$I$6)</f>
        <v>50.5</v>
      </c>
      <c r="AO133" s="101">
        <f>(AM133*($Z$1+1)*0.002488974)/($Z$1+1)*Module!$I$5*Module!$I$7</f>
        <v>102.62345540579445</v>
      </c>
      <c r="AP133" s="101">
        <f>$P$120*Module!$I$7*X133*Module!$I$5</f>
        <v>67.742387567695062</v>
      </c>
      <c r="AQ133" s="151">
        <f t="shared" si="52"/>
        <v>1000000</v>
      </c>
      <c r="AS133" s="101">
        <f t="shared" si="45"/>
        <v>0</v>
      </c>
      <c r="AT133" s="101">
        <f>10+Module!$K$57/($AA$1+1)</f>
        <v>92.438394151029627</v>
      </c>
      <c r="AU133" s="101">
        <f>$AA$1*(25+Module!$I$6)</f>
        <v>101</v>
      </c>
      <c r="AV133" s="101">
        <f>(AT133*($Z$1+1)*0.002488974)/($Z$1+1)*Module!$I$5*Module!$I$7</f>
        <v>70.974999121916298</v>
      </c>
      <c r="AW133" s="101">
        <f>$P$120*Module!$I$7*X133*Module!$I$5</f>
        <v>67.742387567695062</v>
      </c>
      <c r="AX133" s="151">
        <f t="shared" si="53"/>
        <v>1000000</v>
      </c>
      <c r="AZ133" s="101">
        <f t="shared" si="46"/>
        <v>0</v>
      </c>
      <c r="BA133" s="101">
        <f>10+Module!$K$57/($AB$1+1)</f>
        <v>71.82879561327222</v>
      </c>
      <c r="BB133" s="101">
        <f>$AB$1*(25+Module!$I$6)</f>
        <v>151.5</v>
      </c>
      <c r="BC133" s="101">
        <f>(BA133*($AB$1+1)*0.002488974)/($AB$1+1)*Module!$I$5*Module!$I$7</f>
        <v>55.150770979977231</v>
      </c>
      <c r="BD133" s="101">
        <f>$P$120*Module!$I$7*X133*Module!$I$5</f>
        <v>67.742387567695062</v>
      </c>
      <c r="BE133" s="151">
        <f t="shared" si="54"/>
        <v>1000000</v>
      </c>
      <c r="BG133" s="101">
        <f t="shared" si="47"/>
        <v>0</v>
      </c>
      <c r="BH133" s="101">
        <f>10+Module!$K$57/($AC$1+1)</f>
        <v>59.463036490617775</v>
      </c>
      <c r="BI133" s="101">
        <f>$AC$1*(25+Module!$I$6)</f>
        <v>202</v>
      </c>
      <c r="BJ133" s="101">
        <f>(BH133*($AC$1+1)*0.002488974)/($AC$1+1)*Module!$I$5*Module!$I$7</f>
        <v>45.656234094813776</v>
      </c>
      <c r="BK133" s="101">
        <f>$P$120*Module!$I$7*X133*Module!$I$5</f>
        <v>67.742387567695062</v>
      </c>
      <c r="BL133" s="151">
        <f t="shared" si="55"/>
        <v>1000000</v>
      </c>
    </row>
    <row r="134" spans="23:64" ht="19.5" hidden="1" customHeight="1" thickBot="1">
      <c r="W134" s="777"/>
      <c r="X134" s="121">
        <f t="shared" si="56"/>
        <v>31</v>
      </c>
      <c r="Y134" s="122">
        <f>'calcul pneu pour calculateur'!P135</f>
        <v>128.99871901986256</v>
      </c>
      <c r="Z134" s="123">
        <f t="shared" si="48"/>
        <v>257.99743803972513</v>
      </c>
      <c r="AA134" s="123">
        <f t="shared" si="49"/>
        <v>386.99615705958769</v>
      </c>
      <c r="AB134" s="123">
        <f t="shared" si="50"/>
        <v>515.99487607945025</v>
      </c>
      <c r="AC134" s="123">
        <f t="shared" si="51"/>
        <v>644.99359509931287</v>
      </c>
      <c r="AK134" s="121">
        <f t="shared" si="57"/>
        <v>31</v>
      </c>
      <c r="AL134" s="101">
        <f t="shared" si="44"/>
        <v>0</v>
      </c>
      <c r="AM134" s="101">
        <f>10+Module!$K$57/($Z$1+1)</f>
        <v>133.65759122654444</v>
      </c>
      <c r="AN134" s="101">
        <f>$Z$1*(25+Module!$I$6)</f>
        <v>50.5</v>
      </c>
      <c r="AO134" s="101">
        <f>(AM134*($Z$1+1)*0.002488974)/($Z$1+1)*Module!$I$5*Module!$I$7</f>
        <v>102.62345540579445</v>
      </c>
      <c r="AP134" s="101">
        <f>$P$120*Module!$I$7*X134*Module!$I$5</f>
        <v>70.000467153284902</v>
      </c>
      <c r="AQ134" s="151">
        <f t="shared" si="52"/>
        <v>1000000</v>
      </c>
      <c r="AS134" s="101">
        <f t="shared" si="45"/>
        <v>0</v>
      </c>
      <c r="AT134" s="101">
        <f>10+Module!$K$57/($AA$1+1)</f>
        <v>92.438394151029627</v>
      </c>
      <c r="AU134" s="101">
        <f>$AA$1*(25+Module!$I$6)</f>
        <v>101</v>
      </c>
      <c r="AV134" s="101">
        <f>(AT134*($Z$1+1)*0.002488974)/($Z$1+1)*Module!$I$5*Module!$I$7</f>
        <v>70.974999121916298</v>
      </c>
      <c r="AW134" s="101">
        <f>$P$120*Module!$I$7*X134*Module!$I$5</f>
        <v>70.000467153284902</v>
      </c>
      <c r="AX134" s="151">
        <f t="shared" si="53"/>
        <v>1000000</v>
      </c>
      <c r="AZ134" s="101">
        <f t="shared" si="46"/>
        <v>0</v>
      </c>
      <c r="BA134" s="101">
        <f>10+Module!$K$57/($AB$1+1)</f>
        <v>71.82879561327222</v>
      </c>
      <c r="BB134" s="101">
        <f>$AB$1*(25+Module!$I$6)</f>
        <v>151.5</v>
      </c>
      <c r="BC134" s="101">
        <f>(BA134*($AB$1+1)*0.002488974)/($AB$1+1)*Module!$I$5*Module!$I$7</f>
        <v>55.150770979977231</v>
      </c>
      <c r="BD134" s="101">
        <f>$P$120*Module!$I$7*X134*Module!$I$5</f>
        <v>70.000467153284902</v>
      </c>
      <c r="BE134" s="151">
        <f t="shared" si="54"/>
        <v>1000000</v>
      </c>
      <c r="BG134" s="101">
        <f t="shared" si="47"/>
        <v>0</v>
      </c>
      <c r="BH134" s="101">
        <f>10+Module!$K$57/($AC$1+1)</f>
        <v>59.463036490617775</v>
      </c>
      <c r="BI134" s="101">
        <f>$AC$1*(25+Module!$I$6)</f>
        <v>202</v>
      </c>
      <c r="BJ134" s="101">
        <f>(BH134*($AC$1+1)*0.002488974)/($AC$1+1)*Module!$I$5*Module!$I$7</f>
        <v>45.656234094813776</v>
      </c>
      <c r="BK134" s="101">
        <f>$P$120*Module!$I$7*X134*Module!$I$5</f>
        <v>70.000467153284902</v>
      </c>
      <c r="BL134" s="151">
        <f t="shared" si="55"/>
        <v>1000000</v>
      </c>
    </row>
    <row r="135" spans="23:64" ht="19.5" hidden="1" customHeight="1" thickBot="1">
      <c r="W135" s="777"/>
      <c r="X135" s="121">
        <f t="shared" si="56"/>
        <v>32</v>
      </c>
      <c r="Y135" s="122">
        <f>'calcul pneu pour calculateur'!P136</f>
        <v>128.64532491685242</v>
      </c>
      <c r="Z135" s="123">
        <f t="shared" si="48"/>
        <v>257.29064983370483</v>
      </c>
      <c r="AA135" s="123">
        <f t="shared" si="49"/>
        <v>385.93597475055725</v>
      </c>
      <c r="AB135" s="123">
        <f t="shared" si="50"/>
        <v>514.58129966740967</v>
      </c>
      <c r="AC135" s="123">
        <f t="shared" si="51"/>
        <v>643.22662458426203</v>
      </c>
      <c r="AK135" s="121">
        <f t="shared" si="57"/>
        <v>32</v>
      </c>
      <c r="AL135" s="101">
        <f t="shared" si="44"/>
        <v>0</v>
      </c>
      <c r="AM135" s="101">
        <f>10+Module!$K$57/($Z$1+1)</f>
        <v>133.65759122654444</v>
      </c>
      <c r="AN135" s="101">
        <f>$Z$1*(25+Module!$I$6)</f>
        <v>50.5</v>
      </c>
      <c r="AO135" s="101">
        <f>(AM135*($Z$1+1)*0.002488974)/($Z$1+1)*Module!$I$5*Module!$I$7</f>
        <v>102.62345540579445</v>
      </c>
      <c r="AP135" s="101">
        <f>$P$120*Module!$I$7*X135*Module!$I$5</f>
        <v>72.258546738874728</v>
      </c>
      <c r="AQ135" s="151">
        <f t="shared" si="52"/>
        <v>1000000</v>
      </c>
      <c r="AS135" s="101">
        <f t="shared" si="45"/>
        <v>0</v>
      </c>
      <c r="AT135" s="101">
        <f>10+Module!$K$57/($AA$1+1)</f>
        <v>92.438394151029627</v>
      </c>
      <c r="AU135" s="101">
        <f>$AA$1*(25+Module!$I$6)</f>
        <v>101</v>
      </c>
      <c r="AV135" s="101">
        <f>(AT135*($Z$1+1)*0.002488974)/($Z$1+1)*Module!$I$5*Module!$I$7</f>
        <v>70.974999121916298</v>
      </c>
      <c r="AW135" s="101">
        <f>$P$120*Module!$I$7*X135*Module!$I$5</f>
        <v>72.258546738874728</v>
      </c>
      <c r="AX135" s="151">
        <f t="shared" si="53"/>
        <v>1000000</v>
      </c>
      <c r="AZ135" s="101">
        <f t="shared" si="46"/>
        <v>0</v>
      </c>
      <c r="BA135" s="101">
        <f>10+Module!$K$57/($AB$1+1)</f>
        <v>71.82879561327222</v>
      </c>
      <c r="BB135" s="101">
        <f>$AB$1*(25+Module!$I$6)</f>
        <v>151.5</v>
      </c>
      <c r="BC135" s="101">
        <f>(BA135*($AB$1+1)*0.002488974)/($AB$1+1)*Module!$I$5*Module!$I$7</f>
        <v>55.150770979977231</v>
      </c>
      <c r="BD135" s="101">
        <f>$P$120*Module!$I$7*X135*Module!$I$5</f>
        <v>72.258546738874728</v>
      </c>
      <c r="BE135" s="151">
        <f t="shared" si="54"/>
        <v>1000000</v>
      </c>
      <c r="BG135" s="101">
        <f t="shared" si="47"/>
        <v>0</v>
      </c>
      <c r="BH135" s="101">
        <f>10+Module!$K$57/($AC$1+1)</f>
        <v>59.463036490617775</v>
      </c>
      <c r="BI135" s="101">
        <f>$AC$1*(25+Module!$I$6)</f>
        <v>202</v>
      </c>
      <c r="BJ135" s="101">
        <f>(BH135*($AC$1+1)*0.002488974)/($AC$1+1)*Module!$I$5*Module!$I$7</f>
        <v>45.656234094813776</v>
      </c>
      <c r="BK135" s="101">
        <f>$P$120*Module!$I$7*X135*Module!$I$5</f>
        <v>72.258546738874728</v>
      </c>
      <c r="BL135" s="151">
        <f t="shared" si="55"/>
        <v>1000000</v>
      </c>
    </row>
    <row r="136" spans="23:64" ht="19.5" hidden="1" customHeight="1" thickBot="1">
      <c r="W136" s="777"/>
      <c r="X136" s="121">
        <f t="shared" si="56"/>
        <v>33</v>
      </c>
      <c r="Y136" s="122">
        <f>'calcul pneu pour calculateur'!P137</f>
        <v>128.29193081384227</v>
      </c>
      <c r="Z136" s="123">
        <f t="shared" si="48"/>
        <v>256.58386162768454</v>
      </c>
      <c r="AA136" s="123">
        <f t="shared" si="49"/>
        <v>384.87579244152681</v>
      </c>
      <c r="AB136" s="123">
        <f t="shared" si="50"/>
        <v>513.16772325536908</v>
      </c>
      <c r="AC136" s="123">
        <f t="shared" si="51"/>
        <v>641.45965406921141</v>
      </c>
      <c r="AK136" s="121">
        <f t="shared" si="57"/>
        <v>33</v>
      </c>
      <c r="AL136" s="101">
        <f t="shared" si="44"/>
        <v>0</v>
      </c>
      <c r="AM136" s="101">
        <f>10+Module!$K$57/($Z$1+1)</f>
        <v>133.65759122654444</v>
      </c>
      <c r="AN136" s="101">
        <f>$Z$1*(25+Module!$I$6)</f>
        <v>50.5</v>
      </c>
      <c r="AO136" s="101">
        <f>(AM136*($Z$1+1)*0.002488974)/($Z$1+1)*Module!$I$5*Module!$I$7</f>
        <v>102.62345540579445</v>
      </c>
      <c r="AP136" s="101">
        <f>$P$120*Module!$I$7*X136*Module!$I$5</f>
        <v>74.516626324464568</v>
      </c>
      <c r="AQ136" s="151">
        <f t="shared" si="52"/>
        <v>1000000</v>
      </c>
      <c r="AS136" s="101">
        <f t="shared" si="45"/>
        <v>0</v>
      </c>
      <c r="AT136" s="101">
        <f>10+Module!$K$57/($AA$1+1)</f>
        <v>92.438394151029627</v>
      </c>
      <c r="AU136" s="101">
        <f>$AA$1*(25+Module!$I$6)</f>
        <v>101</v>
      </c>
      <c r="AV136" s="101">
        <f>(AT136*($Z$1+1)*0.002488974)/($Z$1+1)*Module!$I$5*Module!$I$7</f>
        <v>70.974999121916298</v>
      </c>
      <c r="AW136" s="101">
        <f>$P$120*Module!$I$7*X136*Module!$I$5</f>
        <v>74.516626324464568</v>
      </c>
      <c r="AX136" s="151">
        <f t="shared" si="53"/>
        <v>1000000</v>
      </c>
      <c r="AZ136" s="101">
        <f t="shared" si="46"/>
        <v>0</v>
      </c>
      <c r="BA136" s="101">
        <f>10+Module!$K$57/($AB$1+1)</f>
        <v>71.82879561327222</v>
      </c>
      <c r="BB136" s="101">
        <f>$AB$1*(25+Module!$I$6)</f>
        <v>151.5</v>
      </c>
      <c r="BC136" s="101">
        <f>(BA136*($AB$1+1)*0.002488974)/($AB$1+1)*Module!$I$5*Module!$I$7</f>
        <v>55.150770979977231</v>
      </c>
      <c r="BD136" s="101">
        <f>$P$120*Module!$I$7*X136*Module!$I$5</f>
        <v>74.516626324464568</v>
      </c>
      <c r="BE136" s="151">
        <f t="shared" si="54"/>
        <v>1000000</v>
      </c>
      <c r="BG136" s="101">
        <f t="shared" si="47"/>
        <v>0</v>
      </c>
      <c r="BH136" s="101">
        <f>10+Module!$K$57/($AC$1+1)</f>
        <v>59.463036490617775</v>
      </c>
      <c r="BI136" s="101">
        <f>$AC$1*(25+Module!$I$6)</f>
        <v>202</v>
      </c>
      <c r="BJ136" s="101">
        <f>(BH136*($AC$1+1)*0.002488974)/($AC$1+1)*Module!$I$5*Module!$I$7</f>
        <v>45.656234094813776</v>
      </c>
      <c r="BK136" s="101">
        <f>$P$120*Module!$I$7*X136*Module!$I$5</f>
        <v>74.516626324464568</v>
      </c>
      <c r="BL136" s="151">
        <f t="shared" si="55"/>
        <v>1000000</v>
      </c>
    </row>
    <row r="137" spans="23:64" ht="19.5" hidden="1" customHeight="1" thickBot="1">
      <c r="W137" s="777"/>
      <c r="X137" s="121">
        <f t="shared" si="56"/>
        <v>34</v>
      </c>
      <c r="Y137" s="122">
        <f>'calcul pneu pour calculateur'!P138</f>
        <v>127.93853671083212</v>
      </c>
      <c r="Z137" s="123">
        <f t="shared" si="48"/>
        <v>255.87707342166425</v>
      </c>
      <c r="AA137" s="123">
        <f t="shared" si="49"/>
        <v>383.81561013249637</v>
      </c>
      <c r="AB137" s="123">
        <f t="shared" si="50"/>
        <v>511.7541468433285</v>
      </c>
      <c r="AC137" s="123">
        <f t="shared" si="51"/>
        <v>639.69268355416057</v>
      </c>
      <c r="AK137" s="121">
        <f t="shared" si="57"/>
        <v>34</v>
      </c>
      <c r="AL137" s="101">
        <f t="shared" si="44"/>
        <v>0</v>
      </c>
      <c r="AM137" s="101">
        <f>10+Module!$K$57/($Z$1+1)</f>
        <v>133.65759122654444</v>
      </c>
      <c r="AN137" s="101">
        <f>$Z$1*(25+Module!$I$6)</f>
        <v>50.5</v>
      </c>
      <c r="AO137" s="101">
        <f>(AM137*($Z$1+1)*0.002488974)/($Z$1+1)*Module!$I$5*Module!$I$7</f>
        <v>102.62345540579445</v>
      </c>
      <c r="AP137" s="101">
        <f>$P$120*Module!$I$7*X137*Module!$I$5</f>
        <v>76.774705910054408</v>
      </c>
      <c r="AQ137" s="151">
        <f t="shared" si="52"/>
        <v>1000000</v>
      </c>
      <c r="AS137" s="101">
        <f t="shared" si="45"/>
        <v>0</v>
      </c>
      <c r="AT137" s="101">
        <f>10+Module!$K$57/($AA$1+1)</f>
        <v>92.438394151029627</v>
      </c>
      <c r="AU137" s="101">
        <f>$AA$1*(25+Module!$I$6)</f>
        <v>101</v>
      </c>
      <c r="AV137" s="101">
        <f>(AT137*($Z$1+1)*0.002488974)/($Z$1+1)*Module!$I$5*Module!$I$7</f>
        <v>70.974999121916298</v>
      </c>
      <c r="AW137" s="101">
        <f>$P$120*Module!$I$7*X137*Module!$I$5</f>
        <v>76.774705910054408</v>
      </c>
      <c r="AX137" s="151">
        <f t="shared" si="53"/>
        <v>1000000</v>
      </c>
      <c r="AZ137" s="101">
        <f t="shared" si="46"/>
        <v>0</v>
      </c>
      <c r="BA137" s="101">
        <f>10+Module!$K$57/($AB$1+1)</f>
        <v>71.82879561327222</v>
      </c>
      <c r="BB137" s="101">
        <f>$AB$1*(25+Module!$I$6)</f>
        <v>151.5</v>
      </c>
      <c r="BC137" s="101">
        <f>(BA137*($AB$1+1)*0.002488974)/($AB$1+1)*Module!$I$5*Module!$I$7</f>
        <v>55.150770979977231</v>
      </c>
      <c r="BD137" s="101">
        <f>$P$120*Module!$I$7*X137*Module!$I$5</f>
        <v>76.774705910054408</v>
      </c>
      <c r="BE137" s="151">
        <f t="shared" si="54"/>
        <v>1000000</v>
      </c>
      <c r="BG137" s="101">
        <f t="shared" si="47"/>
        <v>0</v>
      </c>
      <c r="BH137" s="101">
        <f>10+Module!$K$57/($AC$1+1)</f>
        <v>59.463036490617775</v>
      </c>
      <c r="BI137" s="101">
        <f>$AC$1*(25+Module!$I$6)</f>
        <v>202</v>
      </c>
      <c r="BJ137" s="101">
        <f>(BH137*($AC$1+1)*0.002488974)/($AC$1+1)*Module!$I$5*Module!$I$7</f>
        <v>45.656234094813776</v>
      </c>
      <c r="BK137" s="101">
        <f>$P$120*Module!$I$7*X137*Module!$I$5</f>
        <v>76.774705910054408</v>
      </c>
      <c r="BL137" s="151">
        <f t="shared" si="55"/>
        <v>1000000</v>
      </c>
    </row>
    <row r="138" spans="23:64" ht="19.5" hidden="1" customHeight="1" thickBot="1">
      <c r="W138" s="777"/>
      <c r="X138" s="121">
        <f t="shared" si="56"/>
        <v>35</v>
      </c>
      <c r="Y138" s="122">
        <f>'calcul pneu pour calculateur'!P139</f>
        <v>127.58514260782199</v>
      </c>
      <c r="Z138" s="123">
        <f t="shared" si="48"/>
        <v>255.17028521564399</v>
      </c>
      <c r="AA138" s="123">
        <f t="shared" si="49"/>
        <v>382.75542782346599</v>
      </c>
      <c r="AB138" s="123">
        <f t="shared" si="50"/>
        <v>510.34057043128797</v>
      </c>
      <c r="AC138" s="123">
        <f t="shared" si="51"/>
        <v>637.92571303910995</v>
      </c>
      <c r="AK138" s="121">
        <f t="shared" si="57"/>
        <v>35</v>
      </c>
      <c r="AL138" s="101">
        <f t="shared" si="44"/>
        <v>0</v>
      </c>
      <c r="AM138" s="101">
        <f>10+Module!$K$57/($Z$1+1)</f>
        <v>133.65759122654444</v>
      </c>
      <c r="AN138" s="101">
        <f>$Z$1*(25+Module!$I$6)</f>
        <v>50.5</v>
      </c>
      <c r="AO138" s="101">
        <f>(AM138*($Z$1+1)*0.002488974)/($Z$1+1)*Module!$I$5*Module!$I$7</f>
        <v>102.62345540579445</v>
      </c>
      <c r="AP138" s="101">
        <f>$P$120*Module!$I$7*X138*Module!$I$5</f>
        <v>79.032785495644234</v>
      </c>
      <c r="AQ138" s="151">
        <f t="shared" si="52"/>
        <v>1000000</v>
      </c>
      <c r="AS138" s="101">
        <f t="shared" si="45"/>
        <v>0</v>
      </c>
      <c r="AT138" s="101">
        <f>10+Module!$K$57/($AA$1+1)</f>
        <v>92.438394151029627</v>
      </c>
      <c r="AU138" s="101">
        <f>$AA$1*(25+Module!$I$6)</f>
        <v>101</v>
      </c>
      <c r="AV138" s="101">
        <f>(AT138*($Z$1+1)*0.002488974)/($Z$1+1)*Module!$I$5*Module!$I$7</f>
        <v>70.974999121916298</v>
      </c>
      <c r="AW138" s="101">
        <f>$P$120*Module!$I$7*X138*Module!$I$5</f>
        <v>79.032785495644234</v>
      </c>
      <c r="AX138" s="151">
        <f t="shared" si="53"/>
        <v>1000000</v>
      </c>
      <c r="AZ138" s="101">
        <f t="shared" si="46"/>
        <v>0</v>
      </c>
      <c r="BA138" s="101">
        <f>10+Module!$K$57/($AB$1+1)</f>
        <v>71.82879561327222</v>
      </c>
      <c r="BB138" s="101">
        <f>$AB$1*(25+Module!$I$6)</f>
        <v>151.5</v>
      </c>
      <c r="BC138" s="101">
        <f>(BA138*($AB$1+1)*0.002488974)/($AB$1+1)*Module!$I$5*Module!$I$7</f>
        <v>55.150770979977231</v>
      </c>
      <c r="BD138" s="101">
        <f>$P$120*Module!$I$7*X138*Module!$I$5</f>
        <v>79.032785495644234</v>
      </c>
      <c r="BE138" s="151">
        <f t="shared" si="54"/>
        <v>1000000</v>
      </c>
      <c r="BG138" s="101">
        <f t="shared" si="47"/>
        <v>0</v>
      </c>
      <c r="BH138" s="101">
        <f>10+Module!$K$57/($AC$1+1)</f>
        <v>59.463036490617775</v>
      </c>
      <c r="BI138" s="101">
        <f>$AC$1*(25+Module!$I$6)</f>
        <v>202</v>
      </c>
      <c r="BJ138" s="101">
        <f>(BH138*($AC$1+1)*0.002488974)/($AC$1+1)*Module!$I$5*Module!$I$7</f>
        <v>45.656234094813776</v>
      </c>
      <c r="BK138" s="101">
        <f>$P$120*Module!$I$7*X138*Module!$I$5</f>
        <v>79.032785495644234</v>
      </c>
      <c r="BL138" s="151">
        <f t="shared" si="55"/>
        <v>1000000</v>
      </c>
    </row>
    <row r="139" spans="23:64" ht="19.5" hidden="1" customHeight="1" thickBot="1">
      <c r="W139" s="777"/>
      <c r="X139" s="121">
        <f t="shared" si="56"/>
        <v>36</v>
      </c>
      <c r="Y139" s="122">
        <f>'calcul pneu pour calculateur'!P140</f>
        <v>127.23174850481185</v>
      </c>
      <c r="Z139" s="123">
        <f t="shared" si="48"/>
        <v>254.46349700962369</v>
      </c>
      <c r="AA139" s="123">
        <f t="shared" si="49"/>
        <v>381.69524551443556</v>
      </c>
      <c r="AB139" s="123">
        <f t="shared" si="50"/>
        <v>508.92699401924739</v>
      </c>
      <c r="AC139" s="123">
        <f t="shared" si="51"/>
        <v>636.15874252405922</v>
      </c>
      <c r="AK139" s="121">
        <f t="shared" si="57"/>
        <v>36</v>
      </c>
      <c r="AL139" s="101">
        <f t="shared" si="44"/>
        <v>0</v>
      </c>
      <c r="AM139" s="101">
        <f>10+Module!$K$57/($Z$1+1)</f>
        <v>133.65759122654444</v>
      </c>
      <c r="AN139" s="101">
        <f>$Z$1*(25+Module!$I$6)</f>
        <v>50.5</v>
      </c>
      <c r="AO139" s="101">
        <f>(AM139*($Z$1+1)*0.002488974)/($Z$1+1)*Module!$I$5*Module!$I$7</f>
        <v>102.62345540579445</v>
      </c>
      <c r="AP139" s="101">
        <f>$P$120*Module!$I$7*X139*Module!$I$5</f>
        <v>81.290865081234074</v>
      </c>
      <c r="AQ139" s="151">
        <f t="shared" si="52"/>
        <v>1000000</v>
      </c>
      <c r="AS139" s="101">
        <f t="shared" si="45"/>
        <v>0</v>
      </c>
      <c r="AT139" s="101">
        <f>10+Module!$K$57/($AA$1+1)</f>
        <v>92.438394151029627</v>
      </c>
      <c r="AU139" s="101">
        <f>$AA$1*(25+Module!$I$6)</f>
        <v>101</v>
      </c>
      <c r="AV139" s="101">
        <f>(AT139*($Z$1+1)*0.002488974)/($Z$1+1)*Module!$I$5*Module!$I$7</f>
        <v>70.974999121916298</v>
      </c>
      <c r="AW139" s="101">
        <f>$P$120*Module!$I$7*X139*Module!$I$5</f>
        <v>81.290865081234074</v>
      </c>
      <c r="AX139" s="151">
        <f t="shared" si="53"/>
        <v>1000000</v>
      </c>
      <c r="AZ139" s="101">
        <f t="shared" si="46"/>
        <v>0</v>
      </c>
      <c r="BA139" s="101">
        <f>10+Module!$K$57/($AB$1+1)</f>
        <v>71.82879561327222</v>
      </c>
      <c r="BB139" s="101">
        <f>$AB$1*(25+Module!$I$6)</f>
        <v>151.5</v>
      </c>
      <c r="BC139" s="101">
        <f>(BA139*($AB$1+1)*0.002488974)/($AB$1+1)*Module!$I$5*Module!$I$7</f>
        <v>55.150770979977231</v>
      </c>
      <c r="BD139" s="101">
        <f>$P$120*Module!$I$7*X139*Module!$I$5</f>
        <v>81.290865081234074</v>
      </c>
      <c r="BE139" s="151">
        <f t="shared" si="54"/>
        <v>1000000</v>
      </c>
      <c r="BG139" s="101">
        <f t="shared" si="47"/>
        <v>0</v>
      </c>
      <c r="BH139" s="101">
        <f>10+Module!$K$57/($AC$1+1)</f>
        <v>59.463036490617775</v>
      </c>
      <c r="BI139" s="101">
        <f>$AC$1*(25+Module!$I$6)</f>
        <v>202</v>
      </c>
      <c r="BJ139" s="101">
        <f>(BH139*($AC$1+1)*0.002488974)/($AC$1+1)*Module!$I$5*Module!$I$7</f>
        <v>45.656234094813776</v>
      </c>
      <c r="BK139" s="101">
        <f>$P$120*Module!$I$7*X139*Module!$I$5</f>
        <v>81.290865081234074</v>
      </c>
      <c r="BL139" s="151">
        <f t="shared" si="55"/>
        <v>1000000</v>
      </c>
    </row>
    <row r="140" spans="23:64" ht="19.5" hidden="1" customHeight="1" thickBot="1">
      <c r="W140" s="777"/>
      <c r="X140" s="121">
        <f t="shared" si="56"/>
        <v>37</v>
      </c>
      <c r="Y140" s="122">
        <f>'calcul pneu pour calculateur'!P141</f>
        <v>126.8783544018017</v>
      </c>
      <c r="Z140" s="123">
        <f t="shared" si="48"/>
        <v>253.7567088036034</v>
      </c>
      <c r="AA140" s="123">
        <f t="shared" si="49"/>
        <v>380.63506320540512</v>
      </c>
      <c r="AB140" s="123">
        <f t="shared" si="50"/>
        <v>507.5134176072068</v>
      </c>
      <c r="AC140" s="123">
        <f t="shared" si="51"/>
        <v>634.39177200900849</v>
      </c>
      <c r="AK140" s="121">
        <f t="shared" si="57"/>
        <v>37</v>
      </c>
      <c r="AL140" s="101">
        <f t="shared" si="44"/>
        <v>0</v>
      </c>
      <c r="AM140" s="101">
        <f>10+Module!$K$57/($Z$1+1)</f>
        <v>133.65759122654444</v>
      </c>
      <c r="AN140" s="101">
        <f>$Z$1*(25+Module!$I$6)</f>
        <v>50.5</v>
      </c>
      <c r="AO140" s="101">
        <f>(AM140*($Z$1+1)*0.002488974)/($Z$1+1)*Module!$I$5*Module!$I$7</f>
        <v>102.62345540579445</v>
      </c>
      <c r="AP140" s="101">
        <f>$P$120*Module!$I$7*X140*Module!$I$5</f>
        <v>83.548944666823914</v>
      </c>
      <c r="AQ140" s="151">
        <f t="shared" si="52"/>
        <v>1000000</v>
      </c>
      <c r="AS140" s="101">
        <f t="shared" si="45"/>
        <v>0</v>
      </c>
      <c r="AT140" s="101">
        <f>10+Module!$K$57/($AA$1+1)</f>
        <v>92.438394151029627</v>
      </c>
      <c r="AU140" s="101">
        <f>$AA$1*(25+Module!$I$6)</f>
        <v>101</v>
      </c>
      <c r="AV140" s="101">
        <f>(AT140*($Z$1+1)*0.002488974)/($Z$1+1)*Module!$I$5*Module!$I$7</f>
        <v>70.974999121916298</v>
      </c>
      <c r="AW140" s="101">
        <f>$P$120*Module!$I$7*X140*Module!$I$5</f>
        <v>83.548944666823914</v>
      </c>
      <c r="AX140" s="151">
        <f t="shared" si="53"/>
        <v>1000000</v>
      </c>
      <c r="AZ140" s="101">
        <f t="shared" si="46"/>
        <v>0</v>
      </c>
      <c r="BA140" s="101">
        <f>10+Module!$K$57/($AB$1+1)</f>
        <v>71.82879561327222</v>
      </c>
      <c r="BB140" s="101">
        <f>$AB$1*(25+Module!$I$6)</f>
        <v>151.5</v>
      </c>
      <c r="BC140" s="101">
        <f>(BA140*($AB$1+1)*0.002488974)/($AB$1+1)*Module!$I$5*Module!$I$7</f>
        <v>55.150770979977231</v>
      </c>
      <c r="BD140" s="101">
        <f>$P$120*Module!$I$7*X140*Module!$I$5</f>
        <v>83.548944666823914</v>
      </c>
      <c r="BE140" s="151">
        <f t="shared" si="54"/>
        <v>1000000</v>
      </c>
      <c r="BG140" s="101">
        <f t="shared" si="47"/>
        <v>0</v>
      </c>
      <c r="BH140" s="101">
        <f>10+Module!$K$57/($AC$1+1)</f>
        <v>59.463036490617775</v>
      </c>
      <c r="BI140" s="101">
        <f>$AC$1*(25+Module!$I$6)</f>
        <v>202</v>
      </c>
      <c r="BJ140" s="101">
        <f>(BH140*($AC$1+1)*0.002488974)/($AC$1+1)*Module!$I$5*Module!$I$7</f>
        <v>45.656234094813776</v>
      </c>
      <c r="BK140" s="101">
        <f>$P$120*Module!$I$7*X140*Module!$I$5</f>
        <v>83.548944666823914</v>
      </c>
      <c r="BL140" s="151">
        <f t="shared" si="55"/>
        <v>1000000</v>
      </c>
    </row>
    <row r="141" spans="23:64" ht="19.5" hidden="1" customHeight="1" thickBot="1">
      <c r="W141" s="777"/>
      <c r="X141" s="121">
        <f t="shared" si="56"/>
        <v>38</v>
      </c>
      <c r="Y141" s="122">
        <f>'calcul pneu pour calculateur'!P142</f>
        <v>126.52496029879157</v>
      </c>
      <c r="Z141" s="123">
        <f t="shared" si="48"/>
        <v>253.04992059758314</v>
      </c>
      <c r="AA141" s="123">
        <f t="shared" si="49"/>
        <v>379.57488089637468</v>
      </c>
      <c r="AB141" s="123">
        <f t="shared" si="50"/>
        <v>506.09984119516628</v>
      </c>
      <c r="AC141" s="123">
        <f t="shared" si="51"/>
        <v>632.62480149395788</v>
      </c>
      <c r="AK141" s="121">
        <f t="shared" si="57"/>
        <v>38</v>
      </c>
      <c r="AL141" s="101">
        <f t="shared" si="44"/>
        <v>0</v>
      </c>
      <c r="AM141" s="101">
        <f>10+Module!$K$57/($Z$1+1)</f>
        <v>133.65759122654444</v>
      </c>
      <c r="AN141" s="101">
        <f>$Z$1*(25+Module!$I$6)</f>
        <v>50.5</v>
      </c>
      <c r="AO141" s="101">
        <f>(AM141*($Z$1+1)*0.002488974)/($Z$1+1)*Module!$I$5*Module!$I$7</f>
        <v>102.62345540579445</v>
      </c>
      <c r="AP141" s="101">
        <f>$P$120*Module!$I$7*X141*Module!$I$5</f>
        <v>85.807024252413754</v>
      </c>
      <c r="AQ141" s="151">
        <f t="shared" si="52"/>
        <v>1000000</v>
      </c>
      <c r="AS141" s="101">
        <f t="shared" si="45"/>
        <v>0</v>
      </c>
      <c r="AT141" s="101">
        <f>10+Module!$K$57/($AA$1+1)</f>
        <v>92.438394151029627</v>
      </c>
      <c r="AU141" s="101">
        <f>$AA$1*(25+Module!$I$6)</f>
        <v>101</v>
      </c>
      <c r="AV141" s="101">
        <f>(AT141*($Z$1+1)*0.002488974)/($Z$1+1)*Module!$I$5*Module!$I$7</f>
        <v>70.974999121916298</v>
      </c>
      <c r="AW141" s="101">
        <f>$P$120*Module!$I$7*X141*Module!$I$5</f>
        <v>85.807024252413754</v>
      </c>
      <c r="AX141" s="151">
        <f t="shared" si="53"/>
        <v>1000000</v>
      </c>
      <c r="AZ141" s="101">
        <f t="shared" si="46"/>
        <v>0</v>
      </c>
      <c r="BA141" s="101">
        <f>10+Module!$K$57/($AB$1+1)</f>
        <v>71.82879561327222</v>
      </c>
      <c r="BB141" s="101">
        <f>$AB$1*(25+Module!$I$6)</f>
        <v>151.5</v>
      </c>
      <c r="BC141" s="101">
        <f>(BA141*($AB$1+1)*0.002488974)/($AB$1+1)*Module!$I$5*Module!$I$7</f>
        <v>55.150770979977231</v>
      </c>
      <c r="BD141" s="101">
        <f>$P$120*Module!$I$7*X141*Module!$I$5</f>
        <v>85.807024252413754</v>
      </c>
      <c r="BE141" s="151">
        <f t="shared" si="54"/>
        <v>1000000</v>
      </c>
      <c r="BG141" s="101">
        <f t="shared" si="47"/>
        <v>0</v>
      </c>
      <c r="BH141" s="101">
        <f>10+Module!$K$57/($AC$1+1)</f>
        <v>59.463036490617775</v>
      </c>
      <c r="BI141" s="101">
        <f>$AC$1*(25+Module!$I$6)</f>
        <v>202</v>
      </c>
      <c r="BJ141" s="101">
        <f>(BH141*($AC$1+1)*0.002488974)/($AC$1+1)*Module!$I$5*Module!$I$7</f>
        <v>45.656234094813776</v>
      </c>
      <c r="BK141" s="101">
        <f>$P$120*Module!$I$7*X141*Module!$I$5</f>
        <v>85.807024252413754</v>
      </c>
      <c r="BL141" s="151">
        <f t="shared" si="55"/>
        <v>1000000</v>
      </c>
    </row>
    <row r="142" spans="23:64" ht="19.5" hidden="1" customHeight="1" thickBot="1">
      <c r="W142" s="777"/>
      <c r="X142" s="121">
        <f t="shared" si="56"/>
        <v>39</v>
      </c>
      <c r="Y142" s="122">
        <f>'calcul pneu pour calculateur'!P143</f>
        <v>126.17156619578141</v>
      </c>
      <c r="Z142" s="123">
        <f t="shared" si="48"/>
        <v>252.34313239156282</v>
      </c>
      <c r="AA142" s="123">
        <f t="shared" si="49"/>
        <v>378.51469858734424</v>
      </c>
      <c r="AB142" s="123">
        <f t="shared" si="50"/>
        <v>504.68626478312564</v>
      </c>
      <c r="AC142" s="123">
        <f t="shared" si="51"/>
        <v>630.85783097890703</v>
      </c>
      <c r="AK142" s="121">
        <f t="shared" si="57"/>
        <v>39</v>
      </c>
      <c r="AL142" s="101">
        <f t="shared" si="44"/>
        <v>0</v>
      </c>
      <c r="AM142" s="101">
        <f>10+Module!$K$57/($Z$1+1)</f>
        <v>133.65759122654444</v>
      </c>
      <c r="AN142" s="101">
        <f>$Z$1*(25+Module!$I$6)</f>
        <v>50.5</v>
      </c>
      <c r="AO142" s="101">
        <f>(AM142*($Z$1+1)*0.002488974)/($Z$1+1)*Module!$I$5*Module!$I$7</f>
        <v>102.62345540579445</v>
      </c>
      <c r="AP142" s="101">
        <f>$P$120*Module!$I$7*X142*Module!$I$5</f>
        <v>88.06510383800358</v>
      </c>
      <c r="AQ142" s="151">
        <f t="shared" si="52"/>
        <v>1000000</v>
      </c>
      <c r="AS142" s="101">
        <f t="shared" si="45"/>
        <v>0</v>
      </c>
      <c r="AT142" s="101">
        <f>10+Module!$K$57/($AA$1+1)</f>
        <v>92.438394151029627</v>
      </c>
      <c r="AU142" s="101">
        <f>$AA$1*(25+Module!$I$6)</f>
        <v>101</v>
      </c>
      <c r="AV142" s="101">
        <f>(AT142*($Z$1+1)*0.002488974)/($Z$1+1)*Module!$I$5*Module!$I$7</f>
        <v>70.974999121916298</v>
      </c>
      <c r="AW142" s="101">
        <f>$P$120*Module!$I$7*X142*Module!$I$5</f>
        <v>88.06510383800358</v>
      </c>
      <c r="AX142" s="151">
        <f t="shared" si="53"/>
        <v>1000000</v>
      </c>
      <c r="AZ142" s="101">
        <f t="shared" si="46"/>
        <v>0</v>
      </c>
      <c r="BA142" s="101">
        <f>10+Module!$K$57/($AB$1+1)</f>
        <v>71.82879561327222</v>
      </c>
      <c r="BB142" s="101">
        <f>$AB$1*(25+Module!$I$6)</f>
        <v>151.5</v>
      </c>
      <c r="BC142" s="101">
        <f>(BA142*($AB$1+1)*0.002488974)/($AB$1+1)*Module!$I$5*Module!$I$7</f>
        <v>55.150770979977231</v>
      </c>
      <c r="BD142" s="101">
        <f>$P$120*Module!$I$7*X142*Module!$I$5</f>
        <v>88.06510383800358</v>
      </c>
      <c r="BE142" s="151">
        <f t="shared" si="54"/>
        <v>1000000</v>
      </c>
      <c r="BG142" s="101">
        <f t="shared" si="47"/>
        <v>0</v>
      </c>
      <c r="BH142" s="101">
        <f>10+Module!$K$57/($AC$1+1)</f>
        <v>59.463036490617775</v>
      </c>
      <c r="BI142" s="101">
        <f>$AC$1*(25+Module!$I$6)</f>
        <v>202</v>
      </c>
      <c r="BJ142" s="101">
        <f>(BH142*($AC$1+1)*0.002488974)/($AC$1+1)*Module!$I$5*Module!$I$7</f>
        <v>45.656234094813776</v>
      </c>
      <c r="BK142" s="101">
        <f>$P$120*Module!$I$7*X142*Module!$I$5</f>
        <v>88.06510383800358</v>
      </c>
      <c r="BL142" s="151">
        <f t="shared" si="55"/>
        <v>1000000</v>
      </c>
    </row>
    <row r="143" spans="23:64" ht="19.5" hidden="1" customHeight="1" thickBot="1">
      <c r="W143" s="777"/>
      <c r="X143" s="121">
        <f t="shared" si="56"/>
        <v>40</v>
      </c>
      <c r="Y143" s="122">
        <f>'calcul pneu pour calculateur'!P144</f>
        <v>125.81817209277128</v>
      </c>
      <c r="Z143" s="123">
        <f t="shared" si="48"/>
        <v>251.63634418554255</v>
      </c>
      <c r="AA143" s="123">
        <f t="shared" si="49"/>
        <v>377.4545162783138</v>
      </c>
      <c r="AB143" s="123">
        <f t="shared" si="50"/>
        <v>503.27268837108511</v>
      </c>
      <c r="AC143" s="123">
        <f t="shared" si="51"/>
        <v>629.09086046385642</v>
      </c>
      <c r="AK143" s="121">
        <f t="shared" si="57"/>
        <v>40</v>
      </c>
      <c r="AL143" s="101">
        <f t="shared" si="44"/>
        <v>0</v>
      </c>
      <c r="AM143" s="101">
        <f>10+Module!$K$57/($Z$1+1)</f>
        <v>133.65759122654444</v>
      </c>
      <c r="AN143" s="101">
        <f>$Z$1*(25+Module!$I$6)</f>
        <v>50.5</v>
      </c>
      <c r="AO143" s="101">
        <f>(AM143*($Z$1+1)*0.002488974)/($Z$1+1)*Module!$I$5*Module!$I$7</f>
        <v>102.62345540579445</v>
      </c>
      <c r="AP143" s="101">
        <f>$P$120*Module!$I$7*X143*Module!$I$5</f>
        <v>90.32318342359342</v>
      </c>
      <c r="AQ143" s="151">
        <f t="shared" si="52"/>
        <v>1000000</v>
      </c>
      <c r="AS143" s="101">
        <f t="shared" si="45"/>
        <v>0</v>
      </c>
      <c r="AT143" s="101">
        <f>10+Module!$K$57/($AA$1+1)</f>
        <v>92.438394151029627</v>
      </c>
      <c r="AU143" s="101">
        <f>$AA$1*(25+Module!$I$6)</f>
        <v>101</v>
      </c>
      <c r="AV143" s="101">
        <f>(AT143*($Z$1+1)*0.002488974)/($Z$1+1)*Module!$I$5*Module!$I$7</f>
        <v>70.974999121916298</v>
      </c>
      <c r="AW143" s="101">
        <f>$P$120*Module!$I$7*X143*Module!$I$5</f>
        <v>90.32318342359342</v>
      </c>
      <c r="AX143" s="151">
        <f t="shared" si="53"/>
        <v>1000000</v>
      </c>
      <c r="AZ143" s="101">
        <f t="shared" si="46"/>
        <v>0</v>
      </c>
      <c r="BA143" s="101">
        <f>10+Module!$K$57/($AB$1+1)</f>
        <v>71.82879561327222</v>
      </c>
      <c r="BB143" s="101">
        <f>$AB$1*(25+Module!$I$6)</f>
        <v>151.5</v>
      </c>
      <c r="BC143" s="101">
        <f>(BA143*($AB$1+1)*0.002488974)/($AB$1+1)*Module!$I$5*Module!$I$7</f>
        <v>55.150770979977231</v>
      </c>
      <c r="BD143" s="101">
        <f>$P$120*Module!$I$7*X143*Module!$I$5</f>
        <v>90.32318342359342</v>
      </c>
      <c r="BE143" s="151">
        <f t="shared" si="54"/>
        <v>1000000</v>
      </c>
      <c r="BG143" s="101">
        <f t="shared" si="47"/>
        <v>0</v>
      </c>
      <c r="BH143" s="101">
        <f>10+Module!$K$57/($AC$1+1)</f>
        <v>59.463036490617775</v>
      </c>
      <c r="BI143" s="101">
        <f>$AC$1*(25+Module!$I$6)</f>
        <v>202</v>
      </c>
      <c r="BJ143" s="101">
        <f>(BH143*($AC$1+1)*0.002488974)/($AC$1+1)*Module!$I$5*Module!$I$7</f>
        <v>45.656234094813776</v>
      </c>
      <c r="BK143" s="101">
        <f>$P$120*Module!$I$7*X143*Module!$I$5</f>
        <v>90.32318342359342</v>
      </c>
      <c r="BL143" s="151">
        <f t="shared" si="55"/>
        <v>1000000</v>
      </c>
    </row>
    <row r="144" spans="23:64" ht="19.5" hidden="1" customHeight="1" thickBot="1">
      <c r="W144" s="777"/>
      <c r="X144" s="121">
        <f t="shared" si="56"/>
        <v>41</v>
      </c>
      <c r="Y144" s="122">
        <f>'calcul pneu pour calculateur'!P145</f>
        <v>125.46477798976113</v>
      </c>
      <c r="Z144" s="123">
        <f t="shared" si="48"/>
        <v>250.92955597952226</v>
      </c>
      <c r="AA144" s="123">
        <f t="shared" si="49"/>
        <v>376.39433396928337</v>
      </c>
      <c r="AB144" s="123">
        <f t="shared" si="50"/>
        <v>501.85911195904453</v>
      </c>
      <c r="AC144" s="123">
        <f t="shared" si="51"/>
        <v>627.32388994880569</v>
      </c>
      <c r="AK144" s="121">
        <f t="shared" si="57"/>
        <v>41</v>
      </c>
      <c r="AL144" s="101">
        <f t="shared" si="44"/>
        <v>0</v>
      </c>
      <c r="AM144" s="101">
        <f>10+Module!$K$57/($Z$1+1)</f>
        <v>133.65759122654444</v>
      </c>
      <c r="AN144" s="101">
        <f>$Z$1*(25+Module!$I$6)</f>
        <v>50.5</v>
      </c>
      <c r="AO144" s="101">
        <f>(AM144*($Z$1+1)*0.002488974)/($Z$1+1)*Module!$I$5*Module!$I$7</f>
        <v>102.62345540579445</v>
      </c>
      <c r="AP144" s="101">
        <f>$P$120*Module!$I$7*X144*Module!$I$5</f>
        <v>92.581263009183246</v>
      </c>
      <c r="AQ144" s="151">
        <f t="shared" si="52"/>
        <v>1000000</v>
      </c>
      <c r="AS144" s="101">
        <f t="shared" si="45"/>
        <v>0</v>
      </c>
      <c r="AT144" s="101">
        <f>10+Module!$K$57/($AA$1+1)</f>
        <v>92.438394151029627</v>
      </c>
      <c r="AU144" s="101">
        <f>$AA$1*(25+Module!$I$6)</f>
        <v>101</v>
      </c>
      <c r="AV144" s="101">
        <f>(AT144*($Z$1+1)*0.002488974)/($Z$1+1)*Module!$I$5*Module!$I$7</f>
        <v>70.974999121916298</v>
      </c>
      <c r="AW144" s="101">
        <f>$P$120*Module!$I$7*X144*Module!$I$5</f>
        <v>92.581263009183246</v>
      </c>
      <c r="AX144" s="151">
        <f t="shared" si="53"/>
        <v>1000000</v>
      </c>
      <c r="AZ144" s="101">
        <f t="shared" si="46"/>
        <v>0</v>
      </c>
      <c r="BA144" s="101">
        <f>10+Module!$K$57/($AB$1+1)</f>
        <v>71.82879561327222</v>
      </c>
      <c r="BB144" s="101">
        <f>$AB$1*(25+Module!$I$6)</f>
        <v>151.5</v>
      </c>
      <c r="BC144" s="101">
        <f>(BA144*($AB$1+1)*0.002488974)/($AB$1+1)*Module!$I$5*Module!$I$7</f>
        <v>55.150770979977231</v>
      </c>
      <c r="BD144" s="101">
        <f>$P$120*Module!$I$7*X144*Module!$I$5</f>
        <v>92.581263009183246</v>
      </c>
      <c r="BE144" s="151">
        <f t="shared" si="54"/>
        <v>1000000</v>
      </c>
      <c r="BG144" s="101">
        <f t="shared" si="47"/>
        <v>0</v>
      </c>
      <c r="BH144" s="101">
        <f>10+Module!$K$57/($AC$1+1)</f>
        <v>59.463036490617775</v>
      </c>
      <c r="BI144" s="101">
        <f>$AC$1*(25+Module!$I$6)</f>
        <v>202</v>
      </c>
      <c r="BJ144" s="101">
        <f>(BH144*($AC$1+1)*0.002488974)/($AC$1+1)*Module!$I$5*Module!$I$7</f>
        <v>45.656234094813776</v>
      </c>
      <c r="BK144" s="101">
        <f>$P$120*Module!$I$7*X144*Module!$I$5</f>
        <v>92.581263009183246</v>
      </c>
      <c r="BL144" s="151">
        <f t="shared" si="55"/>
        <v>1000000</v>
      </c>
    </row>
    <row r="145" spans="23:64" ht="19.5" hidden="1" customHeight="1" thickBot="1">
      <c r="W145" s="777"/>
      <c r="X145" s="121">
        <f t="shared" si="56"/>
        <v>42</v>
      </c>
      <c r="Y145" s="122">
        <f>'calcul pneu pour calculateur'!P146</f>
        <v>125.11138388675099</v>
      </c>
      <c r="Z145" s="123">
        <f t="shared" si="48"/>
        <v>250.22276777350197</v>
      </c>
      <c r="AA145" s="123">
        <f t="shared" si="49"/>
        <v>375.33415166025293</v>
      </c>
      <c r="AB145" s="123">
        <f t="shared" si="50"/>
        <v>500.44553554700394</v>
      </c>
      <c r="AC145" s="123">
        <f t="shared" si="51"/>
        <v>625.55691943375496</v>
      </c>
      <c r="AK145" s="121">
        <f t="shared" si="57"/>
        <v>42</v>
      </c>
      <c r="AL145" s="101">
        <f t="shared" si="44"/>
        <v>0</v>
      </c>
      <c r="AM145" s="101">
        <f>10+Module!$K$57/($Z$1+1)</f>
        <v>133.65759122654444</v>
      </c>
      <c r="AN145" s="101">
        <f>$Z$1*(25+Module!$I$6)</f>
        <v>50.5</v>
      </c>
      <c r="AO145" s="101">
        <f>(AM145*($Z$1+1)*0.002488974)/($Z$1+1)*Module!$I$5*Module!$I$7</f>
        <v>102.62345540579445</v>
      </c>
      <c r="AP145" s="101">
        <f>$P$120*Module!$I$7*X145*Module!$I$5</f>
        <v>94.8393425947731</v>
      </c>
      <c r="AQ145" s="151">
        <f t="shared" si="52"/>
        <v>1000000</v>
      </c>
      <c r="AS145" s="101">
        <f t="shared" si="45"/>
        <v>0</v>
      </c>
      <c r="AT145" s="101">
        <f>10+Module!$K$57/($AA$1+1)</f>
        <v>92.438394151029627</v>
      </c>
      <c r="AU145" s="101">
        <f>$AA$1*(25+Module!$I$6)</f>
        <v>101</v>
      </c>
      <c r="AV145" s="101">
        <f>(AT145*($Z$1+1)*0.002488974)/($Z$1+1)*Module!$I$5*Module!$I$7</f>
        <v>70.974999121916298</v>
      </c>
      <c r="AW145" s="101">
        <f>$P$120*Module!$I$7*X145*Module!$I$5</f>
        <v>94.8393425947731</v>
      </c>
      <c r="AX145" s="151">
        <f t="shared" si="53"/>
        <v>1000000</v>
      </c>
      <c r="AZ145" s="101">
        <f t="shared" si="46"/>
        <v>0</v>
      </c>
      <c r="BA145" s="101">
        <f>10+Module!$K$57/($AB$1+1)</f>
        <v>71.82879561327222</v>
      </c>
      <c r="BB145" s="101">
        <f>$AB$1*(25+Module!$I$6)</f>
        <v>151.5</v>
      </c>
      <c r="BC145" s="101">
        <f>(BA145*($AB$1+1)*0.002488974)/($AB$1+1)*Module!$I$5*Module!$I$7</f>
        <v>55.150770979977231</v>
      </c>
      <c r="BD145" s="101">
        <f>$P$120*Module!$I$7*X145*Module!$I$5</f>
        <v>94.8393425947731</v>
      </c>
      <c r="BE145" s="151">
        <f t="shared" si="54"/>
        <v>1000000</v>
      </c>
      <c r="BG145" s="101">
        <f t="shared" si="47"/>
        <v>0</v>
      </c>
      <c r="BH145" s="101">
        <f>10+Module!$K$57/($AC$1+1)</f>
        <v>59.463036490617775</v>
      </c>
      <c r="BI145" s="101">
        <f>$AC$1*(25+Module!$I$6)</f>
        <v>202</v>
      </c>
      <c r="BJ145" s="101">
        <f>(BH145*($AC$1+1)*0.002488974)/($AC$1+1)*Module!$I$5*Module!$I$7</f>
        <v>45.656234094813776</v>
      </c>
      <c r="BK145" s="101">
        <f>$P$120*Module!$I$7*X145*Module!$I$5</f>
        <v>94.8393425947731</v>
      </c>
      <c r="BL145" s="151">
        <f t="shared" si="55"/>
        <v>1000000</v>
      </c>
    </row>
    <row r="146" spans="23:64" ht="19.5" hidden="1" customHeight="1" thickBot="1">
      <c r="W146" s="777"/>
      <c r="X146" s="121">
        <f t="shared" si="56"/>
        <v>43</v>
      </c>
      <c r="Y146" s="122">
        <f>'calcul pneu pour calculateur'!P147</f>
        <v>124.75798978374084</v>
      </c>
      <c r="Z146" s="123">
        <f t="shared" si="48"/>
        <v>249.51597956748168</v>
      </c>
      <c r="AA146" s="123">
        <f t="shared" si="49"/>
        <v>374.27396935122249</v>
      </c>
      <c r="AB146" s="123">
        <f t="shared" si="50"/>
        <v>499.03195913496336</v>
      </c>
      <c r="AC146" s="123">
        <f t="shared" si="51"/>
        <v>623.78994891870423</v>
      </c>
      <c r="AK146" s="121">
        <f t="shared" si="57"/>
        <v>43</v>
      </c>
      <c r="AL146" s="101">
        <f t="shared" si="44"/>
        <v>0</v>
      </c>
      <c r="AM146" s="101">
        <f>10+Module!$K$57/($Z$1+1)</f>
        <v>133.65759122654444</v>
      </c>
      <c r="AN146" s="101">
        <f>$Z$1*(25+Module!$I$6)</f>
        <v>50.5</v>
      </c>
      <c r="AO146" s="101">
        <f>(AM146*($Z$1+1)*0.002488974)/($Z$1+1)*Module!$I$5*Module!$I$7</f>
        <v>102.62345540579445</v>
      </c>
      <c r="AP146" s="101">
        <f>$P$120*Module!$I$7*X146*Module!$I$5</f>
        <v>97.097422180362926</v>
      </c>
      <c r="AQ146" s="151">
        <f t="shared" si="52"/>
        <v>1000000</v>
      </c>
      <c r="AS146" s="101">
        <f t="shared" si="45"/>
        <v>0</v>
      </c>
      <c r="AT146" s="101">
        <f>10+Module!$K$57/($AA$1+1)</f>
        <v>92.438394151029627</v>
      </c>
      <c r="AU146" s="101">
        <f>$AA$1*(25+Module!$I$6)</f>
        <v>101</v>
      </c>
      <c r="AV146" s="101">
        <f>(AT146*($Z$1+1)*0.002488974)/($Z$1+1)*Module!$I$5*Module!$I$7</f>
        <v>70.974999121916298</v>
      </c>
      <c r="AW146" s="101">
        <f>$P$120*Module!$I$7*X146*Module!$I$5</f>
        <v>97.097422180362926</v>
      </c>
      <c r="AX146" s="151">
        <f t="shared" si="53"/>
        <v>1000000</v>
      </c>
      <c r="AZ146" s="101">
        <f t="shared" si="46"/>
        <v>0</v>
      </c>
      <c r="BA146" s="101">
        <f>10+Module!$K$57/($AB$1+1)</f>
        <v>71.82879561327222</v>
      </c>
      <c r="BB146" s="101">
        <f>$AB$1*(25+Module!$I$6)</f>
        <v>151.5</v>
      </c>
      <c r="BC146" s="101">
        <f>(BA146*($AB$1+1)*0.002488974)/($AB$1+1)*Module!$I$5*Module!$I$7</f>
        <v>55.150770979977231</v>
      </c>
      <c r="BD146" s="101">
        <f>$P$120*Module!$I$7*X146*Module!$I$5</f>
        <v>97.097422180362926</v>
      </c>
      <c r="BE146" s="151">
        <f t="shared" si="54"/>
        <v>1000000</v>
      </c>
      <c r="BG146" s="101">
        <f t="shared" si="47"/>
        <v>0</v>
      </c>
      <c r="BH146" s="101">
        <f>10+Module!$K$57/($AC$1+1)</f>
        <v>59.463036490617775</v>
      </c>
      <c r="BI146" s="101">
        <f>$AC$1*(25+Module!$I$6)</f>
        <v>202</v>
      </c>
      <c r="BJ146" s="101">
        <f>(BH146*($AC$1+1)*0.002488974)/($AC$1+1)*Module!$I$5*Module!$I$7</f>
        <v>45.656234094813776</v>
      </c>
      <c r="BK146" s="101">
        <f>$P$120*Module!$I$7*X146*Module!$I$5</f>
        <v>97.097422180362926</v>
      </c>
      <c r="BL146" s="151">
        <f t="shared" si="55"/>
        <v>1000000</v>
      </c>
    </row>
    <row r="147" spans="23:64" ht="19.5" hidden="1" customHeight="1" thickBot="1">
      <c r="W147" s="777"/>
      <c r="X147" s="121">
        <f t="shared" si="56"/>
        <v>44</v>
      </c>
      <c r="Y147" s="122">
        <f>'calcul pneu pour calculateur'!P148</f>
        <v>124.40459568073069</v>
      </c>
      <c r="Z147" s="123">
        <f t="shared" si="48"/>
        <v>248.80919136146139</v>
      </c>
      <c r="AA147" s="123">
        <f t="shared" si="49"/>
        <v>373.21378704219205</v>
      </c>
      <c r="AB147" s="123">
        <f t="shared" si="50"/>
        <v>497.61838272292277</v>
      </c>
      <c r="AC147" s="123">
        <f t="shared" si="51"/>
        <v>622.0229784036535</v>
      </c>
      <c r="AK147" s="121">
        <f t="shared" si="57"/>
        <v>44</v>
      </c>
      <c r="AL147" s="101">
        <f t="shared" si="44"/>
        <v>0</v>
      </c>
      <c r="AM147" s="101">
        <f>10+Module!$K$57/($Z$1+1)</f>
        <v>133.65759122654444</v>
      </c>
      <c r="AN147" s="101">
        <f>$Z$1*(25+Module!$I$6)</f>
        <v>50.5</v>
      </c>
      <c r="AO147" s="101">
        <f>(AM147*($Z$1+1)*0.002488974)/($Z$1+1)*Module!$I$5*Module!$I$7</f>
        <v>102.62345540579445</v>
      </c>
      <c r="AP147" s="101">
        <f>$P$120*Module!$I$7*X147*Module!$I$5</f>
        <v>99.355501765952766</v>
      </c>
      <c r="AQ147" s="151">
        <f t="shared" si="52"/>
        <v>1000000</v>
      </c>
      <c r="AS147" s="101">
        <f t="shared" si="45"/>
        <v>0</v>
      </c>
      <c r="AT147" s="101">
        <f>10+Module!$K$57/($AA$1+1)</f>
        <v>92.438394151029627</v>
      </c>
      <c r="AU147" s="101">
        <f>$AA$1*(25+Module!$I$6)</f>
        <v>101</v>
      </c>
      <c r="AV147" s="101">
        <f>(AT147*($Z$1+1)*0.002488974)/($Z$1+1)*Module!$I$5*Module!$I$7</f>
        <v>70.974999121916298</v>
      </c>
      <c r="AW147" s="101">
        <f>$P$120*Module!$I$7*X147*Module!$I$5</f>
        <v>99.355501765952766</v>
      </c>
      <c r="AX147" s="151">
        <f t="shared" si="53"/>
        <v>1000000</v>
      </c>
      <c r="AZ147" s="101">
        <f t="shared" si="46"/>
        <v>0</v>
      </c>
      <c r="BA147" s="101">
        <f>10+Module!$K$57/($AB$1+1)</f>
        <v>71.82879561327222</v>
      </c>
      <c r="BB147" s="101">
        <f>$AB$1*(25+Module!$I$6)</f>
        <v>151.5</v>
      </c>
      <c r="BC147" s="101">
        <f>(BA147*($AB$1+1)*0.002488974)/($AB$1+1)*Module!$I$5*Module!$I$7</f>
        <v>55.150770979977231</v>
      </c>
      <c r="BD147" s="101">
        <f>$P$120*Module!$I$7*X147*Module!$I$5</f>
        <v>99.355501765952766</v>
      </c>
      <c r="BE147" s="151">
        <f t="shared" si="54"/>
        <v>1000000</v>
      </c>
      <c r="BG147" s="101">
        <f t="shared" si="47"/>
        <v>0</v>
      </c>
      <c r="BH147" s="101">
        <f>10+Module!$K$57/($AC$1+1)</f>
        <v>59.463036490617775</v>
      </c>
      <c r="BI147" s="101">
        <f>$AC$1*(25+Module!$I$6)</f>
        <v>202</v>
      </c>
      <c r="BJ147" s="101">
        <f>(BH147*($AC$1+1)*0.002488974)/($AC$1+1)*Module!$I$5*Module!$I$7</f>
        <v>45.656234094813776</v>
      </c>
      <c r="BK147" s="101">
        <f>$P$120*Module!$I$7*X147*Module!$I$5</f>
        <v>99.355501765952766</v>
      </c>
      <c r="BL147" s="151">
        <f t="shared" si="55"/>
        <v>1000000</v>
      </c>
    </row>
    <row r="148" spans="23:64" ht="19.5" hidden="1" customHeight="1" thickBot="1">
      <c r="W148" s="777"/>
      <c r="X148" s="121">
        <f t="shared" si="56"/>
        <v>45</v>
      </c>
      <c r="Y148" s="122">
        <f>'calcul pneu pour calculateur'!P149</f>
        <v>124.05120157772055</v>
      </c>
      <c r="Z148" s="123">
        <f t="shared" si="48"/>
        <v>248.1024031554411</v>
      </c>
      <c r="AA148" s="123">
        <f t="shared" si="49"/>
        <v>372.15360473316161</v>
      </c>
      <c r="AB148" s="123">
        <f t="shared" si="50"/>
        <v>496.20480631088219</v>
      </c>
      <c r="AC148" s="123">
        <f t="shared" si="51"/>
        <v>620.25600788860277</v>
      </c>
      <c r="AK148" s="121">
        <f t="shared" si="57"/>
        <v>45</v>
      </c>
      <c r="AL148" s="101">
        <f t="shared" si="44"/>
        <v>0</v>
      </c>
      <c r="AM148" s="101">
        <f>10+Module!$K$57/($Z$1+1)</f>
        <v>133.65759122654444</v>
      </c>
      <c r="AN148" s="101">
        <f>$Z$1*(25+Module!$I$6)</f>
        <v>50.5</v>
      </c>
      <c r="AO148" s="101">
        <f>(AM148*($Z$1+1)*0.002488974)/($Z$1+1)*Module!$I$5*Module!$I$7</f>
        <v>102.62345540579445</v>
      </c>
      <c r="AP148" s="101">
        <f>$P$120*Module!$I$7*X148*Module!$I$5</f>
        <v>101.61358135154259</v>
      </c>
      <c r="AQ148" s="151">
        <f t="shared" si="52"/>
        <v>1000000</v>
      </c>
      <c r="AS148" s="101">
        <f t="shared" si="45"/>
        <v>0</v>
      </c>
      <c r="AT148" s="101">
        <f>10+Module!$K$57/($AA$1+1)</f>
        <v>92.438394151029627</v>
      </c>
      <c r="AU148" s="101">
        <f>$AA$1*(25+Module!$I$6)</f>
        <v>101</v>
      </c>
      <c r="AV148" s="101">
        <f>(AT148*($Z$1+1)*0.002488974)/($Z$1+1)*Module!$I$5*Module!$I$7</f>
        <v>70.974999121916298</v>
      </c>
      <c r="AW148" s="101">
        <f>$P$120*Module!$I$7*X148*Module!$I$5</f>
        <v>101.61358135154259</v>
      </c>
      <c r="AX148" s="151">
        <f t="shared" si="53"/>
        <v>1000000</v>
      </c>
      <c r="AZ148" s="101">
        <f t="shared" si="46"/>
        <v>0</v>
      </c>
      <c r="BA148" s="101">
        <f>10+Module!$K$57/($AB$1+1)</f>
        <v>71.82879561327222</v>
      </c>
      <c r="BB148" s="101">
        <f>$AB$1*(25+Module!$I$6)</f>
        <v>151.5</v>
      </c>
      <c r="BC148" s="101">
        <f>(BA148*($AB$1+1)*0.002488974)/($AB$1+1)*Module!$I$5*Module!$I$7</f>
        <v>55.150770979977231</v>
      </c>
      <c r="BD148" s="101">
        <f>$P$120*Module!$I$7*X148*Module!$I$5</f>
        <v>101.61358135154259</v>
      </c>
      <c r="BE148" s="151">
        <f t="shared" si="54"/>
        <v>1000000</v>
      </c>
      <c r="BG148" s="101">
        <f t="shared" si="47"/>
        <v>0</v>
      </c>
      <c r="BH148" s="101">
        <f>10+Module!$K$57/($AC$1+1)</f>
        <v>59.463036490617775</v>
      </c>
      <c r="BI148" s="101">
        <f>$AC$1*(25+Module!$I$6)</f>
        <v>202</v>
      </c>
      <c r="BJ148" s="101">
        <f>(BH148*($AC$1+1)*0.002488974)/($AC$1+1)*Module!$I$5*Module!$I$7</f>
        <v>45.656234094813776</v>
      </c>
      <c r="BK148" s="101">
        <f>$P$120*Module!$I$7*X148*Module!$I$5</f>
        <v>101.61358135154259</v>
      </c>
      <c r="BL148" s="151">
        <f t="shared" si="55"/>
        <v>1000000</v>
      </c>
    </row>
    <row r="149" spans="23:64" ht="19.5" hidden="1" customHeight="1" thickBot="1">
      <c r="W149" s="777"/>
      <c r="X149" s="121">
        <f t="shared" si="56"/>
        <v>46</v>
      </c>
      <c r="Y149" s="122">
        <f>'calcul pneu pour calculateur'!P150</f>
        <v>123.6978074747104</v>
      </c>
      <c r="Z149" s="123">
        <f t="shared" si="48"/>
        <v>247.3956149494208</v>
      </c>
      <c r="AA149" s="123">
        <f t="shared" si="49"/>
        <v>371.09342242413118</v>
      </c>
      <c r="AB149" s="123">
        <f t="shared" si="50"/>
        <v>494.79122989884161</v>
      </c>
      <c r="AC149" s="123">
        <f t="shared" si="51"/>
        <v>618.48903737355204</v>
      </c>
      <c r="AK149" s="121">
        <f t="shared" si="57"/>
        <v>46</v>
      </c>
      <c r="AL149" s="101">
        <f t="shared" si="44"/>
        <v>0</v>
      </c>
      <c r="AM149" s="101">
        <f>10+Module!$K$57/($Z$1+1)</f>
        <v>133.65759122654444</v>
      </c>
      <c r="AN149" s="101">
        <f>$Z$1*(25+Module!$I$6)</f>
        <v>50.5</v>
      </c>
      <c r="AO149" s="101">
        <f>(AM149*($Z$1+1)*0.002488974)/($Z$1+1)*Module!$I$5*Module!$I$7</f>
        <v>102.62345540579445</v>
      </c>
      <c r="AP149" s="101">
        <f>$P$120*Module!$I$7*X149*Module!$I$5</f>
        <v>103.87166093713243</v>
      </c>
      <c r="AQ149" s="151">
        <f t="shared" si="52"/>
        <v>1000000</v>
      </c>
      <c r="AS149" s="101">
        <f t="shared" si="45"/>
        <v>0</v>
      </c>
      <c r="AT149" s="101">
        <f>10+Module!$K$57/($AA$1+1)</f>
        <v>92.438394151029627</v>
      </c>
      <c r="AU149" s="101">
        <f>$AA$1*(25+Module!$I$6)</f>
        <v>101</v>
      </c>
      <c r="AV149" s="101">
        <f>(AT149*($Z$1+1)*0.002488974)/($Z$1+1)*Module!$I$5*Module!$I$7</f>
        <v>70.974999121916298</v>
      </c>
      <c r="AW149" s="101">
        <f>$P$120*Module!$I$7*X149*Module!$I$5</f>
        <v>103.87166093713243</v>
      </c>
      <c r="AX149" s="151">
        <f t="shared" si="53"/>
        <v>1000000</v>
      </c>
      <c r="AZ149" s="101">
        <f t="shared" si="46"/>
        <v>0</v>
      </c>
      <c r="BA149" s="101">
        <f>10+Module!$K$57/($AB$1+1)</f>
        <v>71.82879561327222</v>
      </c>
      <c r="BB149" s="101">
        <f>$AB$1*(25+Module!$I$6)</f>
        <v>151.5</v>
      </c>
      <c r="BC149" s="101">
        <f>(BA149*($AB$1+1)*0.002488974)/($AB$1+1)*Module!$I$5*Module!$I$7</f>
        <v>55.150770979977231</v>
      </c>
      <c r="BD149" s="101">
        <f>$P$120*Module!$I$7*X149*Module!$I$5</f>
        <v>103.87166093713243</v>
      </c>
      <c r="BE149" s="151">
        <f t="shared" si="54"/>
        <v>1000000</v>
      </c>
      <c r="BG149" s="101">
        <f t="shared" si="47"/>
        <v>0</v>
      </c>
      <c r="BH149" s="101">
        <f>10+Module!$K$57/($AC$1+1)</f>
        <v>59.463036490617775</v>
      </c>
      <c r="BI149" s="101">
        <f>$AC$1*(25+Module!$I$6)</f>
        <v>202</v>
      </c>
      <c r="BJ149" s="101">
        <f>(BH149*($AC$1+1)*0.002488974)/($AC$1+1)*Module!$I$5*Module!$I$7</f>
        <v>45.656234094813776</v>
      </c>
      <c r="BK149" s="101">
        <f>$P$120*Module!$I$7*X149*Module!$I$5</f>
        <v>103.87166093713243</v>
      </c>
      <c r="BL149" s="151">
        <f t="shared" si="55"/>
        <v>1000000</v>
      </c>
    </row>
    <row r="150" spans="23:64" ht="19.5" hidden="1" customHeight="1" thickBot="1">
      <c r="W150" s="777"/>
      <c r="X150" s="121">
        <f t="shared" si="56"/>
        <v>47</v>
      </c>
      <c r="Y150" s="122">
        <f>'calcul pneu pour calculateur'!P151</f>
        <v>123.34441337170026</v>
      </c>
      <c r="Z150" s="123">
        <f t="shared" si="48"/>
        <v>246.68882674340051</v>
      </c>
      <c r="AA150" s="123">
        <f t="shared" si="49"/>
        <v>370.03324011510074</v>
      </c>
      <c r="AB150" s="123">
        <f t="shared" si="50"/>
        <v>493.37765348680102</v>
      </c>
      <c r="AC150" s="123">
        <f t="shared" si="51"/>
        <v>616.72206685850131</v>
      </c>
      <c r="AK150" s="121">
        <f t="shared" si="57"/>
        <v>47</v>
      </c>
      <c r="AL150" s="101">
        <f t="shared" si="44"/>
        <v>0</v>
      </c>
      <c r="AM150" s="101">
        <f>10+Module!$K$57/($Z$1+1)</f>
        <v>133.65759122654444</v>
      </c>
      <c r="AN150" s="101">
        <f>$Z$1*(25+Module!$I$6)</f>
        <v>50.5</v>
      </c>
      <c r="AO150" s="101">
        <f>(AM150*($Z$1+1)*0.002488974)/($Z$1+1)*Module!$I$5*Module!$I$7</f>
        <v>102.62345540579445</v>
      </c>
      <c r="AP150" s="101">
        <f>$P$120*Module!$I$7*X150*Module!$I$5</f>
        <v>106.12974052272226</v>
      </c>
      <c r="AQ150" s="151">
        <f t="shared" si="52"/>
        <v>1000000</v>
      </c>
      <c r="AS150" s="101">
        <f t="shared" si="45"/>
        <v>0</v>
      </c>
      <c r="AT150" s="101">
        <f>10+Module!$K$57/($AA$1+1)</f>
        <v>92.438394151029627</v>
      </c>
      <c r="AU150" s="101">
        <f>$AA$1*(25+Module!$I$6)</f>
        <v>101</v>
      </c>
      <c r="AV150" s="101">
        <f>(AT150*($Z$1+1)*0.002488974)/($Z$1+1)*Module!$I$5*Module!$I$7</f>
        <v>70.974999121916298</v>
      </c>
      <c r="AW150" s="101">
        <f>$P$120*Module!$I$7*X150*Module!$I$5</f>
        <v>106.12974052272226</v>
      </c>
      <c r="AX150" s="151">
        <f t="shared" si="53"/>
        <v>1000000</v>
      </c>
      <c r="AZ150" s="101">
        <f t="shared" si="46"/>
        <v>0</v>
      </c>
      <c r="BA150" s="101">
        <f>10+Module!$K$57/($AB$1+1)</f>
        <v>71.82879561327222</v>
      </c>
      <c r="BB150" s="101">
        <f>$AB$1*(25+Module!$I$6)</f>
        <v>151.5</v>
      </c>
      <c r="BC150" s="101">
        <f>(BA150*($AB$1+1)*0.002488974)/($AB$1+1)*Module!$I$5*Module!$I$7</f>
        <v>55.150770979977231</v>
      </c>
      <c r="BD150" s="101">
        <f>$P$120*Module!$I$7*X150*Module!$I$5</f>
        <v>106.12974052272226</v>
      </c>
      <c r="BE150" s="151">
        <f t="shared" si="54"/>
        <v>1000000</v>
      </c>
      <c r="BG150" s="101">
        <f t="shared" si="47"/>
        <v>0</v>
      </c>
      <c r="BH150" s="101">
        <f>10+Module!$K$57/($AC$1+1)</f>
        <v>59.463036490617775</v>
      </c>
      <c r="BI150" s="101">
        <f>$AC$1*(25+Module!$I$6)</f>
        <v>202</v>
      </c>
      <c r="BJ150" s="101">
        <f>(BH150*($AC$1+1)*0.002488974)/($AC$1+1)*Module!$I$5*Module!$I$7</f>
        <v>45.656234094813776</v>
      </c>
      <c r="BK150" s="101">
        <f>$P$120*Module!$I$7*X150*Module!$I$5</f>
        <v>106.12974052272226</v>
      </c>
      <c r="BL150" s="151">
        <f t="shared" si="55"/>
        <v>1000000</v>
      </c>
    </row>
    <row r="151" spans="23:64" ht="19.5" hidden="1" customHeight="1" thickBot="1">
      <c r="W151" s="777"/>
      <c r="X151" s="121">
        <f t="shared" si="56"/>
        <v>48</v>
      </c>
      <c r="Y151" s="122">
        <f>'calcul pneu pour calculateur'!P152</f>
        <v>122.99101926869011</v>
      </c>
      <c r="Z151" s="123">
        <f t="shared" si="48"/>
        <v>245.98203853738022</v>
      </c>
      <c r="AA151" s="123">
        <f t="shared" si="49"/>
        <v>368.9730578060703</v>
      </c>
      <c r="AB151" s="123">
        <f t="shared" si="50"/>
        <v>491.96407707476044</v>
      </c>
      <c r="AC151" s="123">
        <f t="shared" si="51"/>
        <v>614.95509634345058</v>
      </c>
      <c r="AK151" s="121">
        <f t="shared" si="57"/>
        <v>48</v>
      </c>
      <c r="AL151" s="101">
        <f t="shared" si="44"/>
        <v>0</v>
      </c>
      <c r="AM151" s="101">
        <f>10+Module!$K$57/($Z$1+1)</f>
        <v>133.65759122654444</v>
      </c>
      <c r="AN151" s="101">
        <f>$Z$1*(25+Module!$I$6)</f>
        <v>50.5</v>
      </c>
      <c r="AO151" s="101">
        <f>(AM151*($Z$1+1)*0.002488974)/($Z$1+1)*Module!$I$5*Module!$I$7</f>
        <v>102.62345540579445</v>
      </c>
      <c r="AP151" s="101">
        <f>$P$120*Module!$I$7*X151*Module!$I$5</f>
        <v>108.38782010831211</v>
      </c>
      <c r="AQ151" s="151">
        <f t="shared" si="52"/>
        <v>1000000</v>
      </c>
      <c r="AS151" s="101">
        <f t="shared" si="45"/>
        <v>0</v>
      </c>
      <c r="AT151" s="101">
        <f>10+Module!$K$57/($AA$1+1)</f>
        <v>92.438394151029627</v>
      </c>
      <c r="AU151" s="101">
        <f>$AA$1*(25+Module!$I$6)</f>
        <v>101</v>
      </c>
      <c r="AV151" s="101">
        <f>(AT151*($Z$1+1)*0.002488974)/($Z$1+1)*Module!$I$5*Module!$I$7</f>
        <v>70.974999121916298</v>
      </c>
      <c r="AW151" s="101">
        <f>$P$120*Module!$I$7*X151*Module!$I$5</f>
        <v>108.38782010831211</v>
      </c>
      <c r="AX151" s="151">
        <f t="shared" si="53"/>
        <v>1000000</v>
      </c>
      <c r="AZ151" s="101">
        <f t="shared" si="46"/>
        <v>0</v>
      </c>
      <c r="BA151" s="101">
        <f>10+Module!$K$57/($AB$1+1)</f>
        <v>71.82879561327222</v>
      </c>
      <c r="BB151" s="101">
        <f>$AB$1*(25+Module!$I$6)</f>
        <v>151.5</v>
      </c>
      <c r="BC151" s="101">
        <f>(BA151*($AB$1+1)*0.002488974)/($AB$1+1)*Module!$I$5*Module!$I$7</f>
        <v>55.150770979977231</v>
      </c>
      <c r="BD151" s="101">
        <f>$P$120*Module!$I$7*X151*Module!$I$5</f>
        <v>108.38782010831211</v>
      </c>
      <c r="BE151" s="151">
        <f t="shared" si="54"/>
        <v>1000000</v>
      </c>
      <c r="BG151" s="101">
        <f t="shared" si="47"/>
        <v>0</v>
      </c>
      <c r="BH151" s="101">
        <f>10+Module!$K$57/($AC$1+1)</f>
        <v>59.463036490617775</v>
      </c>
      <c r="BI151" s="101">
        <f>$AC$1*(25+Module!$I$6)</f>
        <v>202</v>
      </c>
      <c r="BJ151" s="101">
        <f>(BH151*($AC$1+1)*0.002488974)/($AC$1+1)*Module!$I$5*Module!$I$7</f>
        <v>45.656234094813776</v>
      </c>
      <c r="BK151" s="101">
        <f>$P$120*Module!$I$7*X151*Module!$I$5</f>
        <v>108.38782010831211</v>
      </c>
      <c r="BL151" s="151">
        <f t="shared" si="55"/>
        <v>1000000</v>
      </c>
    </row>
    <row r="152" spans="23:64" ht="19.5" hidden="1" customHeight="1" thickBot="1">
      <c r="W152" s="777"/>
      <c r="X152" s="121">
        <f t="shared" si="56"/>
        <v>49</v>
      </c>
      <c r="Y152" s="122">
        <f>'calcul pneu pour calculateur'!P153</f>
        <v>122.63762516567996</v>
      </c>
      <c r="Z152" s="123">
        <f t="shared" si="48"/>
        <v>245.27525033135993</v>
      </c>
      <c r="AA152" s="123">
        <f t="shared" si="49"/>
        <v>367.91287549703986</v>
      </c>
      <c r="AB152" s="123">
        <f t="shared" si="50"/>
        <v>490.55050066271986</v>
      </c>
      <c r="AC152" s="123">
        <f t="shared" si="51"/>
        <v>613.18812582839985</v>
      </c>
      <c r="AK152" s="121">
        <f t="shared" si="57"/>
        <v>49</v>
      </c>
      <c r="AL152" s="101">
        <f t="shared" si="44"/>
        <v>0</v>
      </c>
      <c r="AM152" s="101">
        <f>10+Module!$K$57/($Z$1+1)</f>
        <v>133.65759122654444</v>
      </c>
      <c r="AN152" s="101">
        <f>$Z$1*(25+Module!$I$6)</f>
        <v>50.5</v>
      </c>
      <c r="AO152" s="101">
        <f>(AM152*($Z$1+1)*0.002488974)/($Z$1+1)*Module!$I$5*Module!$I$7</f>
        <v>102.62345540579445</v>
      </c>
      <c r="AP152" s="101">
        <f>$P$120*Module!$I$7*X152*Module!$I$5</f>
        <v>110.64589969390194</v>
      </c>
      <c r="AQ152" s="151">
        <f t="shared" si="52"/>
        <v>1000000</v>
      </c>
      <c r="AS152" s="101">
        <f t="shared" si="45"/>
        <v>0</v>
      </c>
      <c r="AT152" s="101">
        <f>10+Module!$K$57/($AA$1+1)</f>
        <v>92.438394151029627</v>
      </c>
      <c r="AU152" s="101">
        <f>$AA$1*(25+Module!$I$6)</f>
        <v>101</v>
      </c>
      <c r="AV152" s="101">
        <f>(AT152*($Z$1+1)*0.002488974)/($Z$1+1)*Module!$I$5*Module!$I$7</f>
        <v>70.974999121916298</v>
      </c>
      <c r="AW152" s="101">
        <f>$P$120*Module!$I$7*X152*Module!$I$5</f>
        <v>110.64589969390194</v>
      </c>
      <c r="AX152" s="151">
        <f t="shared" si="53"/>
        <v>1000000</v>
      </c>
      <c r="AZ152" s="101">
        <f t="shared" si="46"/>
        <v>0</v>
      </c>
      <c r="BA152" s="101">
        <f>10+Module!$K$57/($AB$1+1)</f>
        <v>71.82879561327222</v>
      </c>
      <c r="BB152" s="101">
        <f>$AB$1*(25+Module!$I$6)</f>
        <v>151.5</v>
      </c>
      <c r="BC152" s="101">
        <f>(BA152*($AB$1+1)*0.002488974)/($AB$1+1)*Module!$I$5*Module!$I$7</f>
        <v>55.150770979977231</v>
      </c>
      <c r="BD152" s="101">
        <f>$P$120*Module!$I$7*X152*Module!$I$5</f>
        <v>110.64589969390194</v>
      </c>
      <c r="BE152" s="151">
        <f t="shared" si="54"/>
        <v>1000000</v>
      </c>
      <c r="BG152" s="101">
        <f t="shared" si="47"/>
        <v>0</v>
      </c>
      <c r="BH152" s="101">
        <f>10+Module!$K$57/($AC$1+1)</f>
        <v>59.463036490617775</v>
      </c>
      <c r="BI152" s="101">
        <f>$AC$1*(25+Module!$I$6)</f>
        <v>202</v>
      </c>
      <c r="BJ152" s="101">
        <f>(BH152*($AC$1+1)*0.002488974)/($AC$1+1)*Module!$I$5*Module!$I$7</f>
        <v>45.656234094813776</v>
      </c>
      <c r="BK152" s="101">
        <f>$P$120*Module!$I$7*X152*Module!$I$5</f>
        <v>110.64589969390194</v>
      </c>
      <c r="BL152" s="151">
        <f t="shared" si="55"/>
        <v>1000000</v>
      </c>
    </row>
    <row r="153" spans="23:64" ht="19.5" hidden="1" customHeight="1" thickBot="1">
      <c r="W153" s="777"/>
      <c r="X153" s="121">
        <f t="shared" si="56"/>
        <v>50</v>
      </c>
      <c r="Y153" s="122">
        <f>'calcul pneu pour calculateur'!P154</f>
        <v>122.28423106266982</v>
      </c>
      <c r="Z153" s="123">
        <f t="shared" si="48"/>
        <v>244.56846212533964</v>
      </c>
      <c r="AA153" s="123">
        <f t="shared" si="49"/>
        <v>366.85269318800943</v>
      </c>
      <c r="AB153" s="123">
        <f t="shared" si="50"/>
        <v>489.13692425067927</v>
      </c>
      <c r="AC153" s="123">
        <f t="shared" si="51"/>
        <v>611.42115531334912</v>
      </c>
      <c r="AK153" s="121">
        <f t="shared" si="57"/>
        <v>50</v>
      </c>
      <c r="AL153" s="101">
        <f t="shared" si="44"/>
        <v>0</v>
      </c>
      <c r="AM153" s="101">
        <f>10+Module!$K$57/($Z$1+1)</f>
        <v>133.65759122654444</v>
      </c>
      <c r="AN153" s="101">
        <f>$Z$1*(25+Module!$I$6)</f>
        <v>50.5</v>
      </c>
      <c r="AO153" s="101">
        <f>(AM153*($Z$1+1)*0.002488974)/($Z$1+1)*Module!$I$5*Module!$I$7</f>
        <v>102.62345540579445</v>
      </c>
      <c r="AP153" s="101">
        <f>$P$120*Module!$I$7*X153*Module!$I$5</f>
        <v>112.90397927949178</v>
      </c>
      <c r="AQ153" s="151">
        <f t="shared" si="52"/>
        <v>1000000</v>
      </c>
      <c r="AS153" s="101">
        <f t="shared" si="45"/>
        <v>0</v>
      </c>
      <c r="AT153" s="101">
        <f>10+Module!$K$57/($AA$1+1)</f>
        <v>92.438394151029627</v>
      </c>
      <c r="AU153" s="101">
        <f>$AA$1*(25+Module!$I$6)</f>
        <v>101</v>
      </c>
      <c r="AV153" s="101">
        <f>(AT153*($Z$1+1)*0.002488974)/($Z$1+1)*Module!$I$5*Module!$I$7</f>
        <v>70.974999121916298</v>
      </c>
      <c r="AW153" s="101">
        <f>$P$120*Module!$I$7*X153*Module!$I$5</f>
        <v>112.90397927949178</v>
      </c>
      <c r="AX153" s="151">
        <f t="shared" si="53"/>
        <v>1000000</v>
      </c>
      <c r="AZ153" s="101">
        <f t="shared" si="46"/>
        <v>0</v>
      </c>
      <c r="BA153" s="101">
        <f>10+Module!$K$57/($AB$1+1)</f>
        <v>71.82879561327222</v>
      </c>
      <c r="BB153" s="101">
        <f>$AB$1*(25+Module!$I$6)</f>
        <v>151.5</v>
      </c>
      <c r="BC153" s="101">
        <f>(BA153*($AB$1+1)*0.002488974)/($AB$1+1)*Module!$I$5*Module!$I$7</f>
        <v>55.150770979977231</v>
      </c>
      <c r="BD153" s="101">
        <f>$P$120*Module!$I$7*X153*Module!$I$5</f>
        <v>112.90397927949178</v>
      </c>
      <c r="BE153" s="151">
        <f t="shared" si="54"/>
        <v>1000000</v>
      </c>
      <c r="BG153" s="101">
        <f t="shared" si="47"/>
        <v>0</v>
      </c>
      <c r="BH153" s="101">
        <f>10+Module!$K$57/($AC$1+1)</f>
        <v>59.463036490617775</v>
      </c>
      <c r="BI153" s="101">
        <f>$AC$1*(25+Module!$I$6)</f>
        <v>202</v>
      </c>
      <c r="BJ153" s="101">
        <f>(BH153*($AC$1+1)*0.002488974)/($AC$1+1)*Module!$I$5*Module!$I$7</f>
        <v>45.656234094813776</v>
      </c>
      <c r="BK153" s="101">
        <f>$P$120*Module!$I$7*X153*Module!$I$5</f>
        <v>112.90397927949178</v>
      </c>
      <c r="BL153" s="151">
        <f t="shared" si="55"/>
        <v>1000000</v>
      </c>
    </row>
    <row r="154" spans="23:64" ht="19.5" hidden="1" customHeight="1" thickBot="1">
      <c r="W154" s="777"/>
      <c r="X154" s="121">
        <f t="shared" si="56"/>
        <v>51</v>
      </c>
      <c r="Y154" s="122">
        <f>'calcul pneu pour calculateur'!P155</f>
        <v>121.93083695965967</v>
      </c>
      <c r="Z154" s="123">
        <f t="shared" si="48"/>
        <v>243.86167391931934</v>
      </c>
      <c r="AA154" s="123">
        <f t="shared" si="49"/>
        <v>365.79251087897899</v>
      </c>
      <c r="AB154" s="123">
        <f t="shared" si="50"/>
        <v>487.72334783863869</v>
      </c>
      <c r="AC154" s="123">
        <f t="shared" si="51"/>
        <v>609.65418479829839</v>
      </c>
      <c r="AK154" s="121">
        <f t="shared" si="57"/>
        <v>51</v>
      </c>
      <c r="AL154" s="101">
        <f t="shared" si="44"/>
        <v>0</v>
      </c>
      <c r="AM154" s="101">
        <f>10+Module!$K$57/($Z$1+1)</f>
        <v>133.65759122654444</v>
      </c>
      <c r="AN154" s="101">
        <f>$Z$1*(25+Module!$I$6)</f>
        <v>50.5</v>
      </c>
      <c r="AO154" s="101">
        <f>(AM154*($Z$1+1)*0.002488974)/($Z$1+1)*Module!$I$5*Module!$I$7</f>
        <v>102.62345540579445</v>
      </c>
      <c r="AP154" s="101">
        <f>$P$120*Module!$I$7*X154*Module!$I$5</f>
        <v>115.1620588650816</v>
      </c>
      <c r="AQ154" s="151">
        <f t="shared" si="52"/>
        <v>1000000</v>
      </c>
      <c r="AS154" s="101">
        <f t="shared" si="45"/>
        <v>0</v>
      </c>
      <c r="AT154" s="101">
        <f>10+Module!$K$57/($AA$1+1)</f>
        <v>92.438394151029627</v>
      </c>
      <c r="AU154" s="101">
        <f>$AA$1*(25+Module!$I$6)</f>
        <v>101</v>
      </c>
      <c r="AV154" s="101">
        <f>(AT154*($Z$1+1)*0.002488974)/($Z$1+1)*Module!$I$5*Module!$I$7</f>
        <v>70.974999121916298</v>
      </c>
      <c r="AW154" s="101">
        <f>$P$120*Module!$I$7*X154*Module!$I$5</f>
        <v>115.1620588650816</v>
      </c>
      <c r="AX154" s="151">
        <f t="shared" si="53"/>
        <v>1000000</v>
      </c>
      <c r="AZ154" s="101">
        <f t="shared" si="46"/>
        <v>0</v>
      </c>
      <c r="BA154" s="101">
        <f>10+Module!$K$57/($AB$1+1)</f>
        <v>71.82879561327222</v>
      </c>
      <c r="BB154" s="101">
        <f>$AB$1*(25+Module!$I$6)</f>
        <v>151.5</v>
      </c>
      <c r="BC154" s="101">
        <f>(BA154*($AB$1+1)*0.002488974)/($AB$1+1)*Module!$I$5*Module!$I$7</f>
        <v>55.150770979977231</v>
      </c>
      <c r="BD154" s="101">
        <f>$P$120*Module!$I$7*X154*Module!$I$5</f>
        <v>115.1620588650816</v>
      </c>
      <c r="BE154" s="151">
        <f t="shared" si="54"/>
        <v>1000000</v>
      </c>
      <c r="BG154" s="101">
        <f t="shared" si="47"/>
        <v>0</v>
      </c>
      <c r="BH154" s="101">
        <f>10+Module!$K$57/($AC$1+1)</f>
        <v>59.463036490617775</v>
      </c>
      <c r="BI154" s="101">
        <f>$AC$1*(25+Module!$I$6)</f>
        <v>202</v>
      </c>
      <c r="BJ154" s="101">
        <f>(BH154*($AC$1+1)*0.002488974)/($AC$1+1)*Module!$I$5*Module!$I$7</f>
        <v>45.656234094813776</v>
      </c>
      <c r="BK154" s="101">
        <f>$P$120*Module!$I$7*X154*Module!$I$5</f>
        <v>115.1620588650816</v>
      </c>
      <c r="BL154" s="151">
        <f t="shared" si="55"/>
        <v>1000000</v>
      </c>
    </row>
    <row r="155" spans="23:64" ht="19.5" hidden="1" customHeight="1" thickBot="1">
      <c r="W155" s="777"/>
      <c r="X155" s="121">
        <f t="shared" si="56"/>
        <v>52</v>
      </c>
      <c r="Y155" s="122">
        <f>'calcul pneu pour calculateur'!P156</f>
        <v>121.57744285664953</v>
      </c>
      <c r="Z155" s="123">
        <f t="shared" si="48"/>
        <v>243.15488571329905</v>
      </c>
      <c r="AA155" s="123">
        <f t="shared" si="49"/>
        <v>364.73232856994855</v>
      </c>
      <c r="AB155" s="123">
        <f t="shared" si="50"/>
        <v>486.3097714265981</v>
      </c>
      <c r="AC155" s="123">
        <f t="shared" si="51"/>
        <v>607.88721428324766</v>
      </c>
      <c r="AK155" s="121">
        <f t="shared" si="57"/>
        <v>52</v>
      </c>
      <c r="AL155" s="101">
        <f t="shared" si="44"/>
        <v>0</v>
      </c>
      <c r="AM155" s="101">
        <f>10+Module!$K$57/($Z$1+1)</f>
        <v>133.65759122654444</v>
      </c>
      <c r="AN155" s="101">
        <f>$Z$1*(25+Module!$I$6)</f>
        <v>50.5</v>
      </c>
      <c r="AO155" s="101">
        <f>(AM155*($Z$1+1)*0.002488974)/($Z$1+1)*Module!$I$5*Module!$I$7</f>
        <v>102.62345540579445</v>
      </c>
      <c r="AP155" s="101">
        <f>$P$120*Module!$I$7*X155*Module!$I$5</f>
        <v>117.42013845067144</v>
      </c>
      <c r="AQ155" s="151">
        <f t="shared" si="52"/>
        <v>1000000</v>
      </c>
      <c r="AS155" s="101">
        <f t="shared" si="45"/>
        <v>0</v>
      </c>
      <c r="AT155" s="101">
        <f>10+Module!$K$57/($AA$1+1)</f>
        <v>92.438394151029627</v>
      </c>
      <c r="AU155" s="101">
        <f>$AA$1*(25+Module!$I$6)</f>
        <v>101</v>
      </c>
      <c r="AV155" s="101">
        <f>(AT155*($Z$1+1)*0.002488974)/($Z$1+1)*Module!$I$5*Module!$I$7</f>
        <v>70.974999121916298</v>
      </c>
      <c r="AW155" s="101">
        <f>$P$120*Module!$I$7*X155*Module!$I$5</f>
        <v>117.42013845067144</v>
      </c>
      <c r="AX155" s="151">
        <f t="shared" si="53"/>
        <v>1000000</v>
      </c>
      <c r="AZ155" s="101">
        <f t="shared" si="46"/>
        <v>0</v>
      </c>
      <c r="BA155" s="101">
        <f>10+Module!$K$57/($AB$1+1)</f>
        <v>71.82879561327222</v>
      </c>
      <c r="BB155" s="101">
        <f>$AB$1*(25+Module!$I$6)</f>
        <v>151.5</v>
      </c>
      <c r="BC155" s="101">
        <f>(BA155*($AB$1+1)*0.002488974)/($AB$1+1)*Module!$I$5*Module!$I$7</f>
        <v>55.150770979977231</v>
      </c>
      <c r="BD155" s="101">
        <f>$P$120*Module!$I$7*X155*Module!$I$5</f>
        <v>117.42013845067144</v>
      </c>
      <c r="BE155" s="151">
        <f t="shared" si="54"/>
        <v>1000000</v>
      </c>
      <c r="BG155" s="101">
        <f t="shared" si="47"/>
        <v>0</v>
      </c>
      <c r="BH155" s="101">
        <f>10+Module!$K$57/($AC$1+1)</f>
        <v>59.463036490617775</v>
      </c>
      <c r="BI155" s="101">
        <f>$AC$1*(25+Module!$I$6)</f>
        <v>202</v>
      </c>
      <c r="BJ155" s="101">
        <f>(BH155*($AC$1+1)*0.002488974)/($AC$1+1)*Module!$I$5*Module!$I$7</f>
        <v>45.656234094813776</v>
      </c>
      <c r="BK155" s="101">
        <f>$P$120*Module!$I$7*X155*Module!$I$5</f>
        <v>117.42013845067144</v>
      </c>
      <c r="BL155" s="151">
        <f t="shared" si="55"/>
        <v>1000000</v>
      </c>
    </row>
    <row r="156" spans="23:64" ht="19.5" hidden="1" customHeight="1" thickBot="1">
      <c r="W156" s="777"/>
      <c r="X156" s="121">
        <f t="shared" si="56"/>
        <v>53</v>
      </c>
      <c r="Y156" s="122">
        <f>'calcul pneu pour calculateur'!P157</f>
        <v>121.22404875363938</v>
      </c>
      <c r="Z156" s="123">
        <f t="shared" si="48"/>
        <v>242.44809750727876</v>
      </c>
      <c r="AA156" s="123">
        <f t="shared" si="49"/>
        <v>363.67214626091811</v>
      </c>
      <c r="AB156" s="123">
        <f t="shared" si="50"/>
        <v>484.89619501455752</v>
      </c>
      <c r="AC156" s="123">
        <f t="shared" si="51"/>
        <v>606.12024376819693</v>
      </c>
      <c r="AK156" s="121">
        <f t="shared" si="57"/>
        <v>53</v>
      </c>
      <c r="AL156" s="101">
        <f t="shared" si="44"/>
        <v>0</v>
      </c>
      <c r="AM156" s="101">
        <f>10+Module!$K$57/($Z$1+1)</f>
        <v>133.65759122654444</v>
      </c>
      <c r="AN156" s="101">
        <f>$Z$1*(25+Module!$I$6)</f>
        <v>50.5</v>
      </c>
      <c r="AO156" s="101">
        <f>(AM156*($Z$1+1)*0.002488974)/($Z$1+1)*Module!$I$5*Module!$I$7</f>
        <v>102.62345540579445</v>
      </c>
      <c r="AP156" s="101">
        <f>$P$120*Module!$I$7*X156*Module!$I$5</f>
        <v>119.67821803626127</v>
      </c>
      <c r="AQ156" s="151">
        <f t="shared" si="52"/>
        <v>1000000</v>
      </c>
      <c r="AS156" s="101">
        <f t="shared" si="45"/>
        <v>0</v>
      </c>
      <c r="AT156" s="101">
        <f>10+Module!$K$57/($AA$1+1)</f>
        <v>92.438394151029627</v>
      </c>
      <c r="AU156" s="101">
        <f>$AA$1*(25+Module!$I$6)</f>
        <v>101</v>
      </c>
      <c r="AV156" s="101">
        <f>(AT156*($Z$1+1)*0.002488974)/($Z$1+1)*Module!$I$5*Module!$I$7</f>
        <v>70.974999121916298</v>
      </c>
      <c r="AW156" s="101">
        <f>$P$120*Module!$I$7*X156*Module!$I$5</f>
        <v>119.67821803626127</v>
      </c>
      <c r="AX156" s="151">
        <f t="shared" si="53"/>
        <v>1000000</v>
      </c>
      <c r="AZ156" s="101">
        <f t="shared" si="46"/>
        <v>0</v>
      </c>
      <c r="BA156" s="101">
        <f>10+Module!$K$57/($AB$1+1)</f>
        <v>71.82879561327222</v>
      </c>
      <c r="BB156" s="101">
        <f>$AB$1*(25+Module!$I$6)</f>
        <v>151.5</v>
      </c>
      <c r="BC156" s="101">
        <f>(BA156*($AB$1+1)*0.002488974)/($AB$1+1)*Module!$I$5*Module!$I$7</f>
        <v>55.150770979977231</v>
      </c>
      <c r="BD156" s="101">
        <f>$P$120*Module!$I$7*X156*Module!$I$5</f>
        <v>119.67821803626127</v>
      </c>
      <c r="BE156" s="151">
        <f t="shared" si="54"/>
        <v>1000000</v>
      </c>
      <c r="BG156" s="101">
        <f t="shared" si="47"/>
        <v>0</v>
      </c>
      <c r="BH156" s="101">
        <f>10+Module!$K$57/($AC$1+1)</f>
        <v>59.463036490617775</v>
      </c>
      <c r="BI156" s="101">
        <f>$AC$1*(25+Module!$I$6)</f>
        <v>202</v>
      </c>
      <c r="BJ156" s="101">
        <f>(BH156*($AC$1+1)*0.002488974)/($AC$1+1)*Module!$I$5*Module!$I$7</f>
        <v>45.656234094813776</v>
      </c>
      <c r="BK156" s="101">
        <f>$P$120*Module!$I$7*X156*Module!$I$5</f>
        <v>119.67821803626127</v>
      </c>
      <c r="BL156" s="151">
        <f t="shared" si="55"/>
        <v>1000000</v>
      </c>
    </row>
    <row r="157" spans="23:64" ht="19.5" hidden="1" customHeight="1" thickBot="1">
      <c r="W157" s="777"/>
      <c r="X157" s="121">
        <f t="shared" si="56"/>
        <v>54</v>
      </c>
      <c r="Y157" s="122">
        <f>'calcul pneu pour calculateur'!P158</f>
        <v>120.87065465062923</v>
      </c>
      <c r="Z157" s="123">
        <f t="shared" si="48"/>
        <v>241.74130930125847</v>
      </c>
      <c r="AA157" s="123">
        <f t="shared" si="49"/>
        <v>362.61196395188767</v>
      </c>
      <c r="AB157" s="123">
        <f t="shared" si="50"/>
        <v>483.48261860251694</v>
      </c>
      <c r="AC157" s="123">
        <f t="shared" si="51"/>
        <v>604.3532732531462</v>
      </c>
      <c r="AK157" s="121">
        <f t="shared" si="57"/>
        <v>54</v>
      </c>
      <c r="AL157" s="101">
        <f t="shared" si="44"/>
        <v>0</v>
      </c>
      <c r="AM157" s="101">
        <f>10+Module!$K$57/($Z$1+1)</f>
        <v>133.65759122654444</v>
      </c>
      <c r="AN157" s="101">
        <f>$Z$1*(25+Module!$I$6)</f>
        <v>50.5</v>
      </c>
      <c r="AO157" s="101">
        <f>(AM157*($Z$1+1)*0.002488974)/($Z$1+1)*Module!$I$5*Module!$I$7</f>
        <v>102.62345540579445</v>
      </c>
      <c r="AP157" s="101">
        <f>$P$120*Module!$I$7*X157*Module!$I$5</f>
        <v>121.93629762185111</v>
      </c>
      <c r="AQ157" s="151">
        <f t="shared" si="52"/>
        <v>1000000</v>
      </c>
      <c r="AS157" s="101">
        <f t="shared" si="45"/>
        <v>0</v>
      </c>
      <c r="AT157" s="101">
        <f>10+Module!$K$57/($AA$1+1)</f>
        <v>92.438394151029627</v>
      </c>
      <c r="AU157" s="101">
        <f>$AA$1*(25+Module!$I$6)</f>
        <v>101</v>
      </c>
      <c r="AV157" s="101">
        <f>(AT157*($Z$1+1)*0.002488974)/($Z$1+1)*Module!$I$5*Module!$I$7</f>
        <v>70.974999121916298</v>
      </c>
      <c r="AW157" s="101">
        <f>$P$120*Module!$I$7*X157*Module!$I$5</f>
        <v>121.93629762185111</v>
      </c>
      <c r="AX157" s="151">
        <f t="shared" si="53"/>
        <v>1000000</v>
      </c>
      <c r="AZ157" s="101">
        <f t="shared" si="46"/>
        <v>0</v>
      </c>
      <c r="BA157" s="101">
        <f>10+Module!$K$57/($AB$1+1)</f>
        <v>71.82879561327222</v>
      </c>
      <c r="BB157" s="101">
        <f>$AB$1*(25+Module!$I$6)</f>
        <v>151.5</v>
      </c>
      <c r="BC157" s="101">
        <f>(BA157*($AB$1+1)*0.002488974)/($AB$1+1)*Module!$I$5*Module!$I$7</f>
        <v>55.150770979977231</v>
      </c>
      <c r="BD157" s="101">
        <f>$P$120*Module!$I$7*X157*Module!$I$5</f>
        <v>121.93629762185111</v>
      </c>
      <c r="BE157" s="151">
        <f t="shared" si="54"/>
        <v>1000000</v>
      </c>
      <c r="BG157" s="101">
        <f t="shared" si="47"/>
        <v>0</v>
      </c>
      <c r="BH157" s="101">
        <f>10+Module!$K$57/($AC$1+1)</f>
        <v>59.463036490617775</v>
      </c>
      <c r="BI157" s="101">
        <f>$AC$1*(25+Module!$I$6)</f>
        <v>202</v>
      </c>
      <c r="BJ157" s="101">
        <f>(BH157*($AC$1+1)*0.002488974)/($AC$1+1)*Module!$I$5*Module!$I$7</f>
        <v>45.656234094813776</v>
      </c>
      <c r="BK157" s="101">
        <f>$P$120*Module!$I$7*X157*Module!$I$5</f>
        <v>121.93629762185111</v>
      </c>
      <c r="BL157" s="151">
        <f t="shared" si="55"/>
        <v>1000000</v>
      </c>
    </row>
    <row r="158" spans="23:64" ht="19.5" hidden="1" customHeight="1" thickBot="1">
      <c r="W158" s="777"/>
      <c r="X158" s="121">
        <f t="shared" si="56"/>
        <v>55</v>
      </c>
      <c r="Y158" s="122">
        <f>'calcul pneu pour calculateur'!P159</f>
        <v>120.51726054761909</v>
      </c>
      <c r="Z158" s="123">
        <f t="shared" si="48"/>
        <v>241.03452109523818</v>
      </c>
      <c r="AA158" s="123">
        <f t="shared" si="49"/>
        <v>361.55178164285724</v>
      </c>
      <c r="AB158" s="123">
        <f t="shared" si="50"/>
        <v>482.06904219047635</v>
      </c>
      <c r="AC158" s="123">
        <f t="shared" si="51"/>
        <v>602.58630273809547</v>
      </c>
      <c r="AK158" s="121">
        <f t="shared" si="57"/>
        <v>55</v>
      </c>
      <c r="AL158" s="101">
        <f t="shared" si="44"/>
        <v>0</v>
      </c>
      <c r="AM158" s="101">
        <f>10+Module!$K$57/($Z$1+1)</f>
        <v>133.65759122654444</v>
      </c>
      <c r="AN158" s="101">
        <f>$Z$1*(25+Module!$I$6)</f>
        <v>50.5</v>
      </c>
      <c r="AO158" s="101">
        <f>(AM158*($Z$1+1)*0.002488974)/($Z$1+1)*Module!$I$5*Module!$I$7</f>
        <v>102.62345540579445</v>
      </c>
      <c r="AP158" s="101">
        <f>$P$120*Module!$I$7*X158*Module!$I$5</f>
        <v>124.19437720744094</v>
      </c>
      <c r="AQ158" s="151">
        <f t="shared" si="52"/>
        <v>1000000</v>
      </c>
      <c r="AS158" s="101">
        <f t="shared" si="45"/>
        <v>0</v>
      </c>
      <c r="AT158" s="101">
        <f>10+Module!$K$57/($AA$1+1)</f>
        <v>92.438394151029627</v>
      </c>
      <c r="AU158" s="101">
        <f>$AA$1*(25+Module!$I$6)</f>
        <v>101</v>
      </c>
      <c r="AV158" s="101">
        <f>(AT158*($Z$1+1)*0.002488974)/($Z$1+1)*Module!$I$5*Module!$I$7</f>
        <v>70.974999121916298</v>
      </c>
      <c r="AW158" s="101">
        <f>$P$120*Module!$I$7*X158*Module!$I$5</f>
        <v>124.19437720744094</v>
      </c>
      <c r="AX158" s="151">
        <f t="shared" si="53"/>
        <v>1000000</v>
      </c>
      <c r="AZ158" s="101">
        <f t="shared" si="46"/>
        <v>0</v>
      </c>
      <c r="BA158" s="101">
        <f>10+Module!$K$57/($AB$1+1)</f>
        <v>71.82879561327222</v>
      </c>
      <c r="BB158" s="101">
        <f>$AB$1*(25+Module!$I$6)</f>
        <v>151.5</v>
      </c>
      <c r="BC158" s="101">
        <f>(BA158*($AB$1+1)*0.002488974)/($AB$1+1)*Module!$I$5*Module!$I$7</f>
        <v>55.150770979977231</v>
      </c>
      <c r="BD158" s="101">
        <f>$P$120*Module!$I$7*X158*Module!$I$5</f>
        <v>124.19437720744094</v>
      </c>
      <c r="BE158" s="151">
        <f t="shared" si="54"/>
        <v>1000000</v>
      </c>
      <c r="BG158" s="101">
        <f t="shared" si="47"/>
        <v>0</v>
      </c>
      <c r="BH158" s="101">
        <f>10+Module!$K$57/($AC$1+1)</f>
        <v>59.463036490617775</v>
      </c>
      <c r="BI158" s="101">
        <f>$AC$1*(25+Module!$I$6)</f>
        <v>202</v>
      </c>
      <c r="BJ158" s="101">
        <f>(BH158*($AC$1+1)*0.002488974)/($AC$1+1)*Module!$I$5*Module!$I$7</f>
        <v>45.656234094813776</v>
      </c>
      <c r="BK158" s="101">
        <f>$P$120*Module!$I$7*X158*Module!$I$5</f>
        <v>124.19437720744094</v>
      </c>
      <c r="BL158" s="151">
        <f t="shared" si="55"/>
        <v>1000000</v>
      </c>
    </row>
    <row r="159" spans="23:64" ht="19.5" hidden="1" customHeight="1" thickBot="1">
      <c r="W159" s="777"/>
      <c r="X159" s="121">
        <f t="shared" si="56"/>
        <v>56</v>
      </c>
      <c r="Y159" s="122">
        <f>'calcul pneu pour calculateur'!P160</f>
        <v>120.16386644460894</v>
      </c>
      <c r="Z159" s="123">
        <f t="shared" si="48"/>
        <v>240.32773288921788</v>
      </c>
      <c r="AA159" s="123">
        <f t="shared" si="49"/>
        <v>360.4915993338268</v>
      </c>
      <c r="AB159" s="123">
        <f t="shared" si="50"/>
        <v>480.65546577843577</v>
      </c>
      <c r="AC159" s="123">
        <f t="shared" si="51"/>
        <v>600.81933222304474</v>
      </c>
      <c r="AK159" s="121">
        <f t="shared" si="57"/>
        <v>56</v>
      </c>
      <c r="AL159" s="101">
        <f t="shared" si="44"/>
        <v>0</v>
      </c>
      <c r="AM159" s="101">
        <f>10+Module!$K$57/($Z$1+1)</f>
        <v>133.65759122654444</v>
      </c>
      <c r="AN159" s="101">
        <f>$Z$1*(25+Module!$I$6)</f>
        <v>50.5</v>
      </c>
      <c r="AO159" s="101">
        <f>(AM159*($Z$1+1)*0.002488974)/($Z$1+1)*Module!$I$5*Module!$I$7</f>
        <v>102.62345540579445</v>
      </c>
      <c r="AP159" s="101">
        <f>$P$120*Module!$I$7*X159*Module!$I$5</f>
        <v>126.45245679303078</v>
      </c>
      <c r="AQ159" s="151">
        <f t="shared" si="52"/>
        <v>1000000</v>
      </c>
      <c r="AS159" s="101">
        <f t="shared" si="45"/>
        <v>0</v>
      </c>
      <c r="AT159" s="101">
        <f>10+Module!$K$57/($AA$1+1)</f>
        <v>92.438394151029627</v>
      </c>
      <c r="AU159" s="101">
        <f>$AA$1*(25+Module!$I$6)</f>
        <v>101</v>
      </c>
      <c r="AV159" s="101">
        <f>(AT159*($Z$1+1)*0.002488974)/($Z$1+1)*Module!$I$5*Module!$I$7</f>
        <v>70.974999121916298</v>
      </c>
      <c r="AW159" s="101">
        <f>$P$120*Module!$I$7*X159*Module!$I$5</f>
        <v>126.45245679303078</v>
      </c>
      <c r="AX159" s="151">
        <f t="shared" si="53"/>
        <v>1000000</v>
      </c>
      <c r="AZ159" s="101">
        <f t="shared" si="46"/>
        <v>0</v>
      </c>
      <c r="BA159" s="101">
        <f>10+Module!$K$57/($AB$1+1)</f>
        <v>71.82879561327222</v>
      </c>
      <c r="BB159" s="101">
        <f>$AB$1*(25+Module!$I$6)</f>
        <v>151.5</v>
      </c>
      <c r="BC159" s="101">
        <f>(BA159*($AB$1+1)*0.002488974)/($AB$1+1)*Module!$I$5*Module!$I$7</f>
        <v>55.150770979977231</v>
      </c>
      <c r="BD159" s="101">
        <f>$P$120*Module!$I$7*X159*Module!$I$5</f>
        <v>126.45245679303078</v>
      </c>
      <c r="BE159" s="151">
        <f t="shared" si="54"/>
        <v>1000000</v>
      </c>
      <c r="BG159" s="101">
        <f t="shared" si="47"/>
        <v>0</v>
      </c>
      <c r="BH159" s="101">
        <f>10+Module!$K$57/($AC$1+1)</f>
        <v>59.463036490617775</v>
      </c>
      <c r="BI159" s="101">
        <f>$AC$1*(25+Module!$I$6)</f>
        <v>202</v>
      </c>
      <c r="BJ159" s="101">
        <f>(BH159*($AC$1+1)*0.002488974)/($AC$1+1)*Module!$I$5*Module!$I$7</f>
        <v>45.656234094813776</v>
      </c>
      <c r="BK159" s="101">
        <f>$P$120*Module!$I$7*X159*Module!$I$5</f>
        <v>126.45245679303078</v>
      </c>
      <c r="BL159" s="151">
        <f t="shared" si="55"/>
        <v>1000000</v>
      </c>
    </row>
    <row r="160" spans="23:64" ht="19.5" hidden="1" customHeight="1" thickBot="1">
      <c r="W160" s="777"/>
      <c r="X160" s="121">
        <f t="shared" si="56"/>
        <v>57</v>
      </c>
      <c r="Y160" s="122">
        <f>'calcul pneu pour calculateur'!P161</f>
        <v>119.8104723415988</v>
      </c>
      <c r="Z160" s="123">
        <f t="shared" si="48"/>
        <v>239.62094468319759</v>
      </c>
      <c r="AA160" s="123">
        <f t="shared" si="49"/>
        <v>359.43141702479636</v>
      </c>
      <c r="AB160" s="123">
        <f t="shared" si="50"/>
        <v>479.24188936639518</v>
      </c>
      <c r="AC160" s="123">
        <f t="shared" si="51"/>
        <v>599.05236170799401</v>
      </c>
      <c r="AK160" s="121">
        <f t="shared" si="57"/>
        <v>57</v>
      </c>
      <c r="AL160" s="101">
        <f t="shared" si="44"/>
        <v>0</v>
      </c>
      <c r="AM160" s="101">
        <f>10+Module!$K$57/($Z$1+1)</f>
        <v>133.65759122654444</v>
      </c>
      <c r="AN160" s="101">
        <f>$Z$1*(25+Module!$I$6)</f>
        <v>50.5</v>
      </c>
      <c r="AO160" s="101">
        <f>(AM160*($Z$1+1)*0.002488974)/($Z$1+1)*Module!$I$5*Module!$I$7</f>
        <v>102.62345540579445</v>
      </c>
      <c r="AP160" s="101">
        <f>$P$120*Module!$I$7*X160*Module!$I$5</f>
        <v>128.71053637862062</v>
      </c>
      <c r="AQ160" s="151">
        <f t="shared" si="52"/>
        <v>1000000</v>
      </c>
      <c r="AS160" s="101">
        <f t="shared" si="45"/>
        <v>0</v>
      </c>
      <c r="AT160" s="101">
        <f>10+Module!$K$57/($AA$1+1)</f>
        <v>92.438394151029627</v>
      </c>
      <c r="AU160" s="101">
        <f>$AA$1*(25+Module!$I$6)</f>
        <v>101</v>
      </c>
      <c r="AV160" s="101">
        <f>(AT160*($Z$1+1)*0.002488974)/($Z$1+1)*Module!$I$5*Module!$I$7</f>
        <v>70.974999121916298</v>
      </c>
      <c r="AW160" s="101">
        <f>$P$120*Module!$I$7*X160*Module!$I$5</f>
        <v>128.71053637862062</v>
      </c>
      <c r="AX160" s="151">
        <f t="shared" si="53"/>
        <v>1000000</v>
      </c>
      <c r="AZ160" s="101">
        <f t="shared" si="46"/>
        <v>0</v>
      </c>
      <c r="BA160" s="101">
        <f>10+Module!$K$57/($AB$1+1)</f>
        <v>71.82879561327222</v>
      </c>
      <c r="BB160" s="101">
        <f>$AB$1*(25+Module!$I$6)</f>
        <v>151.5</v>
      </c>
      <c r="BC160" s="101">
        <f>(BA160*($AB$1+1)*0.002488974)/($AB$1+1)*Module!$I$5*Module!$I$7</f>
        <v>55.150770979977231</v>
      </c>
      <c r="BD160" s="101">
        <f>$P$120*Module!$I$7*X160*Module!$I$5</f>
        <v>128.71053637862062</v>
      </c>
      <c r="BE160" s="151">
        <f t="shared" si="54"/>
        <v>1000000</v>
      </c>
      <c r="BG160" s="101">
        <f t="shared" si="47"/>
        <v>0</v>
      </c>
      <c r="BH160" s="101">
        <f>10+Module!$K$57/($AC$1+1)</f>
        <v>59.463036490617775</v>
      </c>
      <c r="BI160" s="101">
        <f>$AC$1*(25+Module!$I$6)</f>
        <v>202</v>
      </c>
      <c r="BJ160" s="101">
        <f>(BH160*($AC$1+1)*0.002488974)/($AC$1+1)*Module!$I$5*Module!$I$7</f>
        <v>45.656234094813776</v>
      </c>
      <c r="BK160" s="101">
        <f>$P$120*Module!$I$7*X160*Module!$I$5</f>
        <v>128.71053637862062</v>
      </c>
      <c r="BL160" s="151">
        <f t="shared" si="55"/>
        <v>1000000</v>
      </c>
    </row>
    <row r="161" spans="23:64" ht="19.5" hidden="1" customHeight="1" thickBot="1">
      <c r="W161" s="777"/>
      <c r="X161" s="121">
        <f t="shared" si="56"/>
        <v>58</v>
      </c>
      <c r="Y161" s="122">
        <f>'calcul pneu pour calculateur'!P162</f>
        <v>119.45707823858865</v>
      </c>
      <c r="Z161" s="123">
        <f t="shared" si="48"/>
        <v>238.9141564771773</v>
      </c>
      <c r="AA161" s="123">
        <f t="shared" si="49"/>
        <v>358.37123471576592</v>
      </c>
      <c r="AB161" s="123">
        <f t="shared" si="50"/>
        <v>477.8283129543546</v>
      </c>
      <c r="AC161" s="123">
        <f t="shared" si="51"/>
        <v>597.28539119294328</v>
      </c>
      <c r="AK161" s="121">
        <f t="shared" si="57"/>
        <v>58</v>
      </c>
      <c r="AL161" s="101">
        <f t="shared" si="44"/>
        <v>0</v>
      </c>
      <c r="AM161" s="101">
        <f>10+Module!$K$57/($Z$1+1)</f>
        <v>133.65759122654444</v>
      </c>
      <c r="AN161" s="101">
        <f>$Z$1*(25+Module!$I$6)</f>
        <v>50.5</v>
      </c>
      <c r="AO161" s="101">
        <f>(AM161*($Z$1+1)*0.002488974)/($Z$1+1)*Module!$I$5*Module!$I$7</f>
        <v>102.62345540579445</v>
      </c>
      <c r="AP161" s="101">
        <f>$P$120*Module!$I$7*X161*Module!$I$5</f>
        <v>130.96861596421047</v>
      </c>
      <c r="AQ161" s="151">
        <f t="shared" si="52"/>
        <v>1000000</v>
      </c>
      <c r="AS161" s="101">
        <f t="shared" si="45"/>
        <v>0</v>
      </c>
      <c r="AT161" s="101">
        <f>10+Module!$K$57/($AA$1+1)</f>
        <v>92.438394151029627</v>
      </c>
      <c r="AU161" s="101">
        <f>$AA$1*(25+Module!$I$6)</f>
        <v>101</v>
      </c>
      <c r="AV161" s="101">
        <f>(AT161*($Z$1+1)*0.002488974)/($Z$1+1)*Module!$I$5*Module!$I$7</f>
        <v>70.974999121916298</v>
      </c>
      <c r="AW161" s="101">
        <f>$P$120*Module!$I$7*X161*Module!$I$5</f>
        <v>130.96861596421047</v>
      </c>
      <c r="AX161" s="151">
        <f t="shared" si="53"/>
        <v>1000000</v>
      </c>
      <c r="AZ161" s="101">
        <f t="shared" si="46"/>
        <v>0</v>
      </c>
      <c r="BA161" s="101">
        <f>10+Module!$K$57/($AB$1+1)</f>
        <v>71.82879561327222</v>
      </c>
      <c r="BB161" s="101">
        <f>$AB$1*(25+Module!$I$6)</f>
        <v>151.5</v>
      </c>
      <c r="BC161" s="101">
        <f>(BA161*($AB$1+1)*0.002488974)/($AB$1+1)*Module!$I$5*Module!$I$7</f>
        <v>55.150770979977231</v>
      </c>
      <c r="BD161" s="101">
        <f>$P$120*Module!$I$7*X161*Module!$I$5</f>
        <v>130.96861596421047</v>
      </c>
      <c r="BE161" s="151">
        <f t="shared" si="54"/>
        <v>1000000</v>
      </c>
      <c r="BG161" s="101">
        <f t="shared" si="47"/>
        <v>0</v>
      </c>
      <c r="BH161" s="101">
        <f>10+Module!$K$57/($AC$1+1)</f>
        <v>59.463036490617775</v>
      </c>
      <c r="BI161" s="101">
        <f>$AC$1*(25+Module!$I$6)</f>
        <v>202</v>
      </c>
      <c r="BJ161" s="101">
        <f>(BH161*($AC$1+1)*0.002488974)/($AC$1+1)*Module!$I$5*Module!$I$7</f>
        <v>45.656234094813776</v>
      </c>
      <c r="BK161" s="101">
        <f>$P$120*Module!$I$7*X161*Module!$I$5</f>
        <v>130.96861596421047</v>
      </c>
      <c r="BL161" s="151">
        <f t="shared" si="55"/>
        <v>1000000</v>
      </c>
    </row>
    <row r="162" spans="23:64" ht="19.5" hidden="1" customHeight="1" thickBot="1">
      <c r="W162" s="777"/>
      <c r="X162" s="121">
        <f t="shared" si="56"/>
        <v>59</v>
      </c>
      <c r="Y162" s="122">
        <f>'calcul pneu pour calculateur'!P163</f>
        <v>119.1036841355785</v>
      </c>
      <c r="Z162" s="123">
        <f t="shared" si="48"/>
        <v>238.20736827115701</v>
      </c>
      <c r="AA162" s="123">
        <f t="shared" si="49"/>
        <v>357.31105240673548</v>
      </c>
      <c r="AB162" s="123">
        <f t="shared" si="50"/>
        <v>476.41473654231402</v>
      </c>
      <c r="AC162" s="123">
        <f t="shared" si="51"/>
        <v>595.51842067789255</v>
      </c>
      <c r="AK162" s="121">
        <f t="shared" si="57"/>
        <v>59</v>
      </c>
      <c r="AL162" s="101">
        <f t="shared" si="44"/>
        <v>0</v>
      </c>
      <c r="AM162" s="101">
        <f>10+Module!$K$57/($Z$1+1)</f>
        <v>133.65759122654444</v>
      </c>
      <c r="AN162" s="101">
        <f>$Z$1*(25+Module!$I$6)</f>
        <v>50.5</v>
      </c>
      <c r="AO162" s="101">
        <f>(AM162*($Z$1+1)*0.002488974)/($Z$1+1)*Module!$I$5*Module!$I$7</f>
        <v>102.62345540579445</v>
      </c>
      <c r="AP162" s="101">
        <f>$P$120*Module!$I$7*X162*Module!$I$5</f>
        <v>133.2266955498003</v>
      </c>
      <c r="AQ162" s="151">
        <f t="shared" si="52"/>
        <v>1000000</v>
      </c>
      <c r="AS162" s="101">
        <f t="shared" si="45"/>
        <v>0</v>
      </c>
      <c r="AT162" s="101">
        <f>10+Module!$K$57/($AA$1+1)</f>
        <v>92.438394151029627</v>
      </c>
      <c r="AU162" s="101">
        <f>$AA$1*(25+Module!$I$6)</f>
        <v>101</v>
      </c>
      <c r="AV162" s="101">
        <f>(AT162*($Z$1+1)*0.002488974)/($Z$1+1)*Module!$I$5*Module!$I$7</f>
        <v>70.974999121916298</v>
      </c>
      <c r="AW162" s="101">
        <f>$P$120*Module!$I$7*X162*Module!$I$5</f>
        <v>133.2266955498003</v>
      </c>
      <c r="AX162" s="151">
        <f t="shared" si="53"/>
        <v>1000000</v>
      </c>
      <c r="AZ162" s="101">
        <f t="shared" si="46"/>
        <v>0</v>
      </c>
      <c r="BA162" s="101">
        <f>10+Module!$K$57/($AB$1+1)</f>
        <v>71.82879561327222</v>
      </c>
      <c r="BB162" s="101">
        <f>$AB$1*(25+Module!$I$6)</f>
        <v>151.5</v>
      </c>
      <c r="BC162" s="101">
        <f>(BA162*($AB$1+1)*0.002488974)/($AB$1+1)*Module!$I$5*Module!$I$7</f>
        <v>55.150770979977231</v>
      </c>
      <c r="BD162" s="101">
        <f>$P$120*Module!$I$7*X162*Module!$I$5</f>
        <v>133.2266955498003</v>
      </c>
      <c r="BE162" s="151">
        <f t="shared" si="54"/>
        <v>1000000</v>
      </c>
      <c r="BG162" s="101">
        <f t="shared" si="47"/>
        <v>0</v>
      </c>
      <c r="BH162" s="101">
        <f>10+Module!$K$57/($AC$1+1)</f>
        <v>59.463036490617775</v>
      </c>
      <c r="BI162" s="101">
        <f>$AC$1*(25+Module!$I$6)</f>
        <v>202</v>
      </c>
      <c r="BJ162" s="101">
        <f>(BH162*($AC$1+1)*0.002488974)/($AC$1+1)*Module!$I$5*Module!$I$7</f>
        <v>45.656234094813776</v>
      </c>
      <c r="BK162" s="101">
        <f>$P$120*Module!$I$7*X162*Module!$I$5</f>
        <v>133.2266955498003</v>
      </c>
      <c r="BL162" s="151">
        <f t="shared" si="55"/>
        <v>1000000</v>
      </c>
    </row>
    <row r="163" spans="23:64" ht="19.5" hidden="1" customHeight="1" thickBot="1">
      <c r="W163" s="777"/>
      <c r="X163" s="121">
        <f t="shared" si="56"/>
        <v>60</v>
      </c>
      <c r="Y163" s="122">
        <f>'calcul pneu pour calculateur'!P164</f>
        <v>118.75029003256836</v>
      </c>
      <c r="Z163" s="123">
        <f t="shared" si="48"/>
        <v>237.50058006513672</v>
      </c>
      <c r="AA163" s="123">
        <f t="shared" si="49"/>
        <v>356.25087009770505</v>
      </c>
      <c r="AB163" s="123">
        <f t="shared" si="50"/>
        <v>475.00116013027343</v>
      </c>
      <c r="AC163" s="123">
        <f t="shared" si="51"/>
        <v>593.75145016284182</v>
      </c>
      <c r="AK163" s="121">
        <f t="shared" si="57"/>
        <v>60</v>
      </c>
      <c r="AL163" s="101">
        <f t="shared" si="44"/>
        <v>0</v>
      </c>
      <c r="AM163" s="101">
        <f>10+Module!$K$57/($Z$1+1)</f>
        <v>133.65759122654444</v>
      </c>
      <c r="AN163" s="101">
        <f>$Z$1*(25+Module!$I$6)</f>
        <v>50.5</v>
      </c>
      <c r="AO163" s="101">
        <f>(AM163*($Z$1+1)*0.002488974)/($Z$1+1)*Module!$I$5*Module!$I$7</f>
        <v>102.62345540579445</v>
      </c>
      <c r="AP163" s="101">
        <f>$P$120*Module!$I$7*X163*Module!$I$5</f>
        <v>135.48477513539012</v>
      </c>
      <c r="AQ163" s="151">
        <f t="shared" si="52"/>
        <v>1000000</v>
      </c>
      <c r="AS163" s="101">
        <f t="shared" si="45"/>
        <v>0</v>
      </c>
      <c r="AT163" s="101">
        <f>10+Module!$K$57/($AA$1+1)</f>
        <v>92.438394151029627</v>
      </c>
      <c r="AU163" s="101">
        <f>$AA$1*(25+Module!$I$6)</f>
        <v>101</v>
      </c>
      <c r="AV163" s="101">
        <f>(AT163*($Z$1+1)*0.002488974)/($Z$1+1)*Module!$I$5*Module!$I$7</f>
        <v>70.974999121916298</v>
      </c>
      <c r="AW163" s="101">
        <f>$P$120*Module!$I$7*X163*Module!$I$5</f>
        <v>135.48477513539012</v>
      </c>
      <c r="AX163" s="151">
        <f t="shared" si="53"/>
        <v>1000000</v>
      </c>
      <c r="AZ163" s="101">
        <f t="shared" si="46"/>
        <v>0</v>
      </c>
      <c r="BA163" s="101">
        <f>10+Module!$K$57/($AB$1+1)</f>
        <v>71.82879561327222</v>
      </c>
      <c r="BB163" s="101">
        <f>$AB$1*(25+Module!$I$6)</f>
        <v>151.5</v>
      </c>
      <c r="BC163" s="101">
        <f>(BA163*($AB$1+1)*0.002488974)/($AB$1+1)*Module!$I$5*Module!$I$7</f>
        <v>55.150770979977231</v>
      </c>
      <c r="BD163" s="101">
        <f>$P$120*Module!$I$7*X163*Module!$I$5</f>
        <v>135.48477513539012</v>
      </c>
      <c r="BE163" s="151">
        <f t="shared" si="54"/>
        <v>1000000</v>
      </c>
      <c r="BG163" s="101">
        <f t="shared" si="47"/>
        <v>0</v>
      </c>
      <c r="BH163" s="101">
        <f>10+Module!$K$57/($AC$1+1)</f>
        <v>59.463036490617775</v>
      </c>
      <c r="BI163" s="101">
        <f>$AC$1*(25+Module!$I$6)</f>
        <v>202</v>
      </c>
      <c r="BJ163" s="101">
        <f>(BH163*($AC$1+1)*0.002488974)/($AC$1+1)*Module!$I$5*Module!$I$7</f>
        <v>45.656234094813776</v>
      </c>
      <c r="BK163" s="101">
        <f>$P$120*Module!$I$7*X163*Module!$I$5</f>
        <v>135.48477513539012</v>
      </c>
      <c r="BL163" s="151">
        <f t="shared" si="55"/>
        <v>1000000</v>
      </c>
    </row>
    <row r="164" spans="23:64" ht="19.5" hidden="1" customHeight="1" thickBot="1">
      <c r="W164" s="777"/>
      <c r="X164" s="121">
        <f t="shared" si="56"/>
        <v>61</v>
      </c>
      <c r="Y164" s="122">
        <f>'calcul pneu pour calculateur'!P165</f>
        <v>118.39689592955821</v>
      </c>
      <c r="Z164" s="123">
        <f t="shared" si="48"/>
        <v>236.79379185911642</v>
      </c>
      <c r="AA164" s="123">
        <f t="shared" si="49"/>
        <v>355.19068778867461</v>
      </c>
      <c r="AB164" s="123">
        <f t="shared" si="50"/>
        <v>473.58758371823285</v>
      </c>
      <c r="AC164" s="123">
        <f t="shared" si="51"/>
        <v>591.98447964779109</v>
      </c>
      <c r="AK164" s="121">
        <f t="shared" si="57"/>
        <v>61</v>
      </c>
      <c r="AL164" s="101">
        <f t="shared" si="44"/>
        <v>0</v>
      </c>
      <c r="AM164" s="101">
        <f>10+Module!$K$57/($Z$1+1)</f>
        <v>133.65759122654444</v>
      </c>
      <c r="AN164" s="101">
        <f>$Z$1*(25+Module!$I$6)</f>
        <v>50.5</v>
      </c>
      <c r="AO164" s="101">
        <f>(AM164*($Z$1+1)*0.002488974)/($Z$1+1)*Module!$I$5*Module!$I$7</f>
        <v>102.62345540579445</v>
      </c>
      <c r="AP164" s="101">
        <f>$P$120*Module!$I$7*X164*Module!$I$5</f>
        <v>137.74285472097998</v>
      </c>
      <c r="AQ164" s="151">
        <f t="shared" si="52"/>
        <v>1000000</v>
      </c>
      <c r="AS164" s="101">
        <f t="shared" si="45"/>
        <v>0</v>
      </c>
      <c r="AT164" s="101">
        <f>10+Module!$K$57/($AA$1+1)</f>
        <v>92.438394151029627</v>
      </c>
      <c r="AU164" s="101">
        <f>$AA$1*(25+Module!$I$6)</f>
        <v>101</v>
      </c>
      <c r="AV164" s="101">
        <f>(AT164*($Z$1+1)*0.002488974)/($Z$1+1)*Module!$I$5*Module!$I$7</f>
        <v>70.974999121916298</v>
      </c>
      <c r="AW164" s="101">
        <f>$P$120*Module!$I$7*X164*Module!$I$5</f>
        <v>137.74285472097998</v>
      </c>
      <c r="AX164" s="151">
        <f t="shared" si="53"/>
        <v>1000000</v>
      </c>
      <c r="AZ164" s="101">
        <f t="shared" si="46"/>
        <v>0</v>
      </c>
      <c r="BA164" s="101">
        <f>10+Module!$K$57/($AB$1+1)</f>
        <v>71.82879561327222</v>
      </c>
      <c r="BB164" s="101">
        <f>$AB$1*(25+Module!$I$6)</f>
        <v>151.5</v>
      </c>
      <c r="BC164" s="101">
        <f>(BA164*($AB$1+1)*0.002488974)/($AB$1+1)*Module!$I$5*Module!$I$7</f>
        <v>55.150770979977231</v>
      </c>
      <c r="BD164" s="101">
        <f>$P$120*Module!$I$7*X164*Module!$I$5</f>
        <v>137.74285472097998</v>
      </c>
      <c r="BE164" s="151">
        <f t="shared" si="54"/>
        <v>1000000</v>
      </c>
      <c r="BG164" s="101">
        <f t="shared" si="47"/>
        <v>0</v>
      </c>
      <c r="BH164" s="101">
        <f>10+Module!$K$57/($AC$1+1)</f>
        <v>59.463036490617775</v>
      </c>
      <c r="BI164" s="101">
        <f>$AC$1*(25+Module!$I$6)</f>
        <v>202</v>
      </c>
      <c r="BJ164" s="101">
        <f>(BH164*($AC$1+1)*0.002488974)/($AC$1+1)*Module!$I$5*Module!$I$7</f>
        <v>45.656234094813776</v>
      </c>
      <c r="BK164" s="101">
        <f>$P$120*Module!$I$7*X164*Module!$I$5</f>
        <v>137.74285472097998</v>
      </c>
      <c r="BL164" s="151">
        <f t="shared" si="55"/>
        <v>1000000</v>
      </c>
    </row>
    <row r="165" spans="23:64" ht="19.5" hidden="1" customHeight="1" thickBot="1">
      <c r="W165" s="777"/>
      <c r="X165" s="121">
        <f t="shared" si="56"/>
        <v>62</v>
      </c>
      <c r="Y165" s="122">
        <f>'calcul pneu pour calculateur'!P166</f>
        <v>118.04350182654807</v>
      </c>
      <c r="Z165" s="123">
        <f t="shared" si="48"/>
        <v>236.08700365309613</v>
      </c>
      <c r="AA165" s="123">
        <f t="shared" si="49"/>
        <v>354.13050547964417</v>
      </c>
      <c r="AB165" s="123">
        <f t="shared" si="50"/>
        <v>472.17400730619227</v>
      </c>
      <c r="AC165" s="123">
        <f t="shared" si="51"/>
        <v>590.21750913274036</v>
      </c>
      <c r="AK165" s="121">
        <f t="shared" si="57"/>
        <v>62</v>
      </c>
      <c r="AL165" s="101">
        <f t="shared" si="44"/>
        <v>0</v>
      </c>
      <c r="AM165" s="101">
        <f>10+Module!$K$57/($Z$1+1)</f>
        <v>133.65759122654444</v>
      </c>
      <c r="AN165" s="101">
        <f>$Z$1*(25+Module!$I$6)</f>
        <v>50.5</v>
      </c>
      <c r="AO165" s="101">
        <f>(AM165*($Z$1+1)*0.002488974)/($Z$1+1)*Module!$I$5*Module!$I$7</f>
        <v>102.62345540579445</v>
      </c>
      <c r="AP165" s="101">
        <f>$P$120*Module!$I$7*X165*Module!$I$5</f>
        <v>140.0009343065698</v>
      </c>
      <c r="AQ165" s="151">
        <f t="shared" si="52"/>
        <v>1000000</v>
      </c>
      <c r="AS165" s="101">
        <f t="shared" si="45"/>
        <v>0</v>
      </c>
      <c r="AT165" s="101">
        <f>10+Module!$K$57/($AA$1+1)</f>
        <v>92.438394151029627</v>
      </c>
      <c r="AU165" s="101">
        <f>$AA$1*(25+Module!$I$6)</f>
        <v>101</v>
      </c>
      <c r="AV165" s="101">
        <f>(AT165*($Z$1+1)*0.002488974)/($Z$1+1)*Module!$I$5*Module!$I$7</f>
        <v>70.974999121916298</v>
      </c>
      <c r="AW165" s="101">
        <f>$P$120*Module!$I$7*X165*Module!$I$5</f>
        <v>140.0009343065698</v>
      </c>
      <c r="AX165" s="151">
        <f t="shared" si="53"/>
        <v>1000000</v>
      </c>
      <c r="AZ165" s="101">
        <f t="shared" si="46"/>
        <v>0</v>
      </c>
      <c r="BA165" s="101">
        <f>10+Module!$K$57/($AB$1+1)</f>
        <v>71.82879561327222</v>
      </c>
      <c r="BB165" s="101">
        <f>$AB$1*(25+Module!$I$6)</f>
        <v>151.5</v>
      </c>
      <c r="BC165" s="101">
        <f>(BA165*($AB$1+1)*0.002488974)/($AB$1+1)*Module!$I$5*Module!$I$7</f>
        <v>55.150770979977231</v>
      </c>
      <c r="BD165" s="101">
        <f>$P$120*Module!$I$7*X165*Module!$I$5</f>
        <v>140.0009343065698</v>
      </c>
      <c r="BE165" s="151">
        <f t="shared" si="54"/>
        <v>1000000</v>
      </c>
      <c r="BG165" s="101">
        <f t="shared" si="47"/>
        <v>0</v>
      </c>
      <c r="BH165" s="101">
        <f>10+Module!$K$57/($AC$1+1)</f>
        <v>59.463036490617775</v>
      </c>
      <c r="BI165" s="101">
        <f>$AC$1*(25+Module!$I$6)</f>
        <v>202</v>
      </c>
      <c r="BJ165" s="101">
        <f>(BH165*($AC$1+1)*0.002488974)/($AC$1+1)*Module!$I$5*Module!$I$7</f>
        <v>45.656234094813776</v>
      </c>
      <c r="BK165" s="101">
        <f>$P$120*Module!$I$7*X165*Module!$I$5</f>
        <v>140.0009343065698</v>
      </c>
      <c r="BL165" s="151">
        <f t="shared" si="55"/>
        <v>1000000</v>
      </c>
    </row>
    <row r="166" spans="23:64" ht="19.5" hidden="1" customHeight="1" thickBot="1">
      <c r="W166" s="777"/>
      <c r="X166" s="121">
        <f t="shared" si="56"/>
        <v>63</v>
      </c>
      <c r="Y166" s="122">
        <f>'calcul pneu pour calculateur'!P167</f>
        <v>117.69010772353793</v>
      </c>
      <c r="Z166" s="123">
        <f t="shared" si="48"/>
        <v>235.38021544707587</v>
      </c>
      <c r="AA166" s="123">
        <f t="shared" si="49"/>
        <v>353.07032317061379</v>
      </c>
      <c r="AB166" s="123">
        <f t="shared" si="50"/>
        <v>470.76043089415174</v>
      </c>
      <c r="AC166" s="123">
        <f t="shared" si="51"/>
        <v>588.45053861768963</v>
      </c>
      <c r="AK166" s="121">
        <f t="shared" si="57"/>
        <v>63</v>
      </c>
      <c r="AL166" s="101">
        <f t="shared" si="44"/>
        <v>0</v>
      </c>
      <c r="AM166" s="101">
        <f>10+Module!$K$57/($Z$1+1)</f>
        <v>133.65759122654444</v>
      </c>
      <c r="AN166" s="101">
        <f>$Z$1*(25+Module!$I$6)</f>
        <v>50.5</v>
      </c>
      <c r="AO166" s="101">
        <f>(AM166*($Z$1+1)*0.002488974)/($Z$1+1)*Module!$I$5*Module!$I$7</f>
        <v>102.62345540579445</v>
      </c>
      <c r="AP166" s="101">
        <f>$P$120*Module!$I$7*X166*Module!$I$5</f>
        <v>142.25901389215963</v>
      </c>
      <c r="AQ166" s="151">
        <f t="shared" si="52"/>
        <v>1000000</v>
      </c>
      <c r="AS166" s="101">
        <f t="shared" si="45"/>
        <v>0</v>
      </c>
      <c r="AT166" s="101">
        <f>10+Module!$K$57/($AA$1+1)</f>
        <v>92.438394151029627</v>
      </c>
      <c r="AU166" s="101">
        <f>$AA$1*(25+Module!$I$6)</f>
        <v>101</v>
      </c>
      <c r="AV166" s="101">
        <f>(AT166*($Z$1+1)*0.002488974)/($Z$1+1)*Module!$I$5*Module!$I$7</f>
        <v>70.974999121916298</v>
      </c>
      <c r="AW166" s="101">
        <f>$P$120*Module!$I$7*X166*Module!$I$5</f>
        <v>142.25901389215963</v>
      </c>
      <c r="AX166" s="151">
        <f t="shared" si="53"/>
        <v>1000000</v>
      </c>
      <c r="AZ166" s="101">
        <f t="shared" si="46"/>
        <v>0</v>
      </c>
      <c r="BA166" s="101">
        <f>10+Module!$K$57/($AB$1+1)</f>
        <v>71.82879561327222</v>
      </c>
      <c r="BB166" s="101">
        <f>$AB$1*(25+Module!$I$6)</f>
        <v>151.5</v>
      </c>
      <c r="BC166" s="101">
        <f>(BA166*($AB$1+1)*0.002488974)/($AB$1+1)*Module!$I$5*Module!$I$7</f>
        <v>55.150770979977231</v>
      </c>
      <c r="BD166" s="101">
        <f>$P$120*Module!$I$7*X166*Module!$I$5</f>
        <v>142.25901389215963</v>
      </c>
      <c r="BE166" s="151">
        <f t="shared" si="54"/>
        <v>1000000</v>
      </c>
      <c r="BG166" s="101">
        <f t="shared" si="47"/>
        <v>0</v>
      </c>
      <c r="BH166" s="101">
        <f>10+Module!$K$57/($AC$1+1)</f>
        <v>59.463036490617775</v>
      </c>
      <c r="BI166" s="101">
        <f>$AC$1*(25+Module!$I$6)</f>
        <v>202</v>
      </c>
      <c r="BJ166" s="101">
        <f>(BH166*($AC$1+1)*0.002488974)/($AC$1+1)*Module!$I$5*Module!$I$7</f>
        <v>45.656234094813776</v>
      </c>
      <c r="BK166" s="101">
        <f>$P$120*Module!$I$7*X166*Module!$I$5</f>
        <v>142.25901389215963</v>
      </c>
      <c r="BL166" s="151">
        <f t="shared" si="55"/>
        <v>1000000</v>
      </c>
    </row>
    <row r="167" spans="23:64" ht="19.5" hidden="1" customHeight="1" thickBot="1">
      <c r="W167" s="777"/>
      <c r="X167" s="121">
        <f t="shared" si="56"/>
        <v>64</v>
      </c>
      <c r="Y167" s="122">
        <f>'calcul pneu pour calculateur'!P168</f>
        <v>117.33671362052777</v>
      </c>
      <c r="Z167" s="123">
        <f t="shared" si="48"/>
        <v>234.67342724105555</v>
      </c>
      <c r="AA167" s="123">
        <f t="shared" si="49"/>
        <v>352.0101408615833</v>
      </c>
      <c r="AB167" s="123">
        <f t="shared" si="50"/>
        <v>469.3468544821111</v>
      </c>
      <c r="AC167" s="123">
        <f t="shared" si="51"/>
        <v>586.6835681026389</v>
      </c>
      <c r="AK167" s="121">
        <f t="shared" si="57"/>
        <v>64</v>
      </c>
      <c r="AL167" s="101">
        <f t="shared" si="44"/>
        <v>0</v>
      </c>
      <c r="AM167" s="101">
        <f>10+Module!$K$57/($Z$1+1)</f>
        <v>133.65759122654444</v>
      </c>
      <c r="AN167" s="101">
        <f>$Z$1*(25+Module!$I$6)</f>
        <v>50.5</v>
      </c>
      <c r="AO167" s="101">
        <f>(AM167*($Z$1+1)*0.002488974)/($Z$1+1)*Module!$I$5*Module!$I$7</f>
        <v>102.62345540579445</v>
      </c>
      <c r="AP167" s="101">
        <f>$P$120*Module!$I$7*X167*Module!$I$5</f>
        <v>144.51709347774946</v>
      </c>
      <c r="AQ167" s="151">
        <f t="shared" si="52"/>
        <v>1000000</v>
      </c>
      <c r="AS167" s="101">
        <f t="shared" si="45"/>
        <v>0</v>
      </c>
      <c r="AT167" s="101">
        <f>10+Module!$K$57/($AA$1+1)</f>
        <v>92.438394151029627</v>
      </c>
      <c r="AU167" s="101">
        <f>$AA$1*(25+Module!$I$6)</f>
        <v>101</v>
      </c>
      <c r="AV167" s="101">
        <f>(AT167*($Z$1+1)*0.002488974)/($Z$1+1)*Module!$I$5*Module!$I$7</f>
        <v>70.974999121916298</v>
      </c>
      <c r="AW167" s="101">
        <f>$P$120*Module!$I$7*X167*Module!$I$5</f>
        <v>144.51709347774946</v>
      </c>
      <c r="AX167" s="151">
        <f t="shared" si="53"/>
        <v>1000000</v>
      </c>
      <c r="AZ167" s="101">
        <f t="shared" si="46"/>
        <v>0</v>
      </c>
      <c r="BA167" s="101">
        <f>10+Module!$K$57/($AB$1+1)</f>
        <v>71.82879561327222</v>
      </c>
      <c r="BB167" s="101">
        <f>$AB$1*(25+Module!$I$6)</f>
        <v>151.5</v>
      </c>
      <c r="BC167" s="101">
        <f>(BA167*($AB$1+1)*0.002488974)/($AB$1+1)*Module!$I$5*Module!$I$7</f>
        <v>55.150770979977231</v>
      </c>
      <c r="BD167" s="101">
        <f>$P$120*Module!$I$7*X167*Module!$I$5</f>
        <v>144.51709347774946</v>
      </c>
      <c r="BE167" s="151">
        <f t="shared" si="54"/>
        <v>1000000</v>
      </c>
      <c r="BG167" s="101">
        <f t="shared" si="47"/>
        <v>0</v>
      </c>
      <c r="BH167" s="101">
        <f>10+Module!$K$57/($AC$1+1)</f>
        <v>59.463036490617775</v>
      </c>
      <c r="BI167" s="101">
        <f>$AC$1*(25+Module!$I$6)</f>
        <v>202</v>
      </c>
      <c r="BJ167" s="101">
        <f>(BH167*($AC$1+1)*0.002488974)/($AC$1+1)*Module!$I$5*Module!$I$7</f>
        <v>45.656234094813776</v>
      </c>
      <c r="BK167" s="101">
        <f>$P$120*Module!$I$7*X167*Module!$I$5</f>
        <v>144.51709347774946</v>
      </c>
      <c r="BL167" s="151">
        <f t="shared" si="55"/>
        <v>1000000</v>
      </c>
    </row>
    <row r="168" spans="23:64" ht="19.5" hidden="1" customHeight="1" thickBot="1">
      <c r="W168" s="777"/>
      <c r="X168" s="121">
        <f t="shared" si="56"/>
        <v>65</v>
      </c>
      <c r="Y168" s="122">
        <f>'calcul pneu pour calculateur'!P169</f>
        <v>116.98331951751763</v>
      </c>
      <c r="Z168" s="123">
        <f t="shared" si="48"/>
        <v>233.96663903503526</v>
      </c>
      <c r="AA168" s="123">
        <f t="shared" si="49"/>
        <v>350.94995855255286</v>
      </c>
      <c r="AB168" s="123">
        <f t="shared" si="50"/>
        <v>467.93327807007051</v>
      </c>
      <c r="AC168" s="123">
        <f t="shared" si="51"/>
        <v>584.91659758758817</v>
      </c>
      <c r="AK168" s="121">
        <f t="shared" si="57"/>
        <v>65</v>
      </c>
      <c r="AL168" s="101">
        <f t="shared" ref="AL168:AL203" si="58">$H$62</f>
        <v>0</v>
      </c>
      <c r="AM168" s="101">
        <f>10+Module!$K$57/($Z$1+1)</f>
        <v>133.65759122654444</v>
      </c>
      <c r="AN168" s="101">
        <f>$Z$1*(25+Module!$I$6)</f>
        <v>50.5</v>
      </c>
      <c r="AO168" s="101">
        <f>(AM168*($Z$1+1)*0.002488974)/($Z$1+1)*Module!$I$5*Module!$I$7</f>
        <v>102.62345540579445</v>
      </c>
      <c r="AP168" s="101">
        <f>$P$120*Module!$I$7*X168*Module!$I$5</f>
        <v>146.77517306333931</v>
      </c>
      <c r="AQ168" s="151">
        <f t="shared" si="52"/>
        <v>1000000</v>
      </c>
      <c r="AS168" s="101">
        <f t="shared" ref="AS168:AS203" si="59">$H$62</f>
        <v>0</v>
      </c>
      <c r="AT168" s="101">
        <f>10+Module!$K$57/($AA$1+1)</f>
        <v>92.438394151029627</v>
      </c>
      <c r="AU168" s="101">
        <f>$AA$1*(25+Module!$I$6)</f>
        <v>101</v>
      </c>
      <c r="AV168" s="101">
        <f>(AT168*($Z$1+1)*0.002488974)/($Z$1+1)*Module!$I$5*Module!$I$7</f>
        <v>70.974999121916298</v>
      </c>
      <c r="AW168" s="101">
        <f>$P$120*Module!$I$7*X168*Module!$I$5</f>
        <v>146.77517306333931</v>
      </c>
      <c r="AX168" s="151">
        <f t="shared" si="53"/>
        <v>1000000</v>
      </c>
      <c r="AZ168" s="101">
        <f t="shared" ref="AZ168:AZ203" si="60">$H$62</f>
        <v>0</v>
      </c>
      <c r="BA168" s="101">
        <f>10+Module!$K$57/($AB$1+1)</f>
        <v>71.82879561327222</v>
      </c>
      <c r="BB168" s="101">
        <f>$AB$1*(25+Module!$I$6)</f>
        <v>151.5</v>
      </c>
      <c r="BC168" s="101">
        <f>(BA168*($AB$1+1)*0.002488974)/($AB$1+1)*Module!$I$5*Module!$I$7</f>
        <v>55.150770979977231</v>
      </c>
      <c r="BD168" s="101">
        <f>$P$120*Module!$I$7*X168*Module!$I$5</f>
        <v>146.77517306333931</v>
      </c>
      <c r="BE168" s="151">
        <f t="shared" si="54"/>
        <v>1000000</v>
      </c>
      <c r="BG168" s="101">
        <f t="shared" ref="BG168:BG203" si="61">$H$62</f>
        <v>0</v>
      </c>
      <c r="BH168" s="101">
        <f>10+Module!$K$57/($AC$1+1)</f>
        <v>59.463036490617775</v>
      </c>
      <c r="BI168" s="101">
        <f>$AC$1*(25+Module!$I$6)</f>
        <v>202</v>
      </c>
      <c r="BJ168" s="101">
        <f>(BH168*($AC$1+1)*0.002488974)/($AC$1+1)*Module!$I$5*Module!$I$7</f>
        <v>45.656234094813776</v>
      </c>
      <c r="BK168" s="101">
        <f>$P$120*Module!$I$7*X168*Module!$I$5</f>
        <v>146.77517306333931</v>
      </c>
      <c r="BL168" s="151">
        <f t="shared" si="55"/>
        <v>1000000</v>
      </c>
    </row>
    <row r="169" spans="23:64" ht="19.5" hidden="1" customHeight="1" thickBot="1">
      <c r="W169" s="777"/>
      <c r="X169" s="121">
        <f t="shared" si="56"/>
        <v>66</v>
      </c>
      <c r="Y169" s="122">
        <f>'calcul pneu pour calculateur'!P170</f>
        <v>116.6299254145075</v>
      </c>
      <c r="Z169" s="123">
        <f t="shared" si="48"/>
        <v>233.25985082901499</v>
      </c>
      <c r="AA169" s="123">
        <f t="shared" si="49"/>
        <v>349.88977624352248</v>
      </c>
      <c r="AB169" s="123">
        <f t="shared" si="50"/>
        <v>466.51970165802999</v>
      </c>
      <c r="AC169" s="123">
        <f t="shared" si="51"/>
        <v>583.14962707253744</v>
      </c>
      <c r="AK169" s="121">
        <f t="shared" si="57"/>
        <v>66</v>
      </c>
      <c r="AL169" s="101">
        <f t="shared" si="58"/>
        <v>0</v>
      </c>
      <c r="AM169" s="101">
        <f>10+Module!$K$57/($Z$1+1)</f>
        <v>133.65759122654444</v>
      </c>
      <c r="AN169" s="101">
        <f>$Z$1*(25+Module!$I$6)</f>
        <v>50.5</v>
      </c>
      <c r="AO169" s="101">
        <f>(AM169*($Z$1+1)*0.002488974)/($Z$1+1)*Module!$I$5*Module!$I$7</f>
        <v>102.62345540579445</v>
      </c>
      <c r="AP169" s="101">
        <f>$P$120*Module!$I$7*X169*Module!$I$5</f>
        <v>149.03325264892914</v>
      </c>
      <c r="AQ169" s="151">
        <f t="shared" si="52"/>
        <v>1000000</v>
      </c>
      <c r="AS169" s="101">
        <f t="shared" si="59"/>
        <v>0</v>
      </c>
      <c r="AT169" s="101">
        <f>10+Module!$K$57/($AA$1+1)</f>
        <v>92.438394151029627</v>
      </c>
      <c r="AU169" s="101">
        <f>$AA$1*(25+Module!$I$6)</f>
        <v>101</v>
      </c>
      <c r="AV169" s="101">
        <f>(AT169*($Z$1+1)*0.002488974)/($Z$1+1)*Module!$I$5*Module!$I$7</f>
        <v>70.974999121916298</v>
      </c>
      <c r="AW169" s="101">
        <f>$P$120*Module!$I$7*X169*Module!$I$5</f>
        <v>149.03325264892914</v>
      </c>
      <c r="AX169" s="151">
        <f t="shared" si="53"/>
        <v>1000000</v>
      </c>
      <c r="AZ169" s="101">
        <f t="shared" si="60"/>
        <v>0</v>
      </c>
      <c r="BA169" s="101">
        <f>10+Module!$K$57/($AB$1+1)</f>
        <v>71.82879561327222</v>
      </c>
      <c r="BB169" s="101">
        <f>$AB$1*(25+Module!$I$6)</f>
        <v>151.5</v>
      </c>
      <c r="BC169" s="101">
        <f>(BA169*($AB$1+1)*0.002488974)/($AB$1+1)*Module!$I$5*Module!$I$7</f>
        <v>55.150770979977231</v>
      </c>
      <c r="BD169" s="101">
        <f>$P$120*Module!$I$7*X169*Module!$I$5</f>
        <v>149.03325264892914</v>
      </c>
      <c r="BE169" s="151">
        <f t="shared" si="54"/>
        <v>1000000</v>
      </c>
      <c r="BG169" s="101">
        <f t="shared" si="61"/>
        <v>0</v>
      </c>
      <c r="BH169" s="101">
        <f>10+Module!$K$57/($AC$1+1)</f>
        <v>59.463036490617775</v>
      </c>
      <c r="BI169" s="101">
        <f>$AC$1*(25+Module!$I$6)</f>
        <v>202</v>
      </c>
      <c r="BJ169" s="101">
        <f>(BH169*($AC$1+1)*0.002488974)/($AC$1+1)*Module!$I$5*Module!$I$7</f>
        <v>45.656234094813776</v>
      </c>
      <c r="BK169" s="101">
        <f>$P$120*Module!$I$7*X169*Module!$I$5</f>
        <v>149.03325264892914</v>
      </c>
      <c r="BL169" s="151">
        <f t="shared" si="55"/>
        <v>1000000</v>
      </c>
    </row>
    <row r="170" spans="23:64" ht="19.5" hidden="1" customHeight="1" thickBot="1">
      <c r="W170" s="777"/>
      <c r="X170" s="121">
        <f t="shared" si="56"/>
        <v>67</v>
      </c>
      <c r="Y170" s="122">
        <f>'calcul pneu pour calculateur'!P171</f>
        <v>116.27653131149735</v>
      </c>
      <c r="Z170" s="123">
        <f t="shared" si="48"/>
        <v>232.5530626229947</v>
      </c>
      <c r="AA170" s="123">
        <f t="shared" si="49"/>
        <v>348.82959393449204</v>
      </c>
      <c r="AB170" s="123">
        <f t="shared" si="50"/>
        <v>465.1061252459894</v>
      </c>
      <c r="AC170" s="123">
        <f t="shared" si="51"/>
        <v>581.38265655748671</v>
      </c>
      <c r="AK170" s="121">
        <f t="shared" si="57"/>
        <v>67</v>
      </c>
      <c r="AL170" s="101">
        <f t="shared" si="58"/>
        <v>0</v>
      </c>
      <c r="AM170" s="101">
        <f>10+Module!$K$57/($Z$1+1)</f>
        <v>133.65759122654444</v>
      </c>
      <c r="AN170" s="101">
        <f>$Z$1*(25+Module!$I$6)</f>
        <v>50.5</v>
      </c>
      <c r="AO170" s="101">
        <f>(AM170*($Z$1+1)*0.002488974)/($Z$1+1)*Module!$I$5*Module!$I$7</f>
        <v>102.62345540579445</v>
      </c>
      <c r="AP170" s="101">
        <f>$P$120*Module!$I$7*X170*Module!$I$5</f>
        <v>151.29133223451896</v>
      </c>
      <c r="AQ170" s="151">
        <f t="shared" si="52"/>
        <v>1000000</v>
      </c>
      <c r="AS170" s="101">
        <f t="shared" si="59"/>
        <v>0</v>
      </c>
      <c r="AT170" s="101">
        <f>10+Module!$K$57/($AA$1+1)</f>
        <v>92.438394151029627</v>
      </c>
      <c r="AU170" s="101">
        <f>$AA$1*(25+Module!$I$6)</f>
        <v>101</v>
      </c>
      <c r="AV170" s="101">
        <f>(AT170*($Z$1+1)*0.002488974)/($Z$1+1)*Module!$I$5*Module!$I$7</f>
        <v>70.974999121916298</v>
      </c>
      <c r="AW170" s="101">
        <f>$P$120*Module!$I$7*X170*Module!$I$5</f>
        <v>151.29133223451896</v>
      </c>
      <c r="AX170" s="151">
        <f t="shared" si="53"/>
        <v>1000000</v>
      </c>
      <c r="AZ170" s="101">
        <f t="shared" si="60"/>
        <v>0</v>
      </c>
      <c r="BA170" s="101">
        <f>10+Module!$K$57/($AB$1+1)</f>
        <v>71.82879561327222</v>
      </c>
      <c r="BB170" s="101">
        <f>$AB$1*(25+Module!$I$6)</f>
        <v>151.5</v>
      </c>
      <c r="BC170" s="101">
        <f>(BA170*($AB$1+1)*0.002488974)/($AB$1+1)*Module!$I$5*Module!$I$7</f>
        <v>55.150770979977231</v>
      </c>
      <c r="BD170" s="101">
        <f>$P$120*Module!$I$7*X170*Module!$I$5</f>
        <v>151.29133223451896</v>
      </c>
      <c r="BE170" s="151">
        <f t="shared" si="54"/>
        <v>1000000</v>
      </c>
      <c r="BG170" s="101">
        <f t="shared" si="61"/>
        <v>0</v>
      </c>
      <c r="BH170" s="101">
        <f>10+Module!$K$57/($AC$1+1)</f>
        <v>59.463036490617775</v>
      </c>
      <c r="BI170" s="101">
        <f>$AC$1*(25+Module!$I$6)</f>
        <v>202</v>
      </c>
      <c r="BJ170" s="101">
        <f>(BH170*($AC$1+1)*0.002488974)/($AC$1+1)*Module!$I$5*Module!$I$7</f>
        <v>45.656234094813776</v>
      </c>
      <c r="BK170" s="101">
        <f>$P$120*Module!$I$7*X170*Module!$I$5</f>
        <v>151.29133223451896</v>
      </c>
      <c r="BL170" s="151">
        <f t="shared" si="55"/>
        <v>1000000</v>
      </c>
    </row>
    <row r="171" spans="23:64" ht="19.5" hidden="1" customHeight="1" thickBot="1">
      <c r="W171" s="777"/>
      <c r="X171" s="121">
        <f t="shared" si="56"/>
        <v>68</v>
      </c>
      <c r="Y171" s="122">
        <f>'calcul pneu pour calculateur'!P172</f>
        <v>115.92313720848719</v>
      </c>
      <c r="Z171" s="123">
        <f t="shared" ref="Z171:Z234" si="62">Y171*2</f>
        <v>231.84627441697438</v>
      </c>
      <c r="AA171" s="123">
        <f t="shared" ref="AA171:AA234" si="63">Y171*3</f>
        <v>347.76941162546154</v>
      </c>
      <c r="AB171" s="123">
        <f t="shared" ref="AB171:AB234" si="64">Y171*4</f>
        <v>463.69254883394876</v>
      </c>
      <c r="AC171" s="123">
        <f t="shared" ref="AC171:AC234" si="65">Y171*5</f>
        <v>579.61568604243598</v>
      </c>
      <c r="AK171" s="121">
        <f t="shared" si="57"/>
        <v>68</v>
      </c>
      <c r="AL171" s="101">
        <f t="shared" si="58"/>
        <v>0</v>
      </c>
      <c r="AM171" s="101">
        <f>10+Module!$K$57/($Z$1+1)</f>
        <v>133.65759122654444</v>
      </c>
      <c r="AN171" s="101">
        <f>$Z$1*(25+Module!$I$6)</f>
        <v>50.5</v>
      </c>
      <c r="AO171" s="101">
        <f>(AM171*($Z$1+1)*0.002488974)/($Z$1+1)*Module!$I$5*Module!$I$7</f>
        <v>102.62345540579445</v>
      </c>
      <c r="AP171" s="101">
        <f>$P$120*Module!$I$7*X171*Module!$I$5</f>
        <v>153.54941182010882</v>
      </c>
      <c r="AQ171" s="151">
        <f t="shared" si="52"/>
        <v>1000000</v>
      </c>
      <c r="AS171" s="101">
        <f t="shared" si="59"/>
        <v>0</v>
      </c>
      <c r="AT171" s="101">
        <f>10+Module!$K$57/($AA$1+1)</f>
        <v>92.438394151029627</v>
      </c>
      <c r="AU171" s="101">
        <f>$AA$1*(25+Module!$I$6)</f>
        <v>101</v>
      </c>
      <c r="AV171" s="101">
        <f>(AT171*($Z$1+1)*0.002488974)/($Z$1+1)*Module!$I$5*Module!$I$7</f>
        <v>70.974999121916298</v>
      </c>
      <c r="AW171" s="101">
        <f>$P$120*Module!$I$7*X171*Module!$I$5</f>
        <v>153.54941182010882</v>
      </c>
      <c r="AX171" s="151">
        <f t="shared" si="53"/>
        <v>1000000</v>
      </c>
      <c r="AZ171" s="101">
        <f t="shared" si="60"/>
        <v>0</v>
      </c>
      <c r="BA171" s="101">
        <f>10+Module!$K$57/($AB$1+1)</f>
        <v>71.82879561327222</v>
      </c>
      <c r="BB171" s="101">
        <f>$AB$1*(25+Module!$I$6)</f>
        <v>151.5</v>
      </c>
      <c r="BC171" s="101">
        <f>(BA171*($AB$1+1)*0.002488974)/($AB$1+1)*Module!$I$5*Module!$I$7</f>
        <v>55.150770979977231</v>
      </c>
      <c r="BD171" s="101">
        <f>$P$120*Module!$I$7*X171*Module!$I$5</f>
        <v>153.54941182010882</v>
      </c>
      <c r="BE171" s="151">
        <f t="shared" si="54"/>
        <v>1000000</v>
      </c>
      <c r="BG171" s="101">
        <f t="shared" si="61"/>
        <v>0</v>
      </c>
      <c r="BH171" s="101">
        <f>10+Module!$K$57/($AC$1+1)</f>
        <v>59.463036490617775</v>
      </c>
      <c r="BI171" s="101">
        <f>$AC$1*(25+Module!$I$6)</f>
        <v>202</v>
      </c>
      <c r="BJ171" s="101">
        <f>(BH171*($AC$1+1)*0.002488974)/($AC$1+1)*Module!$I$5*Module!$I$7</f>
        <v>45.656234094813776</v>
      </c>
      <c r="BK171" s="101">
        <f>$P$120*Module!$I$7*X171*Module!$I$5</f>
        <v>153.54941182010882</v>
      </c>
      <c r="BL171" s="151">
        <f t="shared" si="55"/>
        <v>1000000</v>
      </c>
    </row>
    <row r="172" spans="23:64" ht="19.5" hidden="1" customHeight="1" thickBot="1">
      <c r="W172" s="777"/>
      <c r="X172" s="121">
        <f t="shared" si="56"/>
        <v>69</v>
      </c>
      <c r="Y172" s="122">
        <f>'calcul pneu pour calculateur'!P173</f>
        <v>115.56974310547706</v>
      </c>
      <c r="Z172" s="123">
        <f t="shared" si="62"/>
        <v>231.13948621095412</v>
      </c>
      <c r="AA172" s="123">
        <f t="shared" si="63"/>
        <v>346.70922931643116</v>
      </c>
      <c r="AB172" s="123">
        <f t="shared" si="64"/>
        <v>462.27897242190824</v>
      </c>
      <c r="AC172" s="123">
        <f t="shared" si="65"/>
        <v>577.84871552738525</v>
      </c>
      <c r="AK172" s="121">
        <f t="shared" si="57"/>
        <v>69</v>
      </c>
      <c r="AL172" s="101">
        <f t="shared" si="58"/>
        <v>0</v>
      </c>
      <c r="AM172" s="101">
        <f>10+Module!$K$57/($Z$1+1)</f>
        <v>133.65759122654444</v>
      </c>
      <c r="AN172" s="101">
        <f>$Z$1*(25+Module!$I$6)</f>
        <v>50.5</v>
      </c>
      <c r="AO172" s="101">
        <f>(AM172*($Z$1+1)*0.002488974)/($Z$1+1)*Module!$I$5*Module!$I$7</f>
        <v>102.62345540579445</v>
      </c>
      <c r="AP172" s="101">
        <f>$P$120*Module!$I$7*X172*Module!$I$5</f>
        <v>155.80749140569864</v>
      </c>
      <c r="AQ172" s="151">
        <f t="shared" si="52"/>
        <v>1000000</v>
      </c>
      <c r="AS172" s="101">
        <f t="shared" si="59"/>
        <v>0</v>
      </c>
      <c r="AT172" s="101">
        <f>10+Module!$K$57/($AA$1+1)</f>
        <v>92.438394151029627</v>
      </c>
      <c r="AU172" s="101">
        <f>$AA$1*(25+Module!$I$6)</f>
        <v>101</v>
      </c>
      <c r="AV172" s="101">
        <f>(AT172*($Z$1+1)*0.002488974)/($Z$1+1)*Module!$I$5*Module!$I$7</f>
        <v>70.974999121916298</v>
      </c>
      <c r="AW172" s="101">
        <f>$P$120*Module!$I$7*X172*Module!$I$5</f>
        <v>155.80749140569864</v>
      </c>
      <c r="AX172" s="151">
        <f t="shared" si="53"/>
        <v>1000000</v>
      </c>
      <c r="AZ172" s="101">
        <f t="shared" si="60"/>
        <v>0</v>
      </c>
      <c r="BA172" s="101">
        <f>10+Module!$K$57/($AB$1+1)</f>
        <v>71.82879561327222</v>
      </c>
      <c r="BB172" s="101">
        <f>$AB$1*(25+Module!$I$6)</f>
        <v>151.5</v>
      </c>
      <c r="BC172" s="101">
        <f>(BA172*($AB$1+1)*0.002488974)/($AB$1+1)*Module!$I$5*Module!$I$7</f>
        <v>55.150770979977231</v>
      </c>
      <c r="BD172" s="101">
        <f>$P$120*Module!$I$7*X172*Module!$I$5</f>
        <v>155.80749140569864</v>
      </c>
      <c r="BE172" s="151">
        <f t="shared" si="54"/>
        <v>1000000</v>
      </c>
      <c r="BG172" s="101">
        <f t="shared" si="61"/>
        <v>0</v>
      </c>
      <c r="BH172" s="101">
        <f>10+Module!$K$57/($AC$1+1)</f>
        <v>59.463036490617775</v>
      </c>
      <c r="BI172" s="101">
        <f>$AC$1*(25+Module!$I$6)</f>
        <v>202</v>
      </c>
      <c r="BJ172" s="101">
        <f>(BH172*($AC$1+1)*0.002488974)/($AC$1+1)*Module!$I$5*Module!$I$7</f>
        <v>45.656234094813776</v>
      </c>
      <c r="BK172" s="101">
        <f>$P$120*Module!$I$7*X172*Module!$I$5</f>
        <v>155.80749140569864</v>
      </c>
      <c r="BL172" s="151">
        <f t="shared" si="55"/>
        <v>1000000</v>
      </c>
    </row>
    <row r="173" spans="23:64" ht="19.5" hidden="1" customHeight="1" thickBot="1">
      <c r="W173" s="777"/>
      <c r="X173" s="121">
        <f t="shared" si="56"/>
        <v>70</v>
      </c>
      <c r="Y173" s="122">
        <f>'calcul pneu pour calculateur'!P174</f>
        <v>115.2163490024669</v>
      </c>
      <c r="Z173" s="123">
        <f t="shared" si="62"/>
        <v>230.4326980049338</v>
      </c>
      <c r="AA173" s="123">
        <f t="shared" si="63"/>
        <v>345.64904700740067</v>
      </c>
      <c r="AB173" s="123">
        <f t="shared" si="64"/>
        <v>460.8653960098676</v>
      </c>
      <c r="AC173" s="123">
        <f t="shared" si="65"/>
        <v>576.08174501233452</v>
      </c>
      <c r="AK173" s="121">
        <f t="shared" si="57"/>
        <v>70</v>
      </c>
      <c r="AL173" s="101">
        <f t="shared" si="58"/>
        <v>0</v>
      </c>
      <c r="AM173" s="101">
        <f>10+Module!$K$57/($Z$1+1)</f>
        <v>133.65759122654444</v>
      </c>
      <c r="AN173" s="101">
        <f>$Z$1*(25+Module!$I$6)</f>
        <v>50.5</v>
      </c>
      <c r="AO173" s="101">
        <f>(AM173*($Z$1+1)*0.002488974)/($Z$1+1)*Module!$I$5*Module!$I$7</f>
        <v>102.62345540579445</v>
      </c>
      <c r="AP173" s="101">
        <f>$P$120*Module!$I$7*X173*Module!$I$5</f>
        <v>158.06557099128847</v>
      </c>
      <c r="AQ173" s="151">
        <f t="shared" si="52"/>
        <v>1000000</v>
      </c>
      <c r="AS173" s="101">
        <f t="shared" si="59"/>
        <v>0</v>
      </c>
      <c r="AT173" s="101">
        <f>10+Module!$K$57/($AA$1+1)</f>
        <v>92.438394151029627</v>
      </c>
      <c r="AU173" s="101">
        <f>$AA$1*(25+Module!$I$6)</f>
        <v>101</v>
      </c>
      <c r="AV173" s="101">
        <f>(AT173*($Z$1+1)*0.002488974)/($Z$1+1)*Module!$I$5*Module!$I$7</f>
        <v>70.974999121916298</v>
      </c>
      <c r="AW173" s="101">
        <f>$P$120*Module!$I$7*X173*Module!$I$5</f>
        <v>158.06557099128847</v>
      </c>
      <c r="AX173" s="151">
        <f t="shared" si="53"/>
        <v>1000000</v>
      </c>
      <c r="AZ173" s="101">
        <f t="shared" si="60"/>
        <v>0</v>
      </c>
      <c r="BA173" s="101">
        <f>10+Module!$K$57/($AB$1+1)</f>
        <v>71.82879561327222</v>
      </c>
      <c r="BB173" s="101">
        <f>$AB$1*(25+Module!$I$6)</f>
        <v>151.5</v>
      </c>
      <c r="BC173" s="101">
        <f>(BA173*($AB$1+1)*0.002488974)/($AB$1+1)*Module!$I$5*Module!$I$7</f>
        <v>55.150770979977231</v>
      </c>
      <c r="BD173" s="101">
        <f>$P$120*Module!$I$7*X173*Module!$I$5</f>
        <v>158.06557099128847</v>
      </c>
      <c r="BE173" s="151">
        <f t="shared" si="54"/>
        <v>1000000</v>
      </c>
      <c r="BG173" s="101">
        <f t="shared" si="61"/>
        <v>0</v>
      </c>
      <c r="BH173" s="101">
        <f>10+Module!$K$57/($AC$1+1)</f>
        <v>59.463036490617775</v>
      </c>
      <c r="BI173" s="101">
        <f>$AC$1*(25+Module!$I$6)</f>
        <v>202</v>
      </c>
      <c r="BJ173" s="101">
        <f>(BH173*($AC$1+1)*0.002488974)/($AC$1+1)*Module!$I$5*Module!$I$7</f>
        <v>45.656234094813776</v>
      </c>
      <c r="BK173" s="101">
        <f>$P$120*Module!$I$7*X173*Module!$I$5</f>
        <v>158.06557099128847</v>
      </c>
      <c r="BL173" s="151">
        <f t="shared" si="55"/>
        <v>1000000</v>
      </c>
    </row>
    <row r="174" spans="23:64" ht="19.5" hidden="1" customHeight="1" thickBot="1">
      <c r="W174" s="777"/>
      <c r="X174" s="121">
        <f t="shared" si="56"/>
        <v>71</v>
      </c>
      <c r="Y174" s="122">
        <f>'calcul pneu pour calculateur'!P175</f>
        <v>114.86295489945677</v>
      </c>
      <c r="Z174" s="123">
        <f t="shared" si="62"/>
        <v>229.72590979891353</v>
      </c>
      <c r="AA174" s="123">
        <f t="shared" si="63"/>
        <v>344.58886469837029</v>
      </c>
      <c r="AB174" s="123">
        <f t="shared" si="64"/>
        <v>459.45181959782707</v>
      </c>
      <c r="AC174" s="123">
        <f t="shared" si="65"/>
        <v>574.31477449728379</v>
      </c>
      <c r="AK174" s="121">
        <f t="shared" si="57"/>
        <v>71</v>
      </c>
      <c r="AL174" s="101">
        <f t="shared" si="58"/>
        <v>0</v>
      </c>
      <c r="AM174" s="101">
        <f>10+Module!$K$57/($Z$1+1)</f>
        <v>133.65759122654444</v>
      </c>
      <c r="AN174" s="101">
        <f>$Z$1*(25+Module!$I$6)</f>
        <v>50.5</v>
      </c>
      <c r="AO174" s="101">
        <f>(AM174*($Z$1+1)*0.002488974)/($Z$1+1)*Module!$I$5*Module!$I$7</f>
        <v>102.62345540579445</v>
      </c>
      <c r="AP174" s="101">
        <f>$P$120*Module!$I$7*X174*Module!$I$5</f>
        <v>160.32365057687832</v>
      </c>
      <c r="AQ174" s="151">
        <f t="shared" si="52"/>
        <v>1000000</v>
      </c>
      <c r="AS174" s="101">
        <f t="shared" si="59"/>
        <v>0</v>
      </c>
      <c r="AT174" s="101">
        <f>10+Module!$K$57/($AA$1+1)</f>
        <v>92.438394151029627</v>
      </c>
      <c r="AU174" s="101">
        <f>$AA$1*(25+Module!$I$6)</f>
        <v>101</v>
      </c>
      <c r="AV174" s="101">
        <f>(AT174*($Z$1+1)*0.002488974)/($Z$1+1)*Module!$I$5*Module!$I$7</f>
        <v>70.974999121916298</v>
      </c>
      <c r="AW174" s="101">
        <f>$P$120*Module!$I$7*X174*Module!$I$5</f>
        <v>160.32365057687832</v>
      </c>
      <c r="AX174" s="151">
        <f t="shared" si="53"/>
        <v>1000000</v>
      </c>
      <c r="AZ174" s="101">
        <f t="shared" si="60"/>
        <v>0</v>
      </c>
      <c r="BA174" s="101">
        <f>10+Module!$K$57/($AB$1+1)</f>
        <v>71.82879561327222</v>
      </c>
      <c r="BB174" s="101">
        <f>$AB$1*(25+Module!$I$6)</f>
        <v>151.5</v>
      </c>
      <c r="BC174" s="101">
        <f>(BA174*($AB$1+1)*0.002488974)/($AB$1+1)*Module!$I$5*Module!$I$7</f>
        <v>55.150770979977231</v>
      </c>
      <c r="BD174" s="101">
        <f>$P$120*Module!$I$7*X174*Module!$I$5</f>
        <v>160.32365057687832</v>
      </c>
      <c r="BE174" s="151">
        <f t="shared" si="54"/>
        <v>1000000</v>
      </c>
      <c r="BG174" s="101">
        <f t="shared" si="61"/>
        <v>0</v>
      </c>
      <c r="BH174" s="101">
        <f>10+Module!$K$57/($AC$1+1)</f>
        <v>59.463036490617775</v>
      </c>
      <c r="BI174" s="101">
        <f>$AC$1*(25+Module!$I$6)</f>
        <v>202</v>
      </c>
      <c r="BJ174" s="101">
        <f>(BH174*($AC$1+1)*0.002488974)/($AC$1+1)*Module!$I$5*Module!$I$7</f>
        <v>45.656234094813776</v>
      </c>
      <c r="BK174" s="101">
        <f>$P$120*Module!$I$7*X174*Module!$I$5</f>
        <v>160.32365057687832</v>
      </c>
      <c r="BL174" s="151">
        <f t="shared" si="55"/>
        <v>1000000</v>
      </c>
    </row>
    <row r="175" spans="23:64" ht="19.5" hidden="1" customHeight="1" thickBot="1">
      <c r="W175" s="777"/>
      <c r="X175" s="121">
        <f t="shared" si="56"/>
        <v>72</v>
      </c>
      <c r="Y175" s="122">
        <f>'calcul pneu pour calculateur'!P176</f>
        <v>114.50956079644662</v>
      </c>
      <c r="Z175" s="123">
        <f t="shared" si="62"/>
        <v>229.01912159289324</v>
      </c>
      <c r="AA175" s="123">
        <f t="shared" si="63"/>
        <v>343.52868238933985</v>
      </c>
      <c r="AB175" s="123">
        <f t="shared" si="64"/>
        <v>458.03824318578648</v>
      </c>
      <c r="AC175" s="123">
        <f t="shared" si="65"/>
        <v>572.54780398223306</v>
      </c>
      <c r="AK175" s="121">
        <f t="shared" si="57"/>
        <v>72</v>
      </c>
      <c r="AL175" s="101">
        <f t="shared" si="58"/>
        <v>0</v>
      </c>
      <c r="AM175" s="101">
        <f>10+Module!$K$57/($Z$1+1)</f>
        <v>133.65759122654444</v>
      </c>
      <c r="AN175" s="101">
        <f>$Z$1*(25+Module!$I$6)</f>
        <v>50.5</v>
      </c>
      <c r="AO175" s="101">
        <f>(AM175*($Z$1+1)*0.002488974)/($Z$1+1)*Module!$I$5*Module!$I$7</f>
        <v>102.62345540579445</v>
      </c>
      <c r="AP175" s="101">
        <f>$P$120*Module!$I$7*X175*Module!$I$5</f>
        <v>162.58173016246815</v>
      </c>
      <c r="AQ175" s="151">
        <f t="shared" si="52"/>
        <v>1000000</v>
      </c>
      <c r="AS175" s="101">
        <f t="shared" si="59"/>
        <v>0</v>
      </c>
      <c r="AT175" s="101">
        <f>10+Module!$K$57/($AA$1+1)</f>
        <v>92.438394151029627</v>
      </c>
      <c r="AU175" s="101">
        <f>$AA$1*(25+Module!$I$6)</f>
        <v>101</v>
      </c>
      <c r="AV175" s="101">
        <f>(AT175*($Z$1+1)*0.002488974)/($Z$1+1)*Module!$I$5*Module!$I$7</f>
        <v>70.974999121916298</v>
      </c>
      <c r="AW175" s="101">
        <f>$P$120*Module!$I$7*X175*Module!$I$5</f>
        <v>162.58173016246815</v>
      </c>
      <c r="AX175" s="151">
        <f t="shared" si="53"/>
        <v>1000000</v>
      </c>
      <c r="AZ175" s="101">
        <f t="shared" si="60"/>
        <v>0</v>
      </c>
      <c r="BA175" s="101">
        <f>10+Module!$K$57/($AB$1+1)</f>
        <v>71.82879561327222</v>
      </c>
      <c r="BB175" s="101">
        <f>$AB$1*(25+Module!$I$6)</f>
        <v>151.5</v>
      </c>
      <c r="BC175" s="101">
        <f>(BA175*($AB$1+1)*0.002488974)/($AB$1+1)*Module!$I$5*Module!$I$7</f>
        <v>55.150770979977231</v>
      </c>
      <c r="BD175" s="101">
        <f>$P$120*Module!$I$7*X175*Module!$I$5</f>
        <v>162.58173016246815</v>
      </c>
      <c r="BE175" s="151">
        <f t="shared" si="54"/>
        <v>1000000</v>
      </c>
      <c r="BG175" s="101">
        <f t="shared" si="61"/>
        <v>0</v>
      </c>
      <c r="BH175" s="101">
        <f>10+Module!$K$57/($AC$1+1)</f>
        <v>59.463036490617775</v>
      </c>
      <c r="BI175" s="101">
        <f>$AC$1*(25+Module!$I$6)</f>
        <v>202</v>
      </c>
      <c r="BJ175" s="101">
        <f>(BH175*($AC$1+1)*0.002488974)/($AC$1+1)*Module!$I$5*Module!$I$7</f>
        <v>45.656234094813776</v>
      </c>
      <c r="BK175" s="101">
        <f>$P$120*Module!$I$7*X175*Module!$I$5</f>
        <v>162.58173016246815</v>
      </c>
      <c r="BL175" s="151">
        <f t="shared" si="55"/>
        <v>1000000</v>
      </c>
    </row>
    <row r="176" spans="23:64" ht="19.5" hidden="1" customHeight="1" thickBot="1">
      <c r="W176" s="777"/>
      <c r="X176" s="121">
        <f t="shared" si="56"/>
        <v>73</v>
      </c>
      <c r="Y176" s="122">
        <f>'calcul pneu pour calculateur'!P177</f>
        <v>114.15616669343648</v>
      </c>
      <c r="Z176" s="123">
        <f t="shared" si="62"/>
        <v>228.31233338687295</v>
      </c>
      <c r="AA176" s="123">
        <f t="shared" si="63"/>
        <v>342.46850008030941</v>
      </c>
      <c r="AB176" s="123">
        <f t="shared" si="64"/>
        <v>456.6246667737459</v>
      </c>
      <c r="AC176" s="123">
        <f t="shared" si="65"/>
        <v>570.78083346718233</v>
      </c>
      <c r="AK176" s="121">
        <f t="shared" si="57"/>
        <v>73</v>
      </c>
      <c r="AL176" s="101">
        <f t="shared" si="58"/>
        <v>0</v>
      </c>
      <c r="AM176" s="101">
        <f>10+Module!$K$57/($Z$1+1)</f>
        <v>133.65759122654444</v>
      </c>
      <c r="AN176" s="101">
        <f>$Z$1*(25+Module!$I$6)</f>
        <v>50.5</v>
      </c>
      <c r="AO176" s="101">
        <f>(AM176*($Z$1+1)*0.002488974)/($Z$1+1)*Module!$I$5*Module!$I$7</f>
        <v>102.62345540579445</v>
      </c>
      <c r="AP176" s="101">
        <f>$P$120*Module!$I$7*X176*Module!$I$5</f>
        <v>164.839809748058</v>
      </c>
      <c r="AQ176" s="151">
        <f t="shared" si="52"/>
        <v>1000000</v>
      </c>
      <c r="AS176" s="101">
        <f t="shared" si="59"/>
        <v>0</v>
      </c>
      <c r="AT176" s="101">
        <f>10+Module!$K$57/($AA$1+1)</f>
        <v>92.438394151029627</v>
      </c>
      <c r="AU176" s="101">
        <f>$AA$1*(25+Module!$I$6)</f>
        <v>101</v>
      </c>
      <c r="AV176" s="101">
        <f>(AT176*($Z$1+1)*0.002488974)/($Z$1+1)*Module!$I$5*Module!$I$7</f>
        <v>70.974999121916298</v>
      </c>
      <c r="AW176" s="101">
        <f>$P$120*Module!$I$7*X176*Module!$I$5</f>
        <v>164.839809748058</v>
      </c>
      <c r="AX176" s="151">
        <f t="shared" si="53"/>
        <v>1000000</v>
      </c>
      <c r="AZ176" s="101">
        <f t="shared" si="60"/>
        <v>0</v>
      </c>
      <c r="BA176" s="101">
        <f>10+Module!$K$57/($AB$1+1)</f>
        <v>71.82879561327222</v>
      </c>
      <c r="BB176" s="101">
        <f>$AB$1*(25+Module!$I$6)</f>
        <v>151.5</v>
      </c>
      <c r="BC176" s="101">
        <f>(BA176*($AB$1+1)*0.002488974)/($AB$1+1)*Module!$I$5*Module!$I$7</f>
        <v>55.150770979977231</v>
      </c>
      <c r="BD176" s="101">
        <f>$P$120*Module!$I$7*X176*Module!$I$5</f>
        <v>164.839809748058</v>
      </c>
      <c r="BE176" s="151">
        <f t="shared" si="54"/>
        <v>1000000</v>
      </c>
      <c r="BG176" s="101">
        <f t="shared" si="61"/>
        <v>0</v>
      </c>
      <c r="BH176" s="101">
        <f>10+Module!$K$57/($AC$1+1)</f>
        <v>59.463036490617775</v>
      </c>
      <c r="BI176" s="101">
        <f>$AC$1*(25+Module!$I$6)</f>
        <v>202</v>
      </c>
      <c r="BJ176" s="101">
        <f>(BH176*($AC$1+1)*0.002488974)/($AC$1+1)*Module!$I$5*Module!$I$7</f>
        <v>45.656234094813776</v>
      </c>
      <c r="BK176" s="101">
        <f>$P$120*Module!$I$7*X176*Module!$I$5</f>
        <v>164.839809748058</v>
      </c>
      <c r="BL176" s="151">
        <f t="shared" si="55"/>
        <v>1000000</v>
      </c>
    </row>
    <row r="177" spans="23:64" ht="19.5" hidden="1" customHeight="1" thickBot="1">
      <c r="W177" s="777"/>
      <c r="X177" s="121">
        <f t="shared" si="56"/>
        <v>74</v>
      </c>
      <c r="Y177" s="122">
        <f>'calcul pneu pour calculateur'!P178</f>
        <v>113.80277259042631</v>
      </c>
      <c r="Z177" s="123">
        <f t="shared" si="62"/>
        <v>227.60554518085263</v>
      </c>
      <c r="AA177" s="123">
        <f t="shared" si="63"/>
        <v>341.40831777127892</v>
      </c>
      <c r="AB177" s="123">
        <f t="shared" si="64"/>
        <v>455.21109036170526</v>
      </c>
      <c r="AC177" s="123">
        <f t="shared" si="65"/>
        <v>569.0138629521316</v>
      </c>
      <c r="AK177" s="121">
        <f t="shared" si="57"/>
        <v>74</v>
      </c>
      <c r="AL177" s="101">
        <f t="shared" si="58"/>
        <v>0</v>
      </c>
      <c r="AM177" s="101">
        <f>10+Module!$K$57/($Z$1+1)</f>
        <v>133.65759122654444</v>
      </c>
      <c r="AN177" s="101">
        <f>$Z$1*(25+Module!$I$6)</f>
        <v>50.5</v>
      </c>
      <c r="AO177" s="101">
        <f>(AM177*($Z$1+1)*0.002488974)/($Z$1+1)*Module!$I$5*Module!$I$7</f>
        <v>102.62345540579445</v>
      </c>
      <c r="AP177" s="101">
        <f>$P$120*Module!$I$7*X177*Module!$I$5</f>
        <v>167.09788933364783</v>
      </c>
      <c r="AQ177" s="151">
        <f t="shared" si="52"/>
        <v>1000000</v>
      </c>
      <c r="AS177" s="101">
        <f t="shared" si="59"/>
        <v>0</v>
      </c>
      <c r="AT177" s="101">
        <f>10+Module!$K$57/($AA$1+1)</f>
        <v>92.438394151029627</v>
      </c>
      <c r="AU177" s="101">
        <f>$AA$1*(25+Module!$I$6)</f>
        <v>101</v>
      </c>
      <c r="AV177" s="101">
        <f>(AT177*($Z$1+1)*0.002488974)/($Z$1+1)*Module!$I$5*Module!$I$7</f>
        <v>70.974999121916298</v>
      </c>
      <c r="AW177" s="101">
        <f>$P$120*Module!$I$7*X177*Module!$I$5</f>
        <v>167.09788933364783</v>
      </c>
      <c r="AX177" s="151">
        <f t="shared" si="53"/>
        <v>1000000</v>
      </c>
      <c r="AZ177" s="101">
        <f t="shared" si="60"/>
        <v>0</v>
      </c>
      <c r="BA177" s="101">
        <f>10+Module!$K$57/($AB$1+1)</f>
        <v>71.82879561327222</v>
      </c>
      <c r="BB177" s="101">
        <f>$AB$1*(25+Module!$I$6)</f>
        <v>151.5</v>
      </c>
      <c r="BC177" s="101">
        <f>(BA177*($AB$1+1)*0.002488974)/($AB$1+1)*Module!$I$5*Module!$I$7</f>
        <v>55.150770979977231</v>
      </c>
      <c r="BD177" s="101">
        <f>$P$120*Module!$I$7*X177*Module!$I$5</f>
        <v>167.09788933364783</v>
      </c>
      <c r="BE177" s="151">
        <f t="shared" si="54"/>
        <v>1000000</v>
      </c>
      <c r="BG177" s="101">
        <f t="shared" si="61"/>
        <v>0</v>
      </c>
      <c r="BH177" s="101">
        <f>10+Module!$K$57/($AC$1+1)</f>
        <v>59.463036490617775</v>
      </c>
      <c r="BI177" s="101">
        <f>$AC$1*(25+Module!$I$6)</f>
        <v>202</v>
      </c>
      <c r="BJ177" s="101">
        <f>(BH177*($AC$1+1)*0.002488974)/($AC$1+1)*Module!$I$5*Module!$I$7</f>
        <v>45.656234094813776</v>
      </c>
      <c r="BK177" s="101">
        <f>$P$120*Module!$I$7*X177*Module!$I$5</f>
        <v>167.09788933364783</v>
      </c>
      <c r="BL177" s="151">
        <f t="shared" si="55"/>
        <v>1000000</v>
      </c>
    </row>
    <row r="178" spans="23:64" ht="19.5" hidden="1" customHeight="1" thickBot="1">
      <c r="W178" s="777"/>
      <c r="X178" s="121">
        <f t="shared" si="56"/>
        <v>75</v>
      </c>
      <c r="Y178" s="122">
        <f>'calcul pneu pour calculateur'!P179</f>
        <v>113.44937848741618</v>
      </c>
      <c r="Z178" s="123">
        <f t="shared" si="62"/>
        <v>226.89875697483237</v>
      </c>
      <c r="AA178" s="123">
        <f t="shared" si="63"/>
        <v>340.34813546224854</v>
      </c>
      <c r="AB178" s="123">
        <f t="shared" si="64"/>
        <v>453.79751394966473</v>
      </c>
      <c r="AC178" s="123">
        <f t="shared" si="65"/>
        <v>567.24689243708087</v>
      </c>
      <c r="AK178" s="121">
        <f t="shared" si="57"/>
        <v>75</v>
      </c>
      <c r="AL178" s="101">
        <f t="shared" si="58"/>
        <v>0</v>
      </c>
      <c r="AM178" s="101">
        <f>10+Module!$K$57/($Z$1+1)</f>
        <v>133.65759122654444</v>
      </c>
      <c r="AN178" s="101">
        <f>$Z$1*(25+Module!$I$6)</f>
        <v>50.5</v>
      </c>
      <c r="AO178" s="101">
        <f>(AM178*($Z$1+1)*0.002488974)/($Z$1+1)*Module!$I$5*Module!$I$7</f>
        <v>102.62345540579445</v>
      </c>
      <c r="AP178" s="101">
        <f>$P$120*Module!$I$7*X178*Module!$I$5</f>
        <v>169.35596891923765</v>
      </c>
      <c r="AQ178" s="151">
        <f t="shared" si="52"/>
        <v>1000000</v>
      </c>
      <c r="AS178" s="101">
        <f t="shared" si="59"/>
        <v>0</v>
      </c>
      <c r="AT178" s="101">
        <f>10+Module!$K$57/($AA$1+1)</f>
        <v>92.438394151029627</v>
      </c>
      <c r="AU178" s="101">
        <f>$AA$1*(25+Module!$I$6)</f>
        <v>101</v>
      </c>
      <c r="AV178" s="101">
        <f>(AT178*($Z$1+1)*0.002488974)/($Z$1+1)*Module!$I$5*Module!$I$7</f>
        <v>70.974999121916298</v>
      </c>
      <c r="AW178" s="101">
        <f>$P$120*Module!$I$7*X178*Module!$I$5</f>
        <v>169.35596891923765</v>
      </c>
      <c r="AX178" s="151">
        <f t="shared" si="53"/>
        <v>1000000</v>
      </c>
      <c r="AZ178" s="101">
        <f t="shared" si="60"/>
        <v>0</v>
      </c>
      <c r="BA178" s="101">
        <f>10+Module!$K$57/($AB$1+1)</f>
        <v>71.82879561327222</v>
      </c>
      <c r="BB178" s="101">
        <f>$AB$1*(25+Module!$I$6)</f>
        <v>151.5</v>
      </c>
      <c r="BC178" s="101">
        <f>(BA178*($AB$1+1)*0.002488974)/($AB$1+1)*Module!$I$5*Module!$I$7</f>
        <v>55.150770979977231</v>
      </c>
      <c r="BD178" s="101">
        <f>$P$120*Module!$I$7*X178*Module!$I$5</f>
        <v>169.35596891923765</v>
      </c>
      <c r="BE178" s="151">
        <f t="shared" si="54"/>
        <v>1000000</v>
      </c>
      <c r="BG178" s="101">
        <f t="shared" si="61"/>
        <v>0</v>
      </c>
      <c r="BH178" s="101">
        <f>10+Module!$K$57/($AC$1+1)</f>
        <v>59.463036490617775</v>
      </c>
      <c r="BI178" s="101">
        <f>$AC$1*(25+Module!$I$6)</f>
        <v>202</v>
      </c>
      <c r="BJ178" s="101">
        <f>(BH178*($AC$1+1)*0.002488974)/($AC$1+1)*Module!$I$5*Module!$I$7</f>
        <v>45.656234094813776</v>
      </c>
      <c r="BK178" s="101">
        <f>$P$120*Module!$I$7*X178*Module!$I$5</f>
        <v>169.35596891923765</v>
      </c>
      <c r="BL178" s="151">
        <f t="shared" si="55"/>
        <v>1000000</v>
      </c>
    </row>
    <row r="179" spans="23:64" ht="19.5" hidden="1" customHeight="1" thickBot="1">
      <c r="W179" s="777"/>
      <c r="X179" s="121">
        <f t="shared" si="56"/>
        <v>76</v>
      </c>
      <c r="Y179" s="122">
        <f>'calcul pneu pour calculateur'!P180</f>
        <v>113.09598438440605</v>
      </c>
      <c r="Z179" s="123">
        <f t="shared" si="62"/>
        <v>226.1919687688121</v>
      </c>
      <c r="AA179" s="123">
        <f t="shared" si="63"/>
        <v>339.28795315321815</v>
      </c>
      <c r="AB179" s="123">
        <f t="shared" si="64"/>
        <v>452.38393753762421</v>
      </c>
      <c r="AC179" s="123">
        <f t="shared" si="65"/>
        <v>565.47992192203026</v>
      </c>
      <c r="AK179" s="121">
        <f t="shared" si="57"/>
        <v>76</v>
      </c>
      <c r="AL179" s="101">
        <f t="shared" si="58"/>
        <v>0</v>
      </c>
      <c r="AM179" s="101">
        <f>10+Module!$K$57/($Z$1+1)</f>
        <v>133.65759122654444</v>
      </c>
      <c r="AN179" s="101">
        <f>$Z$1*(25+Module!$I$6)</f>
        <v>50.5</v>
      </c>
      <c r="AO179" s="101">
        <f>(AM179*($Z$1+1)*0.002488974)/($Z$1+1)*Module!$I$5*Module!$I$7</f>
        <v>102.62345540579445</v>
      </c>
      <c r="AP179" s="101">
        <f>$P$120*Module!$I$7*X179*Module!$I$5</f>
        <v>171.61404850482751</v>
      </c>
      <c r="AQ179" s="151">
        <f t="shared" si="52"/>
        <v>1000000</v>
      </c>
      <c r="AS179" s="101">
        <f t="shared" si="59"/>
        <v>0</v>
      </c>
      <c r="AT179" s="101">
        <f>10+Module!$K$57/($AA$1+1)</f>
        <v>92.438394151029627</v>
      </c>
      <c r="AU179" s="101">
        <f>$AA$1*(25+Module!$I$6)</f>
        <v>101</v>
      </c>
      <c r="AV179" s="101">
        <f>(AT179*($Z$1+1)*0.002488974)/($Z$1+1)*Module!$I$5*Module!$I$7</f>
        <v>70.974999121916298</v>
      </c>
      <c r="AW179" s="101">
        <f>$P$120*Module!$I$7*X179*Module!$I$5</f>
        <v>171.61404850482751</v>
      </c>
      <c r="AX179" s="151">
        <f t="shared" si="53"/>
        <v>1000000</v>
      </c>
      <c r="AZ179" s="101">
        <f t="shared" si="60"/>
        <v>0</v>
      </c>
      <c r="BA179" s="101">
        <f>10+Module!$K$57/($AB$1+1)</f>
        <v>71.82879561327222</v>
      </c>
      <c r="BB179" s="101">
        <f>$AB$1*(25+Module!$I$6)</f>
        <v>151.5</v>
      </c>
      <c r="BC179" s="101">
        <f>(BA179*($AB$1+1)*0.002488974)/($AB$1+1)*Module!$I$5*Module!$I$7</f>
        <v>55.150770979977231</v>
      </c>
      <c r="BD179" s="101">
        <f>$P$120*Module!$I$7*X179*Module!$I$5</f>
        <v>171.61404850482751</v>
      </c>
      <c r="BE179" s="151">
        <f t="shared" si="54"/>
        <v>1000000</v>
      </c>
      <c r="BG179" s="101">
        <f t="shared" si="61"/>
        <v>0</v>
      </c>
      <c r="BH179" s="101">
        <f>10+Module!$K$57/($AC$1+1)</f>
        <v>59.463036490617775</v>
      </c>
      <c r="BI179" s="101">
        <f>$AC$1*(25+Module!$I$6)</f>
        <v>202</v>
      </c>
      <c r="BJ179" s="101">
        <f>(BH179*($AC$1+1)*0.002488974)/($AC$1+1)*Module!$I$5*Module!$I$7</f>
        <v>45.656234094813776</v>
      </c>
      <c r="BK179" s="101">
        <f>$P$120*Module!$I$7*X179*Module!$I$5</f>
        <v>171.61404850482751</v>
      </c>
      <c r="BL179" s="151">
        <f t="shared" si="55"/>
        <v>1000000</v>
      </c>
    </row>
    <row r="180" spans="23:64" ht="19.5" hidden="1" customHeight="1" thickBot="1">
      <c r="W180" s="777"/>
      <c r="X180" s="121">
        <f t="shared" si="56"/>
        <v>77</v>
      </c>
      <c r="Y180" s="122">
        <f>'calcul pneu pour calculateur'!P181</f>
        <v>112.74259028139591</v>
      </c>
      <c r="Z180" s="123">
        <f t="shared" si="62"/>
        <v>225.48518056279181</v>
      </c>
      <c r="AA180" s="123">
        <f t="shared" si="63"/>
        <v>338.22777084418772</v>
      </c>
      <c r="AB180" s="123">
        <f t="shared" si="64"/>
        <v>450.97036112558362</v>
      </c>
      <c r="AC180" s="123">
        <f t="shared" si="65"/>
        <v>563.71295140697953</v>
      </c>
      <c r="AK180" s="121">
        <f t="shared" si="57"/>
        <v>77</v>
      </c>
      <c r="AL180" s="101">
        <f t="shared" si="58"/>
        <v>0</v>
      </c>
      <c r="AM180" s="101">
        <f>10+Module!$K$57/($Z$1+1)</f>
        <v>133.65759122654444</v>
      </c>
      <c r="AN180" s="101">
        <f>$Z$1*(25+Module!$I$6)</f>
        <v>50.5</v>
      </c>
      <c r="AO180" s="101">
        <f>(AM180*($Z$1+1)*0.002488974)/($Z$1+1)*Module!$I$5*Module!$I$7</f>
        <v>102.62345540579445</v>
      </c>
      <c r="AP180" s="101">
        <f>$P$120*Module!$I$7*X180*Module!$I$5</f>
        <v>173.87212809041733</v>
      </c>
      <c r="AQ180" s="151">
        <f t="shared" si="52"/>
        <v>1000000</v>
      </c>
      <c r="AS180" s="101">
        <f t="shared" si="59"/>
        <v>0</v>
      </c>
      <c r="AT180" s="101">
        <f>10+Module!$K$57/($AA$1+1)</f>
        <v>92.438394151029627</v>
      </c>
      <c r="AU180" s="101">
        <f>$AA$1*(25+Module!$I$6)</f>
        <v>101</v>
      </c>
      <c r="AV180" s="101">
        <f>(AT180*($Z$1+1)*0.002488974)/($Z$1+1)*Module!$I$5*Module!$I$7</f>
        <v>70.974999121916298</v>
      </c>
      <c r="AW180" s="101">
        <f>$P$120*Module!$I$7*X180*Module!$I$5</f>
        <v>173.87212809041733</v>
      </c>
      <c r="AX180" s="151">
        <f t="shared" si="53"/>
        <v>1000000</v>
      </c>
      <c r="AZ180" s="101">
        <f t="shared" si="60"/>
        <v>0</v>
      </c>
      <c r="BA180" s="101">
        <f>10+Module!$K$57/($AB$1+1)</f>
        <v>71.82879561327222</v>
      </c>
      <c r="BB180" s="101">
        <f>$AB$1*(25+Module!$I$6)</f>
        <v>151.5</v>
      </c>
      <c r="BC180" s="101">
        <f>(BA180*($AB$1+1)*0.002488974)/($AB$1+1)*Module!$I$5*Module!$I$7</f>
        <v>55.150770979977231</v>
      </c>
      <c r="BD180" s="101">
        <f>$P$120*Module!$I$7*X180*Module!$I$5</f>
        <v>173.87212809041733</v>
      </c>
      <c r="BE180" s="151">
        <f t="shared" si="54"/>
        <v>1000000</v>
      </c>
      <c r="BG180" s="101">
        <f t="shared" si="61"/>
        <v>0</v>
      </c>
      <c r="BH180" s="101">
        <f>10+Module!$K$57/($AC$1+1)</f>
        <v>59.463036490617775</v>
      </c>
      <c r="BI180" s="101">
        <f>$AC$1*(25+Module!$I$6)</f>
        <v>202</v>
      </c>
      <c r="BJ180" s="101">
        <f>(BH180*($AC$1+1)*0.002488974)/($AC$1+1)*Module!$I$5*Module!$I$7</f>
        <v>45.656234094813776</v>
      </c>
      <c r="BK180" s="101">
        <f>$P$120*Module!$I$7*X180*Module!$I$5</f>
        <v>173.87212809041733</v>
      </c>
      <c r="BL180" s="151">
        <f t="shared" si="55"/>
        <v>1000000</v>
      </c>
    </row>
    <row r="181" spans="23:64" ht="19.5" hidden="1" customHeight="1" thickBot="1">
      <c r="W181" s="777"/>
      <c r="X181" s="121">
        <f t="shared" si="56"/>
        <v>78</v>
      </c>
      <c r="Y181" s="122">
        <f>'calcul pneu pour calculateur'!P182</f>
        <v>112.38919617838575</v>
      </c>
      <c r="Z181" s="123">
        <f t="shared" si="62"/>
        <v>224.77839235677149</v>
      </c>
      <c r="AA181" s="123">
        <f t="shared" si="63"/>
        <v>337.16758853515722</v>
      </c>
      <c r="AB181" s="123">
        <f t="shared" si="64"/>
        <v>449.55678471354298</v>
      </c>
      <c r="AC181" s="123">
        <f t="shared" si="65"/>
        <v>561.94598089192868</v>
      </c>
      <c r="AK181" s="121">
        <f t="shared" si="57"/>
        <v>78</v>
      </c>
      <c r="AL181" s="101">
        <f t="shared" si="58"/>
        <v>0</v>
      </c>
      <c r="AM181" s="101">
        <f>10+Module!$K$57/($Z$1+1)</f>
        <v>133.65759122654444</v>
      </c>
      <c r="AN181" s="101">
        <f>$Z$1*(25+Module!$I$6)</f>
        <v>50.5</v>
      </c>
      <c r="AO181" s="101">
        <f>(AM181*($Z$1+1)*0.002488974)/($Z$1+1)*Module!$I$5*Module!$I$7</f>
        <v>102.62345540579445</v>
      </c>
      <c r="AP181" s="101">
        <f>$P$120*Module!$I$7*X181*Module!$I$5</f>
        <v>176.13020767600716</v>
      </c>
      <c r="AQ181" s="151">
        <f t="shared" si="52"/>
        <v>1000000</v>
      </c>
      <c r="AS181" s="101">
        <f t="shared" si="59"/>
        <v>0</v>
      </c>
      <c r="AT181" s="101">
        <f>10+Module!$K$57/($AA$1+1)</f>
        <v>92.438394151029627</v>
      </c>
      <c r="AU181" s="101">
        <f>$AA$1*(25+Module!$I$6)</f>
        <v>101</v>
      </c>
      <c r="AV181" s="101">
        <f>(AT181*($Z$1+1)*0.002488974)/($Z$1+1)*Module!$I$5*Module!$I$7</f>
        <v>70.974999121916298</v>
      </c>
      <c r="AW181" s="101">
        <f>$P$120*Module!$I$7*X181*Module!$I$5</f>
        <v>176.13020767600716</v>
      </c>
      <c r="AX181" s="151">
        <f t="shared" si="53"/>
        <v>1000000</v>
      </c>
      <c r="AZ181" s="101">
        <f t="shared" si="60"/>
        <v>0</v>
      </c>
      <c r="BA181" s="101">
        <f>10+Module!$K$57/($AB$1+1)</f>
        <v>71.82879561327222</v>
      </c>
      <c r="BB181" s="101">
        <f>$AB$1*(25+Module!$I$6)</f>
        <v>151.5</v>
      </c>
      <c r="BC181" s="101">
        <f>(BA181*($AB$1+1)*0.002488974)/($AB$1+1)*Module!$I$5*Module!$I$7</f>
        <v>55.150770979977231</v>
      </c>
      <c r="BD181" s="101">
        <f>$P$120*Module!$I$7*X181*Module!$I$5</f>
        <v>176.13020767600716</v>
      </c>
      <c r="BE181" s="151">
        <f t="shared" si="54"/>
        <v>1000000</v>
      </c>
      <c r="BG181" s="101">
        <f t="shared" si="61"/>
        <v>0</v>
      </c>
      <c r="BH181" s="101">
        <f>10+Module!$K$57/($AC$1+1)</f>
        <v>59.463036490617775</v>
      </c>
      <c r="BI181" s="101">
        <f>$AC$1*(25+Module!$I$6)</f>
        <v>202</v>
      </c>
      <c r="BJ181" s="101">
        <f>(BH181*($AC$1+1)*0.002488974)/($AC$1+1)*Module!$I$5*Module!$I$7</f>
        <v>45.656234094813776</v>
      </c>
      <c r="BK181" s="101">
        <f>$P$120*Module!$I$7*X181*Module!$I$5</f>
        <v>176.13020767600716</v>
      </c>
      <c r="BL181" s="151">
        <f t="shared" si="55"/>
        <v>1000000</v>
      </c>
    </row>
    <row r="182" spans="23:64" ht="19.5" hidden="1" customHeight="1" thickBot="1">
      <c r="W182" s="777"/>
      <c r="X182" s="121">
        <f t="shared" si="56"/>
        <v>79</v>
      </c>
      <c r="Y182" s="122">
        <f>'calcul pneu pour calculateur'!P183</f>
        <v>112.0358020753756</v>
      </c>
      <c r="Z182" s="123">
        <f t="shared" si="62"/>
        <v>224.0716041507512</v>
      </c>
      <c r="AA182" s="123">
        <f t="shared" si="63"/>
        <v>336.10740622612678</v>
      </c>
      <c r="AB182" s="123">
        <f t="shared" si="64"/>
        <v>448.1432083015024</v>
      </c>
      <c r="AC182" s="123">
        <f t="shared" si="65"/>
        <v>560.17901037687795</v>
      </c>
      <c r="AK182" s="121">
        <f t="shared" si="57"/>
        <v>79</v>
      </c>
      <c r="AL182" s="101">
        <f t="shared" si="58"/>
        <v>0</v>
      </c>
      <c r="AM182" s="101">
        <f>10+Module!$K$57/($Z$1+1)</f>
        <v>133.65759122654444</v>
      </c>
      <c r="AN182" s="101">
        <f>$Z$1*(25+Module!$I$6)</f>
        <v>50.5</v>
      </c>
      <c r="AO182" s="101">
        <f>(AM182*($Z$1+1)*0.002488974)/($Z$1+1)*Module!$I$5*Module!$I$7</f>
        <v>102.62345540579445</v>
      </c>
      <c r="AP182" s="101">
        <f>$P$120*Module!$I$7*X182*Module!$I$5</f>
        <v>178.38828726159699</v>
      </c>
      <c r="AQ182" s="151">
        <f t="shared" si="52"/>
        <v>1000000</v>
      </c>
      <c r="AS182" s="101">
        <f t="shared" si="59"/>
        <v>0</v>
      </c>
      <c r="AT182" s="101">
        <f>10+Module!$K$57/($AA$1+1)</f>
        <v>92.438394151029627</v>
      </c>
      <c r="AU182" s="101">
        <f>$AA$1*(25+Module!$I$6)</f>
        <v>101</v>
      </c>
      <c r="AV182" s="101">
        <f>(AT182*($Z$1+1)*0.002488974)/($Z$1+1)*Module!$I$5*Module!$I$7</f>
        <v>70.974999121916298</v>
      </c>
      <c r="AW182" s="101">
        <f>$P$120*Module!$I$7*X182*Module!$I$5</f>
        <v>178.38828726159699</v>
      </c>
      <c r="AX182" s="151">
        <f t="shared" si="53"/>
        <v>1000000</v>
      </c>
      <c r="AZ182" s="101">
        <f t="shared" si="60"/>
        <v>0</v>
      </c>
      <c r="BA182" s="101">
        <f>10+Module!$K$57/($AB$1+1)</f>
        <v>71.82879561327222</v>
      </c>
      <c r="BB182" s="101">
        <f>$AB$1*(25+Module!$I$6)</f>
        <v>151.5</v>
      </c>
      <c r="BC182" s="101">
        <f>(BA182*($AB$1+1)*0.002488974)/($AB$1+1)*Module!$I$5*Module!$I$7</f>
        <v>55.150770979977231</v>
      </c>
      <c r="BD182" s="101">
        <f>$P$120*Module!$I$7*X182*Module!$I$5</f>
        <v>178.38828726159699</v>
      </c>
      <c r="BE182" s="151">
        <f t="shared" si="54"/>
        <v>1000000</v>
      </c>
      <c r="BG182" s="101">
        <f t="shared" si="61"/>
        <v>0</v>
      </c>
      <c r="BH182" s="101">
        <f>10+Module!$K$57/($AC$1+1)</f>
        <v>59.463036490617775</v>
      </c>
      <c r="BI182" s="101">
        <f>$AC$1*(25+Module!$I$6)</f>
        <v>202</v>
      </c>
      <c r="BJ182" s="101">
        <f>(BH182*($AC$1+1)*0.002488974)/($AC$1+1)*Module!$I$5*Module!$I$7</f>
        <v>45.656234094813776</v>
      </c>
      <c r="BK182" s="101">
        <f>$P$120*Module!$I$7*X182*Module!$I$5</f>
        <v>178.38828726159699</v>
      </c>
      <c r="BL182" s="151">
        <f t="shared" si="55"/>
        <v>1000000</v>
      </c>
    </row>
    <row r="183" spans="23:64" ht="19.5" hidden="1" customHeight="1" thickBot="1">
      <c r="W183" s="777"/>
      <c r="X183" s="121">
        <f t="shared" si="56"/>
        <v>80</v>
      </c>
      <c r="Y183" s="122">
        <f>'calcul pneu pour calculateur'!P184</f>
        <v>111.68240797236547</v>
      </c>
      <c r="Z183" s="123">
        <f t="shared" si="62"/>
        <v>223.36481594473094</v>
      </c>
      <c r="AA183" s="123">
        <f t="shared" si="63"/>
        <v>335.0472239170964</v>
      </c>
      <c r="AB183" s="123">
        <f t="shared" si="64"/>
        <v>446.72963188946187</v>
      </c>
      <c r="AC183" s="123">
        <f t="shared" si="65"/>
        <v>558.41203986182734</v>
      </c>
      <c r="AK183" s="121">
        <f t="shared" si="57"/>
        <v>80</v>
      </c>
      <c r="AL183" s="101">
        <f t="shared" si="58"/>
        <v>0</v>
      </c>
      <c r="AM183" s="101">
        <f>10+Module!$K$57/($Z$1+1)</f>
        <v>133.65759122654444</v>
      </c>
      <c r="AN183" s="101">
        <f>$Z$1*(25+Module!$I$6)</f>
        <v>50.5</v>
      </c>
      <c r="AO183" s="101">
        <f>(AM183*($Z$1+1)*0.002488974)/($Z$1+1)*Module!$I$5*Module!$I$7</f>
        <v>102.62345540579445</v>
      </c>
      <c r="AP183" s="101">
        <f>$P$120*Module!$I$7*X183*Module!$I$5</f>
        <v>180.64636684718684</v>
      </c>
      <c r="AQ183" s="151">
        <f t="shared" si="52"/>
        <v>1000000</v>
      </c>
      <c r="AS183" s="101">
        <f t="shared" si="59"/>
        <v>0</v>
      </c>
      <c r="AT183" s="101">
        <f>10+Module!$K$57/($AA$1+1)</f>
        <v>92.438394151029627</v>
      </c>
      <c r="AU183" s="101">
        <f>$AA$1*(25+Module!$I$6)</f>
        <v>101</v>
      </c>
      <c r="AV183" s="101">
        <f>(AT183*($Z$1+1)*0.002488974)/($Z$1+1)*Module!$I$5*Module!$I$7</f>
        <v>70.974999121916298</v>
      </c>
      <c r="AW183" s="101">
        <f>$P$120*Module!$I$7*X183*Module!$I$5</f>
        <v>180.64636684718684</v>
      </c>
      <c r="AX183" s="151">
        <f t="shared" si="53"/>
        <v>1000000</v>
      </c>
      <c r="AZ183" s="101">
        <f t="shared" si="60"/>
        <v>0</v>
      </c>
      <c r="BA183" s="101">
        <f>10+Module!$K$57/($AB$1+1)</f>
        <v>71.82879561327222</v>
      </c>
      <c r="BB183" s="101">
        <f>$AB$1*(25+Module!$I$6)</f>
        <v>151.5</v>
      </c>
      <c r="BC183" s="101">
        <f>(BA183*($AB$1+1)*0.002488974)/($AB$1+1)*Module!$I$5*Module!$I$7</f>
        <v>55.150770979977231</v>
      </c>
      <c r="BD183" s="101">
        <f>$P$120*Module!$I$7*X183*Module!$I$5</f>
        <v>180.64636684718684</v>
      </c>
      <c r="BE183" s="151">
        <f t="shared" si="54"/>
        <v>1000000</v>
      </c>
      <c r="BG183" s="101">
        <f t="shared" si="61"/>
        <v>0</v>
      </c>
      <c r="BH183" s="101">
        <f>10+Module!$K$57/($AC$1+1)</f>
        <v>59.463036490617775</v>
      </c>
      <c r="BI183" s="101">
        <f>$AC$1*(25+Module!$I$6)</f>
        <v>202</v>
      </c>
      <c r="BJ183" s="101">
        <f>(BH183*($AC$1+1)*0.002488974)/($AC$1+1)*Module!$I$5*Module!$I$7</f>
        <v>45.656234094813776</v>
      </c>
      <c r="BK183" s="101">
        <f>$P$120*Module!$I$7*X183*Module!$I$5</f>
        <v>180.64636684718684</v>
      </c>
      <c r="BL183" s="151">
        <f t="shared" si="55"/>
        <v>1000000</v>
      </c>
    </row>
    <row r="184" spans="23:64" ht="19.5" hidden="1" customHeight="1" thickBot="1">
      <c r="W184" s="777"/>
      <c r="X184" s="121">
        <f t="shared" si="56"/>
        <v>81</v>
      </c>
      <c r="Y184" s="122">
        <f>'calcul pneu pour calculateur'!P185</f>
        <v>111.32901386935532</v>
      </c>
      <c r="Z184" s="123">
        <f t="shared" si="62"/>
        <v>222.65802773871064</v>
      </c>
      <c r="AA184" s="123">
        <f t="shared" si="63"/>
        <v>333.98704160806597</v>
      </c>
      <c r="AB184" s="123">
        <f t="shared" si="64"/>
        <v>445.31605547742129</v>
      </c>
      <c r="AC184" s="123">
        <f t="shared" si="65"/>
        <v>556.64506934677661</v>
      </c>
      <c r="AK184" s="121">
        <f t="shared" si="57"/>
        <v>81</v>
      </c>
      <c r="AL184" s="101">
        <f t="shared" si="58"/>
        <v>0</v>
      </c>
      <c r="AM184" s="101">
        <f>10+Module!$K$57/($Z$1+1)</f>
        <v>133.65759122654444</v>
      </c>
      <c r="AN184" s="101">
        <f>$Z$1*(25+Module!$I$6)</f>
        <v>50.5</v>
      </c>
      <c r="AO184" s="101">
        <f>(AM184*($Z$1+1)*0.002488974)/($Z$1+1)*Module!$I$5*Module!$I$7</f>
        <v>102.62345540579445</v>
      </c>
      <c r="AP184" s="101">
        <f>$P$120*Module!$I$7*X184*Module!$I$5</f>
        <v>182.90444643277667</v>
      </c>
      <c r="AQ184" s="151">
        <f t="shared" si="52"/>
        <v>1000000</v>
      </c>
      <c r="AS184" s="101">
        <f t="shared" si="59"/>
        <v>0</v>
      </c>
      <c r="AT184" s="101">
        <f>10+Module!$K$57/($AA$1+1)</f>
        <v>92.438394151029627</v>
      </c>
      <c r="AU184" s="101">
        <f>$AA$1*(25+Module!$I$6)</f>
        <v>101</v>
      </c>
      <c r="AV184" s="101">
        <f>(AT184*($Z$1+1)*0.002488974)/($Z$1+1)*Module!$I$5*Module!$I$7</f>
        <v>70.974999121916298</v>
      </c>
      <c r="AW184" s="101">
        <f>$P$120*Module!$I$7*X184*Module!$I$5</f>
        <v>182.90444643277667</v>
      </c>
      <c r="AX184" s="151">
        <f t="shared" si="53"/>
        <v>1000000</v>
      </c>
      <c r="AZ184" s="101">
        <f t="shared" si="60"/>
        <v>0</v>
      </c>
      <c r="BA184" s="101">
        <f>10+Module!$K$57/($AB$1+1)</f>
        <v>71.82879561327222</v>
      </c>
      <c r="BB184" s="101">
        <f>$AB$1*(25+Module!$I$6)</f>
        <v>151.5</v>
      </c>
      <c r="BC184" s="101">
        <f>(BA184*($AB$1+1)*0.002488974)/($AB$1+1)*Module!$I$5*Module!$I$7</f>
        <v>55.150770979977231</v>
      </c>
      <c r="BD184" s="101">
        <f>$P$120*Module!$I$7*X184*Module!$I$5</f>
        <v>182.90444643277667</v>
      </c>
      <c r="BE184" s="151">
        <f t="shared" si="54"/>
        <v>1000000</v>
      </c>
      <c r="BG184" s="101">
        <f t="shared" si="61"/>
        <v>0</v>
      </c>
      <c r="BH184" s="101">
        <f>10+Module!$K$57/($AC$1+1)</f>
        <v>59.463036490617775</v>
      </c>
      <c r="BI184" s="101">
        <f>$AC$1*(25+Module!$I$6)</f>
        <v>202</v>
      </c>
      <c r="BJ184" s="101">
        <f>(BH184*($AC$1+1)*0.002488974)/($AC$1+1)*Module!$I$5*Module!$I$7</f>
        <v>45.656234094813776</v>
      </c>
      <c r="BK184" s="101">
        <f>$P$120*Module!$I$7*X184*Module!$I$5</f>
        <v>182.90444643277667</v>
      </c>
      <c r="BL184" s="151">
        <f t="shared" si="55"/>
        <v>1000000</v>
      </c>
    </row>
    <row r="185" spans="23:64" ht="19.5" hidden="1" customHeight="1" thickBot="1">
      <c r="W185" s="777"/>
      <c r="X185" s="121">
        <f t="shared" si="56"/>
        <v>82</v>
      </c>
      <c r="Y185" s="122">
        <f>'calcul pneu pour calculateur'!P186</f>
        <v>110.97561976634518</v>
      </c>
      <c r="Z185" s="123">
        <f t="shared" si="62"/>
        <v>221.95123953269035</v>
      </c>
      <c r="AA185" s="123">
        <f t="shared" si="63"/>
        <v>332.92685929903553</v>
      </c>
      <c r="AB185" s="123">
        <f t="shared" si="64"/>
        <v>443.9024790653807</v>
      </c>
      <c r="AC185" s="123">
        <f t="shared" si="65"/>
        <v>554.87809883172588</v>
      </c>
      <c r="AK185" s="121">
        <f t="shared" si="57"/>
        <v>82</v>
      </c>
      <c r="AL185" s="101">
        <f t="shared" si="58"/>
        <v>0</v>
      </c>
      <c r="AM185" s="101">
        <f>10+Module!$K$57/($Z$1+1)</f>
        <v>133.65759122654444</v>
      </c>
      <c r="AN185" s="101">
        <f>$Z$1*(25+Module!$I$6)</f>
        <v>50.5</v>
      </c>
      <c r="AO185" s="101">
        <f>(AM185*($Z$1+1)*0.002488974)/($Z$1+1)*Module!$I$5*Module!$I$7</f>
        <v>102.62345540579445</v>
      </c>
      <c r="AP185" s="101">
        <f>$P$120*Module!$I$7*X185*Module!$I$5</f>
        <v>185.16252601836649</v>
      </c>
      <c r="AQ185" s="151">
        <f t="shared" si="52"/>
        <v>1000000</v>
      </c>
      <c r="AS185" s="101">
        <f t="shared" si="59"/>
        <v>0</v>
      </c>
      <c r="AT185" s="101">
        <f>10+Module!$K$57/($AA$1+1)</f>
        <v>92.438394151029627</v>
      </c>
      <c r="AU185" s="101">
        <f>$AA$1*(25+Module!$I$6)</f>
        <v>101</v>
      </c>
      <c r="AV185" s="101">
        <f>(AT185*($Z$1+1)*0.002488974)/($Z$1+1)*Module!$I$5*Module!$I$7</f>
        <v>70.974999121916298</v>
      </c>
      <c r="AW185" s="101">
        <f>$P$120*Module!$I$7*X185*Module!$I$5</f>
        <v>185.16252601836649</v>
      </c>
      <c r="AX185" s="151">
        <f t="shared" si="53"/>
        <v>1000000</v>
      </c>
      <c r="AZ185" s="101">
        <f t="shared" si="60"/>
        <v>0</v>
      </c>
      <c r="BA185" s="101">
        <f>10+Module!$K$57/($AB$1+1)</f>
        <v>71.82879561327222</v>
      </c>
      <c r="BB185" s="101">
        <f>$AB$1*(25+Module!$I$6)</f>
        <v>151.5</v>
      </c>
      <c r="BC185" s="101">
        <f>(BA185*($AB$1+1)*0.002488974)/($AB$1+1)*Module!$I$5*Module!$I$7</f>
        <v>55.150770979977231</v>
      </c>
      <c r="BD185" s="101">
        <f>$P$120*Module!$I$7*X185*Module!$I$5</f>
        <v>185.16252601836649</v>
      </c>
      <c r="BE185" s="151">
        <f t="shared" si="54"/>
        <v>1000000</v>
      </c>
      <c r="BG185" s="101">
        <f t="shared" si="61"/>
        <v>0</v>
      </c>
      <c r="BH185" s="101">
        <f>10+Module!$K$57/($AC$1+1)</f>
        <v>59.463036490617775</v>
      </c>
      <c r="BI185" s="101">
        <f>$AC$1*(25+Module!$I$6)</f>
        <v>202</v>
      </c>
      <c r="BJ185" s="101">
        <f>(BH185*($AC$1+1)*0.002488974)/($AC$1+1)*Module!$I$5*Module!$I$7</f>
        <v>45.656234094813776</v>
      </c>
      <c r="BK185" s="101">
        <f>$P$120*Module!$I$7*X185*Module!$I$5</f>
        <v>185.16252601836649</v>
      </c>
      <c r="BL185" s="151">
        <f t="shared" si="55"/>
        <v>1000000</v>
      </c>
    </row>
    <row r="186" spans="23:64" ht="19.5" hidden="1" customHeight="1" thickBot="1">
      <c r="W186" s="777"/>
      <c r="X186" s="121">
        <f t="shared" si="56"/>
        <v>83</v>
      </c>
      <c r="Y186" s="122">
        <f>'calcul pneu pour calculateur'!P187</f>
        <v>110.62222566333503</v>
      </c>
      <c r="Z186" s="123">
        <f t="shared" si="62"/>
        <v>221.24445132667006</v>
      </c>
      <c r="AA186" s="123">
        <f t="shared" si="63"/>
        <v>331.86667699000509</v>
      </c>
      <c r="AB186" s="123">
        <f t="shared" si="64"/>
        <v>442.48890265334012</v>
      </c>
      <c r="AC186" s="123">
        <f t="shared" si="65"/>
        <v>553.11112831667515</v>
      </c>
      <c r="AK186" s="121">
        <f t="shared" si="57"/>
        <v>83</v>
      </c>
      <c r="AL186" s="101">
        <f t="shared" si="58"/>
        <v>0</v>
      </c>
      <c r="AM186" s="101">
        <f>10+Module!$K$57/($Z$1+1)</f>
        <v>133.65759122654444</v>
      </c>
      <c r="AN186" s="101">
        <f>$Z$1*(25+Module!$I$6)</f>
        <v>50.5</v>
      </c>
      <c r="AO186" s="101">
        <f>(AM186*($Z$1+1)*0.002488974)/($Z$1+1)*Module!$I$5*Module!$I$7</f>
        <v>102.62345540579445</v>
      </c>
      <c r="AP186" s="101">
        <f>$P$120*Module!$I$7*X186*Module!$I$5</f>
        <v>187.42060560395632</v>
      </c>
      <c r="AQ186" s="151">
        <f t="shared" si="52"/>
        <v>1000000</v>
      </c>
      <c r="AS186" s="101">
        <f t="shared" si="59"/>
        <v>0</v>
      </c>
      <c r="AT186" s="101">
        <f>10+Module!$K$57/($AA$1+1)</f>
        <v>92.438394151029627</v>
      </c>
      <c r="AU186" s="101">
        <f>$AA$1*(25+Module!$I$6)</f>
        <v>101</v>
      </c>
      <c r="AV186" s="101">
        <f>(AT186*($Z$1+1)*0.002488974)/($Z$1+1)*Module!$I$5*Module!$I$7</f>
        <v>70.974999121916298</v>
      </c>
      <c r="AW186" s="101">
        <f>$P$120*Module!$I$7*X186*Module!$I$5</f>
        <v>187.42060560395632</v>
      </c>
      <c r="AX186" s="151">
        <f t="shared" si="53"/>
        <v>1000000</v>
      </c>
      <c r="AZ186" s="101">
        <f t="shared" si="60"/>
        <v>0</v>
      </c>
      <c r="BA186" s="101">
        <f>10+Module!$K$57/($AB$1+1)</f>
        <v>71.82879561327222</v>
      </c>
      <c r="BB186" s="101">
        <f>$AB$1*(25+Module!$I$6)</f>
        <v>151.5</v>
      </c>
      <c r="BC186" s="101">
        <f>(BA186*($AB$1+1)*0.002488974)/($AB$1+1)*Module!$I$5*Module!$I$7</f>
        <v>55.150770979977231</v>
      </c>
      <c r="BD186" s="101">
        <f>$P$120*Module!$I$7*X186*Module!$I$5</f>
        <v>187.42060560395632</v>
      </c>
      <c r="BE186" s="151">
        <f t="shared" si="54"/>
        <v>1000000</v>
      </c>
      <c r="BG186" s="101">
        <f t="shared" si="61"/>
        <v>0</v>
      </c>
      <c r="BH186" s="101">
        <f>10+Module!$K$57/($AC$1+1)</f>
        <v>59.463036490617775</v>
      </c>
      <c r="BI186" s="101">
        <f>$AC$1*(25+Module!$I$6)</f>
        <v>202</v>
      </c>
      <c r="BJ186" s="101">
        <f>(BH186*($AC$1+1)*0.002488974)/($AC$1+1)*Module!$I$5*Module!$I$7</f>
        <v>45.656234094813776</v>
      </c>
      <c r="BK186" s="101">
        <f>$P$120*Module!$I$7*X186*Module!$I$5</f>
        <v>187.42060560395632</v>
      </c>
      <c r="BL186" s="151">
        <f t="shared" si="55"/>
        <v>1000000</v>
      </c>
    </row>
    <row r="187" spans="23:64" ht="19.5" hidden="1" customHeight="1" thickBot="1">
      <c r="W187" s="777"/>
      <c r="X187" s="121">
        <f t="shared" si="56"/>
        <v>84</v>
      </c>
      <c r="Y187" s="122">
        <f>'calcul pneu pour calculateur'!P188</f>
        <v>110.26883156032487</v>
      </c>
      <c r="Z187" s="123">
        <f t="shared" si="62"/>
        <v>220.53766312064974</v>
      </c>
      <c r="AA187" s="123">
        <f t="shared" si="63"/>
        <v>330.80649468097459</v>
      </c>
      <c r="AB187" s="123">
        <f t="shared" si="64"/>
        <v>441.07532624129948</v>
      </c>
      <c r="AC187" s="123">
        <f t="shared" si="65"/>
        <v>551.34415780162431</v>
      </c>
      <c r="AK187" s="121">
        <f t="shared" si="57"/>
        <v>84</v>
      </c>
      <c r="AL187" s="101">
        <f t="shared" si="58"/>
        <v>0</v>
      </c>
      <c r="AM187" s="101">
        <f>10+Module!$K$57/($Z$1+1)</f>
        <v>133.65759122654444</v>
      </c>
      <c r="AN187" s="101">
        <f>$Z$1*(25+Module!$I$6)</f>
        <v>50.5</v>
      </c>
      <c r="AO187" s="101">
        <f>(AM187*($Z$1+1)*0.002488974)/($Z$1+1)*Module!$I$5*Module!$I$7</f>
        <v>102.62345540579445</v>
      </c>
      <c r="AP187" s="101">
        <f>$P$120*Module!$I$7*X187*Module!$I$5</f>
        <v>189.6786851895462</v>
      </c>
      <c r="AQ187" s="151">
        <f t="shared" si="52"/>
        <v>1000000</v>
      </c>
      <c r="AS187" s="101">
        <f t="shared" si="59"/>
        <v>0</v>
      </c>
      <c r="AT187" s="101">
        <f>10+Module!$K$57/($AA$1+1)</f>
        <v>92.438394151029627</v>
      </c>
      <c r="AU187" s="101">
        <f>$AA$1*(25+Module!$I$6)</f>
        <v>101</v>
      </c>
      <c r="AV187" s="101">
        <f>(AT187*($Z$1+1)*0.002488974)/($Z$1+1)*Module!$I$5*Module!$I$7</f>
        <v>70.974999121916298</v>
      </c>
      <c r="AW187" s="101">
        <f>$P$120*Module!$I$7*X187*Module!$I$5</f>
        <v>189.6786851895462</v>
      </c>
      <c r="AX187" s="151">
        <f t="shared" si="53"/>
        <v>1000000</v>
      </c>
      <c r="AZ187" s="101">
        <f t="shared" si="60"/>
        <v>0</v>
      </c>
      <c r="BA187" s="101">
        <f>10+Module!$K$57/($AB$1+1)</f>
        <v>71.82879561327222</v>
      </c>
      <c r="BB187" s="101">
        <f>$AB$1*(25+Module!$I$6)</f>
        <v>151.5</v>
      </c>
      <c r="BC187" s="101">
        <f>(BA187*($AB$1+1)*0.002488974)/($AB$1+1)*Module!$I$5*Module!$I$7</f>
        <v>55.150770979977231</v>
      </c>
      <c r="BD187" s="101">
        <f>$P$120*Module!$I$7*X187*Module!$I$5</f>
        <v>189.6786851895462</v>
      </c>
      <c r="BE187" s="151">
        <f t="shared" si="54"/>
        <v>1000000</v>
      </c>
      <c r="BG187" s="101">
        <f t="shared" si="61"/>
        <v>0</v>
      </c>
      <c r="BH187" s="101">
        <f>10+Module!$K$57/($AC$1+1)</f>
        <v>59.463036490617775</v>
      </c>
      <c r="BI187" s="101">
        <f>$AC$1*(25+Module!$I$6)</f>
        <v>202</v>
      </c>
      <c r="BJ187" s="101">
        <f>(BH187*($AC$1+1)*0.002488974)/($AC$1+1)*Module!$I$5*Module!$I$7</f>
        <v>45.656234094813776</v>
      </c>
      <c r="BK187" s="101">
        <f>$P$120*Module!$I$7*X187*Module!$I$5</f>
        <v>189.6786851895462</v>
      </c>
      <c r="BL187" s="151">
        <f t="shared" si="55"/>
        <v>1000000</v>
      </c>
    </row>
    <row r="188" spans="23:64" ht="19.5" hidden="1" customHeight="1" thickBot="1">
      <c r="W188" s="777"/>
      <c r="X188" s="121">
        <f t="shared" si="56"/>
        <v>85</v>
      </c>
      <c r="Y188" s="122">
        <f>'calcul pneu pour calculateur'!P189</f>
        <v>109.91543745731472</v>
      </c>
      <c r="Z188" s="123">
        <f t="shared" si="62"/>
        <v>219.83087491462945</v>
      </c>
      <c r="AA188" s="123">
        <f t="shared" si="63"/>
        <v>329.74631237194416</v>
      </c>
      <c r="AB188" s="123">
        <f t="shared" si="64"/>
        <v>439.66174982925889</v>
      </c>
      <c r="AC188" s="123">
        <f t="shared" si="65"/>
        <v>549.57718728657358</v>
      </c>
      <c r="AK188" s="121">
        <f t="shared" si="57"/>
        <v>85</v>
      </c>
      <c r="AL188" s="101">
        <f t="shared" si="58"/>
        <v>0</v>
      </c>
      <c r="AM188" s="101">
        <f>10+Module!$K$57/($Z$1+1)</f>
        <v>133.65759122654444</v>
      </c>
      <c r="AN188" s="101">
        <f>$Z$1*(25+Module!$I$6)</f>
        <v>50.5</v>
      </c>
      <c r="AO188" s="101">
        <f>(AM188*($Z$1+1)*0.002488974)/($Z$1+1)*Module!$I$5*Module!$I$7</f>
        <v>102.62345540579445</v>
      </c>
      <c r="AP188" s="101">
        <f>$P$120*Module!$I$7*X188*Module!$I$5</f>
        <v>191.93676477513603</v>
      </c>
      <c r="AQ188" s="151">
        <f t="shared" si="52"/>
        <v>1000000</v>
      </c>
      <c r="AS188" s="101">
        <f t="shared" si="59"/>
        <v>0</v>
      </c>
      <c r="AT188" s="101">
        <f>10+Module!$K$57/($AA$1+1)</f>
        <v>92.438394151029627</v>
      </c>
      <c r="AU188" s="101">
        <f>$AA$1*(25+Module!$I$6)</f>
        <v>101</v>
      </c>
      <c r="AV188" s="101">
        <f>(AT188*($Z$1+1)*0.002488974)/($Z$1+1)*Module!$I$5*Module!$I$7</f>
        <v>70.974999121916298</v>
      </c>
      <c r="AW188" s="101">
        <f>$P$120*Module!$I$7*X188*Module!$I$5</f>
        <v>191.93676477513603</v>
      </c>
      <c r="AX188" s="151">
        <f t="shared" si="53"/>
        <v>1000000</v>
      </c>
      <c r="AZ188" s="101">
        <f t="shared" si="60"/>
        <v>0</v>
      </c>
      <c r="BA188" s="101">
        <f>10+Module!$K$57/($AB$1+1)</f>
        <v>71.82879561327222</v>
      </c>
      <c r="BB188" s="101">
        <f>$AB$1*(25+Module!$I$6)</f>
        <v>151.5</v>
      </c>
      <c r="BC188" s="101">
        <f>(BA188*($AB$1+1)*0.002488974)/($AB$1+1)*Module!$I$5*Module!$I$7</f>
        <v>55.150770979977231</v>
      </c>
      <c r="BD188" s="101">
        <f>$P$120*Module!$I$7*X188*Module!$I$5</f>
        <v>191.93676477513603</v>
      </c>
      <c r="BE188" s="151">
        <f t="shared" si="54"/>
        <v>1000000</v>
      </c>
      <c r="BG188" s="101">
        <f t="shared" si="61"/>
        <v>0</v>
      </c>
      <c r="BH188" s="101">
        <f>10+Module!$K$57/($AC$1+1)</f>
        <v>59.463036490617775</v>
      </c>
      <c r="BI188" s="101">
        <f>$AC$1*(25+Module!$I$6)</f>
        <v>202</v>
      </c>
      <c r="BJ188" s="101">
        <f>(BH188*($AC$1+1)*0.002488974)/($AC$1+1)*Module!$I$5*Module!$I$7</f>
        <v>45.656234094813776</v>
      </c>
      <c r="BK188" s="101">
        <f>$P$120*Module!$I$7*X188*Module!$I$5</f>
        <v>191.93676477513603</v>
      </c>
      <c r="BL188" s="151">
        <f t="shared" si="55"/>
        <v>1000000</v>
      </c>
    </row>
    <row r="189" spans="23:64" ht="19.5" hidden="1" customHeight="1" thickBot="1">
      <c r="W189" s="777"/>
      <c r="X189" s="121">
        <f t="shared" si="56"/>
        <v>86</v>
      </c>
      <c r="Y189" s="122">
        <f>'calcul pneu pour calculateur'!P190</f>
        <v>109.56204335430459</v>
      </c>
      <c r="Z189" s="123">
        <f t="shared" si="62"/>
        <v>219.12408670860918</v>
      </c>
      <c r="AA189" s="123">
        <f t="shared" si="63"/>
        <v>328.68613006291378</v>
      </c>
      <c r="AB189" s="123">
        <f t="shared" si="64"/>
        <v>438.24817341721837</v>
      </c>
      <c r="AC189" s="123">
        <f t="shared" si="65"/>
        <v>547.81021677152296</v>
      </c>
      <c r="AK189" s="121">
        <f t="shared" si="57"/>
        <v>86</v>
      </c>
      <c r="AL189" s="101">
        <f t="shared" si="58"/>
        <v>0</v>
      </c>
      <c r="AM189" s="101">
        <f>10+Module!$K$57/($Z$1+1)</f>
        <v>133.65759122654444</v>
      </c>
      <c r="AN189" s="101">
        <f>$Z$1*(25+Module!$I$6)</f>
        <v>50.5</v>
      </c>
      <c r="AO189" s="101">
        <f>(AM189*($Z$1+1)*0.002488974)/($Z$1+1)*Module!$I$5*Module!$I$7</f>
        <v>102.62345540579445</v>
      </c>
      <c r="AP189" s="101">
        <f>$P$120*Module!$I$7*X189*Module!$I$5</f>
        <v>194.19484436072585</v>
      </c>
      <c r="AQ189" s="151">
        <f t="shared" si="52"/>
        <v>1000000</v>
      </c>
      <c r="AS189" s="101">
        <f t="shared" si="59"/>
        <v>0</v>
      </c>
      <c r="AT189" s="101">
        <f>10+Module!$K$57/($AA$1+1)</f>
        <v>92.438394151029627</v>
      </c>
      <c r="AU189" s="101">
        <f>$AA$1*(25+Module!$I$6)</f>
        <v>101</v>
      </c>
      <c r="AV189" s="101">
        <f>(AT189*($Z$1+1)*0.002488974)/($Z$1+1)*Module!$I$5*Module!$I$7</f>
        <v>70.974999121916298</v>
      </c>
      <c r="AW189" s="101">
        <f>$P$120*Module!$I$7*X189*Module!$I$5</f>
        <v>194.19484436072585</v>
      </c>
      <c r="AX189" s="151">
        <f t="shared" si="53"/>
        <v>1000000</v>
      </c>
      <c r="AZ189" s="101">
        <f t="shared" si="60"/>
        <v>0</v>
      </c>
      <c r="BA189" s="101">
        <f>10+Module!$K$57/($AB$1+1)</f>
        <v>71.82879561327222</v>
      </c>
      <c r="BB189" s="101">
        <f>$AB$1*(25+Module!$I$6)</f>
        <v>151.5</v>
      </c>
      <c r="BC189" s="101">
        <f>(BA189*($AB$1+1)*0.002488974)/($AB$1+1)*Module!$I$5*Module!$I$7</f>
        <v>55.150770979977231</v>
      </c>
      <c r="BD189" s="101">
        <f>$P$120*Module!$I$7*X189*Module!$I$5</f>
        <v>194.19484436072585</v>
      </c>
      <c r="BE189" s="151">
        <f t="shared" si="54"/>
        <v>1000000</v>
      </c>
      <c r="BG189" s="101">
        <f t="shared" si="61"/>
        <v>0</v>
      </c>
      <c r="BH189" s="101">
        <f>10+Module!$K$57/($AC$1+1)</f>
        <v>59.463036490617775</v>
      </c>
      <c r="BI189" s="101">
        <f>$AC$1*(25+Module!$I$6)</f>
        <v>202</v>
      </c>
      <c r="BJ189" s="101">
        <f>(BH189*($AC$1+1)*0.002488974)/($AC$1+1)*Module!$I$5*Module!$I$7</f>
        <v>45.656234094813776</v>
      </c>
      <c r="BK189" s="101">
        <f>$P$120*Module!$I$7*X189*Module!$I$5</f>
        <v>194.19484436072585</v>
      </c>
      <c r="BL189" s="151">
        <f t="shared" si="55"/>
        <v>1000000</v>
      </c>
    </row>
    <row r="190" spans="23:64" ht="19.5" hidden="1" customHeight="1" thickBot="1">
      <c r="W190" s="777"/>
      <c r="X190" s="121">
        <f t="shared" si="56"/>
        <v>87</v>
      </c>
      <c r="Y190" s="122">
        <f>'calcul pneu pour calculateur'!P191</f>
        <v>109.20864925129445</v>
      </c>
      <c r="Z190" s="123">
        <f t="shared" si="62"/>
        <v>218.41729850258889</v>
      </c>
      <c r="AA190" s="123">
        <f t="shared" si="63"/>
        <v>327.62594775388334</v>
      </c>
      <c r="AB190" s="123">
        <f t="shared" si="64"/>
        <v>436.83459700517778</v>
      </c>
      <c r="AC190" s="123">
        <f t="shared" si="65"/>
        <v>546.04324625647223</v>
      </c>
      <c r="AK190" s="121">
        <f t="shared" si="57"/>
        <v>87</v>
      </c>
      <c r="AL190" s="101">
        <f t="shared" si="58"/>
        <v>0</v>
      </c>
      <c r="AM190" s="101">
        <f>10+Module!$K$57/($Z$1+1)</f>
        <v>133.65759122654444</v>
      </c>
      <c r="AN190" s="101">
        <f>$Z$1*(25+Module!$I$6)</f>
        <v>50.5</v>
      </c>
      <c r="AO190" s="101">
        <f>(AM190*($Z$1+1)*0.002488974)/($Z$1+1)*Module!$I$5*Module!$I$7</f>
        <v>102.62345540579445</v>
      </c>
      <c r="AP190" s="101">
        <f>$P$120*Module!$I$7*X190*Module!$I$5</f>
        <v>196.45292394631568</v>
      </c>
      <c r="AQ190" s="151">
        <f t="shared" si="52"/>
        <v>1000000</v>
      </c>
      <c r="AS190" s="101">
        <f t="shared" si="59"/>
        <v>0</v>
      </c>
      <c r="AT190" s="101">
        <f>10+Module!$K$57/($AA$1+1)</f>
        <v>92.438394151029627</v>
      </c>
      <c r="AU190" s="101">
        <f>$AA$1*(25+Module!$I$6)</f>
        <v>101</v>
      </c>
      <c r="AV190" s="101">
        <f>(AT190*($Z$1+1)*0.002488974)/($Z$1+1)*Module!$I$5*Module!$I$7</f>
        <v>70.974999121916298</v>
      </c>
      <c r="AW190" s="101">
        <f>$P$120*Module!$I$7*X190*Module!$I$5</f>
        <v>196.45292394631568</v>
      </c>
      <c r="AX190" s="151">
        <f t="shared" si="53"/>
        <v>1000000</v>
      </c>
      <c r="AZ190" s="101">
        <f t="shared" si="60"/>
        <v>0</v>
      </c>
      <c r="BA190" s="101">
        <f>10+Module!$K$57/($AB$1+1)</f>
        <v>71.82879561327222</v>
      </c>
      <c r="BB190" s="101">
        <f>$AB$1*(25+Module!$I$6)</f>
        <v>151.5</v>
      </c>
      <c r="BC190" s="101">
        <f>(BA190*($AB$1+1)*0.002488974)/($AB$1+1)*Module!$I$5*Module!$I$7</f>
        <v>55.150770979977231</v>
      </c>
      <c r="BD190" s="101">
        <f>$P$120*Module!$I$7*X190*Module!$I$5</f>
        <v>196.45292394631568</v>
      </c>
      <c r="BE190" s="151">
        <f t="shared" si="54"/>
        <v>1000000</v>
      </c>
      <c r="BG190" s="101">
        <f t="shared" si="61"/>
        <v>0</v>
      </c>
      <c r="BH190" s="101">
        <f>10+Module!$K$57/($AC$1+1)</f>
        <v>59.463036490617775</v>
      </c>
      <c r="BI190" s="101">
        <f>$AC$1*(25+Module!$I$6)</f>
        <v>202</v>
      </c>
      <c r="BJ190" s="101">
        <f>(BH190*($AC$1+1)*0.002488974)/($AC$1+1)*Module!$I$5*Module!$I$7</f>
        <v>45.656234094813776</v>
      </c>
      <c r="BK190" s="101">
        <f>$P$120*Module!$I$7*X190*Module!$I$5</f>
        <v>196.45292394631568</v>
      </c>
      <c r="BL190" s="151">
        <f t="shared" si="55"/>
        <v>1000000</v>
      </c>
    </row>
    <row r="191" spans="23:64" ht="19.5" hidden="1" customHeight="1" thickBot="1">
      <c r="W191" s="777"/>
      <c r="X191" s="121">
        <f t="shared" si="56"/>
        <v>88</v>
      </c>
      <c r="Y191" s="122">
        <f>'calcul pneu pour calculateur'!P192</f>
        <v>108.8552551482843</v>
      </c>
      <c r="Z191" s="123">
        <f t="shared" si="62"/>
        <v>217.7105102965686</v>
      </c>
      <c r="AA191" s="123">
        <f t="shared" si="63"/>
        <v>326.5657654448529</v>
      </c>
      <c r="AB191" s="123">
        <f t="shared" si="64"/>
        <v>435.4210205931372</v>
      </c>
      <c r="AC191" s="123">
        <f t="shared" si="65"/>
        <v>544.2762757414215</v>
      </c>
      <c r="AK191" s="121">
        <f t="shared" si="57"/>
        <v>88</v>
      </c>
      <c r="AL191" s="101">
        <f t="shared" si="58"/>
        <v>0</v>
      </c>
      <c r="AM191" s="101">
        <f>10+Module!$K$57/($Z$1+1)</f>
        <v>133.65759122654444</v>
      </c>
      <c r="AN191" s="101">
        <f>$Z$1*(25+Module!$I$6)</f>
        <v>50.5</v>
      </c>
      <c r="AO191" s="101">
        <f>(AM191*($Z$1+1)*0.002488974)/($Z$1+1)*Module!$I$5*Module!$I$7</f>
        <v>102.62345540579445</v>
      </c>
      <c r="AP191" s="101">
        <f>$P$120*Module!$I$7*X191*Module!$I$5</f>
        <v>198.71100353190553</v>
      </c>
      <c r="AQ191" s="151">
        <f t="shared" si="52"/>
        <v>1000000</v>
      </c>
      <c r="AS191" s="101">
        <f t="shared" si="59"/>
        <v>0</v>
      </c>
      <c r="AT191" s="101">
        <f>10+Module!$K$57/($AA$1+1)</f>
        <v>92.438394151029627</v>
      </c>
      <c r="AU191" s="101">
        <f>$AA$1*(25+Module!$I$6)</f>
        <v>101</v>
      </c>
      <c r="AV191" s="101">
        <f>(AT191*($Z$1+1)*0.002488974)/($Z$1+1)*Module!$I$5*Module!$I$7</f>
        <v>70.974999121916298</v>
      </c>
      <c r="AW191" s="101">
        <f>$P$120*Module!$I$7*X191*Module!$I$5</f>
        <v>198.71100353190553</v>
      </c>
      <c r="AX191" s="151">
        <f t="shared" si="53"/>
        <v>1000000</v>
      </c>
      <c r="AZ191" s="101">
        <f t="shared" si="60"/>
        <v>0</v>
      </c>
      <c r="BA191" s="101">
        <f>10+Module!$K$57/($AB$1+1)</f>
        <v>71.82879561327222</v>
      </c>
      <c r="BB191" s="101">
        <f>$AB$1*(25+Module!$I$6)</f>
        <v>151.5</v>
      </c>
      <c r="BC191" s="101">
        <f>(BA191*($AB$1+1)*0.002488974)/($AB$1+1)*Module!$I$5*Module!$I$7</f>
        <v>55.150770979977231</v>
      </c>
      <c r="BD191" s="101">
        <f>$P$120*Module!$I$7*X191*Module!$I$5</f>
        <v>198.71100353190553</v>
      </c>
      <c r="BE191" s="151">
        <f t="shared" si="54"/>
        <v>1000000</v>
      </c>
      <c r="BG191" s="101">
        <f t="shared" si="61"/>
        <v>0</v>
      </c>
      <c r="BH191" s="101">
        <f>10+Module!$K$57/($AC$1+1)</f>
        <v>59.463036490617775</v>
      </c>
      <c r="BI191" s="101">
        <f>$AC$1*(25+Module!$I$6)</f>
        <v>202</v>
      </c>
      <c r="BJ191" s="101">
        <f>(BH191*($AC$1+1)*0.002488974)/($AC$1+1)*Module!$I$5*Module!$I$7</f>
        <v>45.656234094813776</v>
      </c>
      <c r="BK191" s="101">
        <f>$P$120*Module!$I$7*X191*Module!$I$5</f>
        <v>198.71100353190553</v>
      </c>
      <c r="BL191" s="151">
        <f t="shared" si="55"/>
        <v>1000000</v>
      </c>
    </row>
    <row r="192" spans="23:64" ht="19.5" hidden="1" customHeight="1" thickBot="1">
      <c r="W192" s="777"/>
      <c r="X192" s="121">
        <f t="shared" si="56"/>
        <v>89</v>
      </c>
      <c r="Y192" s="122">
        <f>'calcul pneu pour calculateur'!P193</f>
        <v>108.50186104527415</v>
      </c>
      <c r="Z192" s="123">
        <f t="shared" si="62"/>
        <v>217.00372209054831</v>
      </c>
      <c r="AA192" s="123">
        <f t="shared" si="63"/>
        <v>325.50558313582246</v>
      </c>
      <c r="AB192" s="123">
        <f t="shared" si="64"/>
        <v>434.00744418109662</v>
      </c>
      <c r="AC192" s="123">
        <f t="shared" si="65"/>
        <v>542.50930522637077</v>
      </c>
      <c r="AK192" s="121">
        <f t="shared" si="57"/>
        <v>89</v>
      </c>
      <c r="AL192" s="101">
        <f t="shared" si="58"/>
        <v>0</v>
      </c>
      <c r="AM192" s="101">
        <f>10+Module!$K$57/($Z$1+1)</f>
        <v>133.65759122654444</v>
      </c>
      <c r="AN192" s="101">
        <f>$Z$1*(25+Module!$I$6)</f>
        <v>50.5</v>
      </c>
      <c r="AO192" s="101">
        <f>(AM192*($Z$1+1)*0.002488974)/($Z$1+1)*Module!$I$5*Module!$I$7</f>
        <v>102.62345540579445</v>
      </c>
      <c r="AP192" s="101">
        <f>$P$120*Module!$I$7*X192*Module!$I$5</f>
        <v>200.96908311749536</v>
      </c>
      <c r="AQ192" s="151">
        <f t="shared" si="52"/>
        <v>1000000</v>
      </c>
      <c r="AS192" s="101">
        <f t="shared" si="59"/>
        <v>0</v>
      </c>
      <c r="AT192" s="101">
        <f>10+Module!$K$57/($AA$1+1)</f>
        <v>92.438394151029627</v>
      </c>
      <c r="AU192" s="101">
        <f>$AA$1*(25+Module!$I$6)</f>
        <v>101</v>
      </c>
      <c r="AV192" s="101">
        <f>(AT192*($Z$1+1)*0.002488974)/($Z$1+1)*Module!$I$5*Module!$I$7</f>
        <v>70.974999121916298</v>
      </c>
      <c r="AW192" s="101">
        <f>$P$120*Module!$I$7*X192*Module!$I$5</f>
        <v>200.96908311749536</v>
      </c>
      <c r="AX192" s="151">
        <f t="shared" si="53"/>
        <v>1000000</v>
      </c>
      <c r="AZ192" s="101">
        <f t="shared" si="60"/>
        <v>0</v>
      </c>
      <c r="BA192" s="101">
        <f>10+Module!$K$57/($AB$1+1)</f>
        <v>71.82879561327222</v>
      </c>
      <c r="BB192" s="101">
        <f>$AB$1*(25+Module!$I$6)</f>
        <v>151.5</v>
      </c>
      <c r="BC192" s="101">
        <f>(BA192*($AB$1+1)*0.002488974)/($AB$1+1)*Module!$I$5*Module!$I$7</f>
        <v>55.150770979977231</v>
      </c>
      <c r="BD192" s="101">
        <f>$P$120*Module!$I$7*X192*Module!$I$5</f>
        <v>200.96908311749536</v>
      </c>
      <c r="BE192" s="151">
        <f t="shared" si="54"/>
        <v>1000000</v>
      </c>
      <c r="BG192" s="101">
        <f t="shared" si="61"/>
        <v>0</v>
      </c>
      <c r="BH192" s="101">
        <f>10+Module!$K$57/($AC$1+1)</f>
        <v>59.463036490617775</v>
      </c>
      <c r="BI192" s="101">
        <f>$AC$1*(25+Module!$I$6)</f>
        <v>202</v>
      </c>
      <c r="BJ192" s="101">
        <f>(BH192*($AC$1+1)*0.002488974)/($AC$1+1)*Module!$I$5*Module!$I$7</f>
        <v>45.656234094813776</v>
      </c>
      <c r="BK192" s="101">
        <f>$P$120*Module!$I$7*X192*Module!$I$5</f>
        <v>200.96908311749536</v>
      </c>
      <c r="BL192" s="151">
        <f t="shared" si="55"/>
        <v>1000000</v>
      </c>
    </row>
    <row r="193" spans="23:64" ht="19.5" hidden="1" customHeight="1" thickBot="1">
      <c r="W193" s="777"/>
      <c r="X193" s="121">
        <f t="shared" si="56"/>
        <v>90</v>
      </c>
      <c r="Y193" s="122">
        <f>'calcul pneu pour calculateur'!P194</f>
        <v>108.14846694226401</v>
      </c>
      <c r="Z193" s="123">
        <f t="shared" si="62"/>
        <v>216.29693388452802</v>
      </c>
      <c r="AA193" s="123">
        <f t="shared" si="63"/>
        <v>324.44540082679202</v>
      </c>
      <c r="AB193" s="123">
        <f t="shared" si="64"/>
        <v>432.59386776905603</v>
      </c>
      <c r="AC193" s="123">
        <f t="shared" si="65"/>
        <v>540.74233471132004</v>
      </c>
      <c r="AK193" s="121">
        <f t="shared" si="57"/>
        <v>90</v>
      </c>
      <c r="AL193" s="101">
        <f t="shared" si="58"/>
        <v>0</v>
      </c>
      <c r="AM193" s="101">
        <f>10+Module!$K$57/($Z$1+1)</f>
        <v>133.65759122654444</v>
      </c>
      <c r="AN193" s="101">
        <f>$Z$1*(25+Module!$I$6)</f>
        <v>50.5</v>
      </c>
      <c r="AO193" s="101">
        <f>(AM193*($Z$1+1)*0.002488974)/($Z$1+1)*Module!$I$5*Module!$I$7</f>
        <v>102.62345540579445</v>
      </c>
      <c r="AP193" s="101">
        <f>$P$120*Module!$I$7*X193*Module!$I$5</f>
        <v>203.22716270308518</v>
      </c>
      <c r="AQ193" s="151">
        <f t="shared" si="52"/>
        <v>1000000</v>
      </c>
      <c r="AS193" s="101">
        <f t="shared" si="59"/>
        <v>0</v>
      </c>
      <c r="AT193" s="101">
        <f>10+Module!$K$57/($AA$1+1)</f>
        <v>92.438394151029627</v>
      </c>
      <c r="AU193" s="101">
        <f>$AA$1*(25+Module!$I$6)</f>
        <v>101</v>
      </c>
      <c r="AV193" s="101">
        <f>(AT193*($Z$1+1)*0.002488974)/($Z$1+1)*Module!$I$5*Module!$I$7</f>
        <v>70.974999121916298</v>
      </c>
      <c r="AW193" s="101">
        <f>$P$120*Module!$I$7*X193*Module!$I$5</f>
        <v>203.22716270308518</v>
      </c>
      <c r="AX193" s="151">
        <f t="shared" si="53"/>
        <v>1000000</v>
      </c>
      <c r="AZ193" s="101">
        <f t="shared" si="60"/>
        <v>0</v>
      </c>
      <c r="BA193" s="101">
        <f>10+Module!$K$57/($AB$1+1)</f>
        <v>71.82879561327222</v>
      </c>
      <c r="BB193" s="101">
        <f>$AB$1*(25+Module!$I$6)</f>
        <v>151.5</v>
      </c>
      <c r="BC193" s="101">
        <f>(BA193*($AB$1+1)*0.002488974)/($AB$1+1)*Module!$I$5*Module!$I$7</f>
        <v>55.150770979977231</v>
      </c>
      <c r="BD193" s="101">
        <f>$P$120*Module!$I$7*X193*Module!$I$5</f>
        <v>203.22716270308518</v>
      </c>
      <c r="BE193" s="151">
        <f t="shared" si="54"/>
        <v>1000000</v>
      </c>
      <c r="BG193" s="101">
        <f t="shared" si="61"/>
        <v>0</v>
      </c>
      <c r="BH193" s="101">
        <f>10+Module!$K$57/($AC$1+1)</f>
        <v>59.463036490617775</v>
      </c>
      <c r="BI193" s="101">
        <f>$AC$1*(25+Module!$I$6)</f>
        <v>202</v>
      </c>
      <c r="BJ193" s="101">
        <f>(BH193*($AC$1+1)*0.002488974)/($AC$1+1)*Module!$I$5*Module!$I$7</f>
        <v>45.656234094813776</v>
      </c>
      <c r="BK193" s="101">
        <f>$P$120*Module!$I$7*X193*Module!$I$5</f>
        <v>203.22716270308518</v>
      </c>
      <c r="BL193" s="151">
        <f t="shared" si="55"/>
        <v>1000000</v>
      </c>
    </row>
    <row r="194" spans="23:64" ht="19.5" hidden="1" customHeight="1" thickBot="1">
      <c r="W194" s="777"/>
      <c r="X194" s="121">
        <f t="shared" si="56"/>
        <v>91</v>
      </c>
      <c r="Y194" s="122">
        <f>'calcul pneu pour calculateur'!P195</f>
        <v>107.79507283925386</v>
      </c>
      <c r="Z194" s="123">
        <f t="shared" si="62"/>
        <v>215.59014567850772</v>
      </c>
      <c r="AA194" s="123">
        <f t="shared" si="63"/>
        <v>323.38521851776159</v>
      </c>
      <c r="AB194" s="123">
        <f t="shared" si="64"/>
        <v>431.18029135701545</v>
      </c>
      <c r="AC194" s="123">
        <f t="shared" si="65"/>
        <v>538.97536419626931</v>
      </c>
      <c r="AK194" s="121">
        <f t="shared" si="57"/>
        <v>91</v>
      </c>
      <c r="AL194" s="101">
        <f t="shared" si="58"/>
        <v>0</v>
      </c>
      <c r="AM194" s="101">
        <f>10+Module!$K$57/($Z$1+1)</f>
        <v>133.65759122654444</v>
      </c>
      <c r="AN194" s="101">
        <f>$Z$1*(25+Module!$I$6)</f>
        <v>50.5</v>
      </c>
      <c r="AO194" s="101">
        <f>(AM194*($Z$1+1)*0.002488974)/($Z$1+1)*Module!$I$5*Module!$I$7</f>
        <v>102.62345540579445</v>
      </c>
      <c r="AP194" s="101">
        <f>$P$120*Module!$I$7*X194*Module!$I$5</f>
        <v>205.48524228867501</v>
      </c>
      <c r="AQ194" s="151">
        <f t="shared" si="52"/>
        <v>1000000</v>
      </c>
      <c r="AS194" s="101">
        <f t="shared" si="59"/>
        <v>0</v>
      </c>
      <c r="AT194" s="101">
        <f>10+Module!$K$57/($AA$1+1)</f>
        <v>92.438394151029627</v>
      </c>
      <c r="AU194" s="101">
        <f>$AA$1*(25+Module!$I$6)</f>
        <v>101</v>
      </c>
      <c r="AV194" s="101">
        <f>(AT194*($Z$1+1)*0.002488974)/($Z$1+1)*Module!$I$5*Module!$I$7</f>
        <v>70.974999121916298</v>
      </c>
      <c r="AW194" s="101">
        <f>$P$120*Module!$I$7*X194*Module!$I$5</f>
        <v>205.48524228867501</v>
      </c>
      <c r="AX194" s="151">
        <f t="shared" si="53"/>
        <v>1000000</v>
      </c>
      <c r="AZ194" s="101">
        <f t="shared" si="60"/>
        <v>0</v>
      </c>
      <c r="BA194" s="101">
        <f>10+Module!$K$57/($AB$1+1)</f>
        <v>71.82879561327222</v>
      </c>
      <c r="BB194" s="101">
        <f>$AB$1*(25+Module!$I$6)</f>
        <v>151.5</v>
      </c>
      <c r="BC194" s="101">
        <f>(BA194*($AB$1+1)*0.002488974)/($AB$1+1)*Module!$I$5*Module!$I$7</f>
        <v>55.150770979977231</v>
      </c>
      <c r="BD194" s="101">
        <f>$P$120*Module!$I$7*X194*Module!$I$5</f>
        <v>205.48524228867501</v>
      </c>
      <c r="BE194" s="151">
        <f t="shared" si="54"/>
        <v>1000000</v>
      </c>
      <c r="BG194" s="101">
        <f t="shared" si="61"/>
        <v>0</v>
      </c>
      <c r="BH194" s="101">
        <f>10+Module!$K$57/($AC$1+1)</f>
        <v>59.463036490617775</v>
      </c>
      <c r="BI194" s="101">
        <f>$AC$1*(25+Module!$I$6)</f>
        <v>202</v>
      </c>
      <c r="BJ194" s="101">
        <f>(BH194*($AC$1+1)*0.002488974)/($AC$1+1)*Module!$I$5*Module!$I$7</f>
        <v>45.656234094813776</v>
      </c>
      <c r="BK194" s="101">
        <f>$P$120*Module!$I$7*X194*Module!$I$5</f>
        <v>205.48524228867501</v>
      </c>
      <c r="BL194" s="151">
        <f t="shared" si="55"/>
        <v>1000000</v>
      </c>
    </row>
    <row r="195" spans="23:64" ht="19.5" hidden="1" customHeight="1" thickBot="1">
      <c r="W195" s="777"/>
      <c r="X195" s="121">
        <f t="shared" si="56"/>
        <v>92</v>
      </c>
      <c r="Y195" s="122">
        <f>'calcul pneu pour calculateur'!P196</f>
        <v>107.44167873624372</v>
      </c>
      <c r="Z195" s="123">
        <f t="shared" si="62"/>
        <v>214.88335747248743</v>
      </c>
      <c r="AA195" s="123">
        <f t="shared" si="63"/>
        <v>322.32503620873115</v>
      </c>
      <c r="AB195" s="123">
        <f t="shared" si="64"/>
        <v>429.76671494497486</v>
      </c>
      <c r="AC195" s="123">
        <f t="shared" si="65"/>
        <v>537.20839368121858</v>
      </c>
      <c r="AK195" s="121">
        <f t="shared" si="57"/>
        <v>92</v>
      </c>
      <c r="AL195" s="101">
        <f t="shared" si="58"/>
        <v>0</v>
      </c>
      <c r="AM195" s="101">
        <f>10+Module!$K$57/($Z$1+1)</f>
        <v>133.65759122654444</v>
      </c>
      <c r="AN195" s="101">
        <f>$Z$1*(25+Module!$I$6)</f>
        <v>50.5</v>
      </c>
      <c r="AO195" s="101">
        <f>(AM195*($Z$1+1)*0.002488974)/($Z$1+1)*Module!$I$5*Module!$I$7</f>
        <v>102.62345540579445</v>
      </c>
      <c r="AP195" s="101">
        <f>$P$120*Module!$I$7*X195*Module!$I$5</f>
        <v>207.74332187426486</v>
      </c>
      <c r="AQ195" s="151">
        <f t="shared" ref="AQ195:AQ258" si="66">IF(AK195 &gt;$AJ$17,1000000,AL195+AN195+AO195-AP195)</f>
        <v>1000000</v>
      </c>
      <c r="AS195" s="101">
        <f t="shared" si="59"/>
        <v>0</v>
      </c>
      <c r="AT195" s="101">
        <f>10+Module!$K$57/($AA$1+1)</f>
        <v>92.438394151029627</v>
      </c>
      <c r="AU195" s="101">
        <f>$AA$1*(25+Module!$I$6)</f>
        <v>101</v>
      </c>
      <c r="AV195" s="101">
        <f>(AT195*($Z$1+1)*0.002488974)/($Z$1+1)*Module!$I$5*Module!$I$7</f>
        <v>70.974999121916298</v>
      </c>
      <c r="AW195" s="101">
        <f>$P$120*Module!$I$7*X195*Module!$I$5</f>
        <v>207.74332187426486</v>
      </c>
      <c r="AX195" s="151">
        <f t="shared" ref="AX195:AX258" si="67">IF(AK195 &gt;$AJ$17,1000000,AS195+AU195+AV195-AW195)</f>
        <v>1000000</v>
      </c>
      <c r="AZ195" s="101">
        <f t="shared" si="60"/>
        <v>0</v>
      </c>
      <c r="BA195" s="101">
        <f>10+Module!$K$57/($AB$1+1)</f>
        <v>71.82879561327222</v>
      </c>
      <c r="BB195" s="101">
        <f>$AB$1*(25+Module!$I$6)</f>
        <v>151.5</v>
      </c>
      <c r="BC195" s="101">
        <f>(BA195*($AB$1+1)*0.002488974)/($AB$1+1)*Module!$I$5*Module!$I$7</f>
        <v>55.150770979977231</v>
      </c>
      <c r="BD195" s="101">
        <f>$P$120*Module!$I$7*X195*Module!$I$5</f>
        <v>207.74332187426486</v>
      </c>
      <c r="BE195" s="151">
        <f t="shared" ref="BE195:BE258" si="68">IF(AK195 &gt;$AJ$17,1000000,AZ195+BB195+BC195-BD195)</f>
        <v>1000000</v>
      </c>
      <c r="BG195" s="101">
        <f t="shared" si="61"/>
        <v>0</v>
      </c>
      <c r="BH195" s="101">
        <f>10+Module!$K$57/($AC$1+1)</f>
        <v>59.463036490617775</v>
      </c>
      <c r="BI195" s="101">
        <f>$AC$1*(25+Module!$I$6)</f>
        <v>202</v>
      </c>
      <c r="BJ195" s="101">
        <f>(BH195*($AC$1+1)*0.002488974)/($AC$1+1)*Module!$I$5*Module!$I$7</f>
        <v>45.656234094813776</v>
      </c>
      <c r="BK195" s="101">
        <f>$P$120*Module!$I$7*X195*Module!$I$5</f>
        <v>207.74332187426486</v>
      </c>
      <c r="BL195" s="151">
        <f t="shared" ref="BL195:BL258" si="69">IF(AK195 &gt;$AJ$17,1000000,BG195+BI195+BJ195-BK195)</f>
        <v>1000000</v>
      </c>
    </row>
    <row r="196" spans="23:64" ht="19.5" hidden="1" customHeight="1" thickBot="1">
      <c r="W196" s="777"/>
      <c r="X196" s="121">
        <f t="shared" ref="X196:X259" si="70">X195+1</f>
        <v>93</v>
      </c>
      <c r="Y196" s="122">
        <f>'calcul pneu pour calculateur'!P197</f>
        <v>107.08828463323358</v>
      </c>
      <c r="Z196" s="123">
        <f t="shared" si="62"/>
        <v>214.17656926646717</v>
      </c>
      <c r="AA196" s="123">
        <f t="shared" si="63"/>
        <v>321.26485389970077</v>
      </c>
      <c r="AB196" s="123">
        <f t="shared" si="64"/>
        <v>428.35313853293434</v>
      </c>
      <c r="AC196" s="123">
        <f t="shared" si="65"/>
        <v>535.44142316616797</v>
      </c>
      <c r="AK196" s="121">
        <f t="shared" ref="AK196:AK259" si="71">AK195+1</f>
        <v>93</v>
      </c>
      <c r="AL196" s="101">
        <f t="shared" si="58"/>
        <v>0</v>
      </c>
      <c r="AM196" s="101">
        <f>10+Module!$K$57/($Z$1+1)</f>
        <v>133.65759122654444</v>
      </c>
      <c r="AN196" s="101">
        <f>$Z$1*(25+Module!$I$6)</f>
        <v>50.5</v>
      </c>
      <c r="AO196" s="101">
        <f>(AM196*($Z$1+1)*0.002488974)/($Z$1+1)*Module!$I$5*Module!$I$7</f>
        <v>102.62345540579445</v>
      </c>
      <c r="AP196" s="101">
        <f>$P$120*Module!$I$7*X196*Module!$I$5</f>
        <v>210.00140145985469</v>
      </c>
      <c r="AQ196" s="151">
        <f t="shared" si="66"/>
        <v>1000000</v>
      </c>
      <c r="AS196" s="101">
        <f t="shared" si="59"/>
        <v>0</v>
      </c>
      <c r="AT196" s="101">
        <f>10+Module!$K$57/($AA$1+1)</f>
        <v>92.438394151029627</v>
      </c>
      <c r="AU196" s="101">
        <f>$AA$1*(25+Module!$I$6)</f>
        <v>101</v>
      </c>
      <c r="AV196" s="101">
        <f>(AT196*($Z$1+1)*0.002488974)/($Z$1+1)*Module!$I$5*Module!$I$7</f>
        <v>70.974999121916298</v>
      </c>
      <c r="AW196" s="101">
        <f>$P$120*Module!$I$7*X196*Module!$I$5</f>
        <v>210.00140145985469</v>
      </c>
      <c r="AX196" s="151">
        <f t="shared" si="67"/>
        <v>1000000</v>
      </c>
      <c r="AZ196" s="101">
        <f t="shared" si="60"/>
        <v>0</v>
      </c>
      <c r="BA196" s="101">
        <f>10+Module!$K$57/($AB$1+1)</f>
        <v>71.82879561327222</v>
      </c>
      <c r="BB196" s="101">
        <f>$AB$1*(25+Module!$I$6)</f>
        <v>151.5</v>
      </c>
      <c r="BC196" s="101">
        <f>(BA196*($AB$1+1)*0.002488974)/($AB$1+1)*Module!$I$5*Module!$I$7</f>
        <v>55.150770979977231</v>
      </c>
      <c r="BD196" s="101">
        <f>$P$120*Module!$I$7*X196*Module!$I$5</f>
        <v>210.00140145985469</v>
      </c>
      <c r="BE196" s="151">
        <f t="shared" si="68"/>
        <v>1000000</v>
      </c>
      <c r="BG196" s="101">
        <f t="shared" si="61"/>
        <v>0</v>
      </c>
      <c r="BH196" s="101">
        <f>10+Module!$K$57/($AC$1+1)</f>
        <v>59.463036490617775</v>
      </c>
      <c r="BI196" s="101">
        <f>$AC$1*(25+Module!$I$6)</f>
        <v>202</v>
      </c>
      <c r="BJ196" s="101">
        <f>(BH196*($AC$1+1)*0.002488974)/($AC$1+1)*Module!$I$5*Module!$I$7</f>
        <v>45.656234094813776</v>
      </c>
      <c r="BK196" s="101">
        <f>$P$120*Module!$I$7*X196*Module!$I$5</f>
        <v>210.00140145985469</v>
      </c>
      <c r="BL196" s="151">
        <f t="shared" si="69"/>
        <v>1000000</v>
      </c>
    </row>
    <row r="197" spans="23:64" ht="19.5" hidden="1" customHeight="1" thickBot="1">
      <c r="W197" s="777"/>
      <c r="X197" s="121">
        <f t="shared" si="70"/>
        <v>94</v>
      </c>
      <c r="Y197" s="122">
        <f>'calcul pneu pour calculateur'!P198</f>
        <v>106.73489053022342</v>
      </c>
      <c r="Z197" s="123">
        <f t="shared" si="62"/>
        <v>213.46978106044685</v>
      </c>
      <c r="AA197" s="123">
        <f t="shared" si="63"/>
        <v>320.20467159067027</v>
      </c>
      <c r="AB197" s="123">
        <f t="shared" si="64"/>
        <v>426.9395621208937</v>
      </c>
      <c r="AC197" s="123">
        <f t="shared" si="65"/>
        <v>533.67445265111712</v>
      </c>
      <c r="AK197" s="121">
        <f t="shared" si="71"/>
        <v>94</v>
      </c>
      <c r="AL197" s="101">
        <f t="shared" si="58"/>
        <v>0</v>
      </c>
      <c r="AM197" s="101">
        <f>10+Module!$K$57/($Z$1+1)</f>
        <v>133.65759122654444</v>
      </c>
      <c r="AN197" s="101">
        <f>$Z$1*(25+Module!$I$6)</f>
        <v>50.5</v>
      </c>
      <c r="AO197" s="101">
        <f>(AM197*($Z$1+1)*0.002488974)/($Z$1+1)*Module!$I$5*Module!$I$7</f>
        <v>102.62345540579445</v>
      </c>
      <c r="AP197" s="101">
        <f>$P$120*Module!$I$7*X197*Module!$I$5</f>
        <v>212.25948104544452</v>
      </c>
      <c r="AQ197" s="151">
        <f t="shared" si="66"/>
        <v>1000000</v>
      </c>
      <c r="AS197" s="101">
        <f t="shared" si="59"/>
        <v>0</v>
      </c>
      <c r="AT197" s="101">
        <f>10+Module!$K$57/($AA$1+1)</f>
        <v>92.438394151029627</v>
      </c>
      <c r="AU197" s="101">
        <f>$AA$1*(25+Module!$I$6)</f>
        <v>101</v>
      </c>
      <c r="AV197" s="101">
        <f>(AT197*($Z$1+1)*0.002488974)/($Z$1+1)*Module!$I$5*Module!$I$7</f>
        <v>70.974999121916298</v>
      </c>
      <c r="AW197" s="101">
        <f>$P$120*Module!$I$7*X197*Module!$I$5</f>
        <v>212.25948104544452</v>
      </c>
      <c r="AX197" s="151">
        <f t="shared" si="67"/>
        <v>1000000</v>
      </c>
      <c r="AZ197" s="101">
        <f t="shared" si="60"/>
        <v>0</v>
      </c>
      <c r="BA197" s="101">
        <f>10+Module!$K$57/($AB$1+1)</f>
        <v>71.82879561327222</v>
      </c>
      <c r="BB197" s="101">
        <f>$AB$1*(25+Module!$I$6)</f>
        <v>151.5</v>
      </c>
      <c r="BC197" s="101">
        <f>(BA197*($AB$1+1)*0.002488974)/($AB$1+1)*Module!$I$5*Module!$I$7</f>
        <v>55.150770979977231</v>
      </c>
      <c r="BD197" s="101">
        <f>$P$120*Module!$I$7*X197*Module!$I$5</f>
        <v>212.25948104544452</v>
      </c>
      <c r="BE197" s="151">
        <f t="shared" si="68"/>
        <v>1000000</v>
      </c>
      <c r="BG197" s="101">
        <f t="shared" si="61"/>
        <v>0</v>
      </c>
      <c r="BH197" s="101">
        <f>10+Module!$K$57/($AC$1+1)</f>
        <v>59.463036490617775</v>
      </c>
      <c r="BI197" s="101">
        <f>$AC$1*(25+Module!$I$6)</f>
        <v>202</v>
      </c>
      <c r="BJ197" s="101">
        <f>(BH197*($AC$1+1)*0.002488974)/($AC$1+1)*Module!$I$5*Module!$I$7</f>
        <v>45.656234094813776</v>
      </c>
      <c r="BK197" s="101">
        <f>$P$120*Module!$I$7*X197*Module!$I$5</f>
        <v>212.25948104544452</v>
      </c>
      <c r="BL197" s="151">
        <f t="shared" si="69"/>
        <v>1000000</v>
      </c>
    </row>
    <row r="198" spans="23:64" ht="19.5" hidden="1" customHeight="1" thickBot="1">
      <c r="W198" s="777"/>
      <c r="X198" s="121">
        <f t="shared" si="70"/>
        <v>95</v>
      </c>
      <c r="Y198" s="122">
        <f>'calcul pneu pour calculateur'!P199</f>
        <v>106.38149642721328</v>
      </c>
      <c r="Z198" s="123">
        <f t="shared" si="62"/>
        <v>212.76299285442656</v>
      </c>
      <c r="AA198" s="123">
        <f t="shared" si="63"/>
        <v>319.14448928163984</v>
      </c>
      <c r="AB198" s="123">
        <f t="shared" si="64"/>
        <v>425.52598570885311</v>
      </c>
      <c r="AC198" s="123">
        <f t="shared" si="65"/>
        <v>531.90748213606639</v>
      </c>
      <c r="AK198" s="121">
        <f t="shared" si="71"/>
        <v>95</v>
      </c>
      <c r="AL198" s="101">
        <f t="shared" si="58"/>
        <v>0</v>
      </c>
      <c r="AM198" s="101">
        <f>10+Module!$K$57/($Z$1+1)</f>
        <v>133.65759122654444</v>
      </c>
      <c r="AN198" s="101">
        <f>$Z$1*(25+Module!$I$6)</f>
        <v>50.5</v>
      </c>
      <c r="AO198" s="101">
        <f>(AM198*($Z$1+1)*0.002488974)/($Z$1+1)*Module!$I$5*Module!$I$7</f>
        <v>102.62345540579445</v>
      </c>
      <c r="AP198" s="101">
        <f>$P$120*Module!$I$7*X198*Module!$I$5</f>
        <v>214.51756063103434</v>
      </c>
      <c r="AQ198" s="151">
        <f t="shared" si="66"/>
        <v>1000000</v>
      </c>
      <c r="AS198" s="101">
        <f t="shared" si="59"/>
        <v>0</v>
      </c>
      <c r="AT198" s="101">
        <f>10+Module!$K$57/($AA$1+1)</f>
        <v>92.438394151029627</v>
      </c>
      <c r="AU198" s="101">
        <f>$AA$1*(25+Module!$I$6)</f>
        <v>101</v>
      </c>
      <c r="AV198" s="101">
        <f>(AT198*($Z$1+1)*0.002488974)/($Z$1+1)*Module!$I$5*Module!$I$7</f>
        <v>70.974999121916298</v>
      </c>
      <c r="AW198" s="101">
        <f>$P$120*Module!$I$7*X198*Module!$I$5</f>
        <v>214.51756063103434</v>
      </c>
      <c r="AX198" s="151">
        <f t="shared" si="67"/>
        <v>1000000</v>
      </c>
      <c r="AZ198" s="101">
        <f t="shared" si="60"/>
        <v>0</v>
      </c>
      <c r="BA198" s="101">
        <f>10+Module!$K$57/($AB$1+1)</f>
        <v>71.82879561327222</v>
      </c>
      <c r="BB198" s="101">
        <f>$AB$1*(25+Module!$I$6)</f>
        <v>151.5</v>
      </c>
      <c r="BC198" s="101">
        <f>(BA198*($AB$1+1)*0.002488974)/($AB$1+1)*Module!$I$5*Module!$I$7</f>
        <v>55.150770979977231</v>
      </c>
      <c r="BD198" s="101">
        <f>$P$120*Module!$I$7*X198*Module!$I$5</f>
        <v>214.51756063103434</v>
      </c>
      <c r="BE198" s="151">
        <f t="shared" si="68"/>
        <v>1000000</v>
      </c>
      <c r="BG198" s="101">
        <f t="shared" si="61"/>
        <v>0</v>
      </c>
      <c r="BH198" s="101">
        <f>10+Module!$K$57/($AC$1+1)</f>
        <v>59.463036490617775</v>
      </c>
      <c r="BI198" s="101">
        <f>$AC$1*(25+Module!$I$6)</f>
        <v>202</v>
      </c>
      <c r="BJ198" s="101">
        <f>(BH198*($AC$1+1)*0.002488974)/($AC$1+1)*Module!$I$5*Module!$I$7</f>
        <v>45.656234094813776</v>
      </c>
      <c r="BK198" s="101">
        <f>$P$120*Module!$I$7*X198*Module!$I$5</f>
        <v>214.51756063103434</v>
      </c>
      <c r="BL198" s="151">
        <f t="shared" si="69"/>
        <v>1000000</v>
      </c>
    </row>
    <row r="199" spans="23:64" ht="19.5" hidden="1" customHeight="1" thickBot="1">
      <c r="W199" s="777"/>
      <c r="X199" s="121">
        <f t="shared" si="70"/>
        <v>96</v>
      </c>
      <c r="Y199" s="122">
        <f>'calcul pneu pour calculateur'!P200</f>
        <v>106.02810232420313</v>
      </c>
      <c r="Z199" s="123">
        <f t="shared" si="62"/>
        <v>212.05620464840626</v>
      </c>
      <c r="AA199" s="123">
        <f t="shared" si="63"/>
        <v>318.0843069726094</v>
      </c>
      <c r="AB199" s="123">
        <f t="shared" si="64"/>
        <v>424.11240929681253</v>
      </c>
      <c r="AC199" s="123">
        <f t="shared" si="65"/>
        <v>530.14051162101566</v>
      </c>
      <c r="AK199" s="121">
        <f t="shared" si="71"/>
        <v>96</v>
      </c>
      <c r="AL199" s="101">
        <f t="shared" si="58"/>
        <v>0</v>
      </c>
      <c r="AM199" s="101">
        <f>10+Module!$K$57/($Z$1+1)</f>
        <v>133.65759122654444</v>
      </c>
      <c r="AN199" s="101">
        <f>$Z$1*(25+Module!$I$6)</f>
        <v>50.5</v>
      </c>
      <c r="AO199" s="101">
        <f>(AM199*($Z$1+1)*0.002488974)/($Z$1+1)*Module!$I$5*Module!$I$7</f>
        <v>102.62345540579445</v>
      </c>
      <c r="AP199" s="101">
        <f>$P$120*Module!$I$7*X199*Module!$I$5</f>
        <v>216.77564021662423</v>
      </c>
      <c r="AQ199" s="151">
        <f t="shared" si="66"/>
        <v>1000000</v>
      </c>
      <c r="AS199" s="101">
        <f t="shared" si="59"/>
        <v>0</v>
      </c>
      <c r="AT199" s="101">
        <f>10+Module!$K$57/($AA$1+1)</f>
        <v>92.438394151029627</v>
      </c>
      <c r="AU199" s="101">
        <f>$AA$1*(25+Module!$I$6)</f>
        <v>101</v>
      </c>
      <c r="AV199" s="101">
        <f>(AT199*($Z$1+1)*0.002488974)/($Z$1+1)*Module!$I$5*Module!$I$7</f>
        <v>70.974999121916298</v>
      </c>
      <c r="AW199" s="101">
        <f>$P$120*Module!$I$7*X199*Module!$I$5</f>
        <v>216.77564021662423</v>
      </c>
      <c r="AX199" s="151">
        <f t="shared" si="67"/>
        <v>1000000</v>
      </c>
      <c r="AZ199" s="101">
        <f t="shared" si="60"/>
        <v>0</v>
      </c>
      <c r="BA199" s="101">
        <f>10+Module!$K$57/($AB$1+1)</f>
        <v>71.82879561327222</v>
      </c>
      <c r="BB199" s="101">
        <f>$AB$1*(25+Module!$I$6)</f>
        <v>151.5</v>
      </c>
      <c r="BC199" s="101">
        <f>(BA199*($AB$1+1)*0.002488974)/($AB$1+1)*Module!$I$5*Module!$I$7</f>
        <v>55.150770979977231</v>
      </c>
      <c r="BD199" s="101">
        <f>$P$120*Module!$I$7*X199*Module!$I$5</f>
        <v>216.77564021662423</v>
      </c>
      <c r="BE199" s="151">
        <f t="shared" si="68"/>
        <v>1000000</v>
      </c>
      <c r="BG199" s="101">
        <f t="shared" si="61"/>
        <v>0</v>
      </c>
      <c r="BH199" s="101">
        <f>10+Module!$K$57/($AC$1+1)</f>
        <v>59.463036490617775</v>
      </c>
      <c r="BI199" s="101">
        <f>$AC$1*(25+Module!$I$6)</f>
        <v>202</v>
      </c>
      <c r="BJ199" s="101">
        <f>(BH199*($AC$1+1)*0.002488974)/($AC$1+1)*Module!$I$5*Module!$I$7</f>
        <v>45.656234094813776</v>
      </c>
      <c r="BK199" s="101">
        <f>$P$120*Module!$I$7*X199*Module!$I$5</f>
        <v>216.77564021662423</v>
      </c>
      <c r="BL199" s="151">
        <f t="shared" si="69"/>
        <v>1000000</v>
      </c>
    </row>
    <row r="200" spans="23:64" ht="19.5" hidden="1" customHeight="1" thickBot="1">
      <c r="W200" s="777"/>
      <c r="X200" s="121">
        <f t="shared" si="70"/>
        <v>97</v>
      </c>
      <c r="Y200" s="122">
        <f>'calcul pneu pour calculateur'!P201</f>
        <v>105.67470822119299</v>
      </c>
      <c r="Z200" s="123">
        <f t="shared" si="62"/>
        <v>211.34941644238597</v>
      </c>
      <c r="AA200" s="123">
        <f t="shared" si="63"/>
        <v>317.02412466357896</v>
      </c>
      <c r="AB200" s="123">
        <f t="shared" si="64"/>
        <v>422.69883288477195</v>
      </c>
      <c r="AC200" s="123">
        <f t="shared" si="65"/>
        <v>528.37354110596493</v>
      </c>
      <c r="AK200" s="121">
        <f t="shared" si="71"/>
        <v>97</v>
      </c>
      <c r="AL200" s="101">
        <f t="shared" si="58"/>
        <v>0</v>
      </c>
      <c r="AM200" s="101">
        <f>10+Module!$K$57/($Z$1+1)</f>
        <v>133.65759122654444</v>
      </c>
      <c r="AN200" s="101">
        <f>$Z$1*(25+Module!$I$6)</f>
        <v>50.5</v>
      </c>
      <c r="AO200" s="101">
        <f>(AM200*($Z$1+1)*0.002488974)/($Z$1+1)*Module!$I$5*Module!$I$7</f>
        <v>102.62345540579445</v>
      </c>
      <c r="AP200" s="101">
        <f>$P$120*Module!$I$7*X200*Module!$I$5</f>
        <v>219.03371980221405</v>
      </c>
      <c r="AQ200" s="151">
        <f t="shared" si="66"/>
        <v>1000000</v>
      </c>
      <c r="AS200" s="101">
        <f t="shared" si="59"/>
        <v>0</v>
      </c>
      <c r="AT200" s="101">
        <f>10+Module!$K$57/($AA$1+1)</f>
        <v>92.438394151029627</v>
      </c>
      <c r="AU200" s="101">
        <f>$AA$1*(25+Module!$I$6)</f>
        <v>101</v>
      </c>
      <c r="AV200" s="101">
        <f>(AT200*($Z$1+1)*0.002488974)/($Z$1+1)*Module!$I$5*Module!$I$7</f>
        <v>70.974999121916298</v>
      </c>
      <c r="AW200" s="101">
        <f>$P$120*Module!$I$7*X200*Module!$I$5</f>
        <v>219.03371980221405</v>
      </c>
      <c r="AX200" s="151">
        <f t="shared" si="67"/>
        <v>1000000</v>
      </c>
      <c r="AZ200" s="101">
        <f t="shared" si="60"/>
        <v>0</v>
      </c>
      <c r="BA200" s="101">
        <f>10+Module!$K$57/($AB$1+1)</f>
        <v>71.82879561327222</v>
      </c>
      <c r="BB200" s="101">
        <f>$AB$1*(25+Module!$I$6)</f>
        <v>151.5</v>
      </c>
      <c r="BC200" s="101">
        <f>(BA200*($AB$1+1)*0.002488974)/($AB$1+1)*Module!$I$5*Module!$I$7</f>
        <v>55.150770979977231</v>
      </c>
      <c r="BD200" s="101">
        <f>$P$120*Module!$I$7*X200*Module!$I$5</f>
        <v>219.03371980221405</v>
      </c>
      <c r="BE200" s="151">
        <f t="shared" si="68"/>
        <v>1000000</v>
      </c>
      <c r="BG200" s="101">
        <f t="shared" si="61"/>
        <v>0</v>
      </c>
      <c r="BH200" s="101">
        <f>10+Module!$K$57/($AC$1+1)</f>
        <v>59.463036490617775</v>
      </c>
      <c r="BI200" s="101">
        <f>$AC$1*(25+Module!$I$6)</f>
        <v>202</v>
      </c>
      <c r="BJ200" s="101">
        <f>(BH200*($AC$1+1)*0.002488974)/($AC$1+1)*Module!$I$5*Module!$I$7</f>
        <v>45.656234094813776</v>
      </c>
      <c r="BK200" s="101">
        <f>$P$120*Module!$I$7*X200*Module!$I$5</f>
        <v>219.03371980221405</v>
      </c>
      <c r="BL200" s="151">
        <f t="shared" si="69"/>
        <v>1000000</v>
      </c>
    </row>
    <row r="201" spans="23:64" ht="19.5" hidden="1" customHeight="1" thickBot="1">
      <c r="W201" s="777"/>
      <c r="X201" s="121">
        <f t="shared" si="70"/>
        <v>98</v>
      </c>
      <c r="Y201" s="122">
        <f>'calcul pneu pour calculateur'!P202</f>
        <v>105.32131411818284</v>
      </c>
      <c r="Z201" s="123">
        <f t="shared" si="62"/>
        <v>210.64262823636568</v>
      </c>
      <c r="AA201" s="123">
        <f t="shared" si="63"/>
        <v>315.96394235454852</v>
      </c>
      <c r="AB201" s="123">
        <f t="shared" si="64"/>
        <v>421.28525647273136</v>
      </c>
      <c r="AC201" s="123">
        <f t="shared" si="65"/>
        <v>526.6065705909142</v>
      </c>
      <c r="AK201" s="121">
        <f t="shared" si="71"/>
        <v>98</v>
      </c>
      <c r="AL201" s="101">
        <f t="shared" si="58"/>
        <v>0</v>
      </c>
      <c r="AM201" s="101">
        <f>10+Module!$K$57/($Z$1+1)</f>
        <v>133.65759122654444</v>
      </c>
      <c r="AN201" s="101">
        <f>$Z$1*(25+Module!$I$6)</f>
        <v>50.5</v>
      </c>
      <c r="AO201" s="101">
        <f>(AM201*($Z$1+1)*0.002488974)/($Z$1+1)*Module!$I$5*Module!$I$7</f>
        <v>102.62345540579445</v>
      </c>
      <c r="AP201" s="101">
        <f>$P$120*Module!$I$7*X201*Module!$I$5</f>
        <v>221.29179938780388</v>
      </c>
      <c r="AQ201" s="151">
        <f t="shared" si="66"/>
        <v>1000000</v>
      </c>
      <c r="AS201" s="101">
        <f t="shared" si="59"/>
        <v>0</v>
      </c>
      <c r="AT201" s="101">
        <f>10+Module!$K$57/($AA$1+1)</f>
        <v>92.438394151029627</v>
      </c>
      <c r="AU201" s="101">
        <f>$AA$1*(25+Module!$I$6)</f>
        <v>101</v>
      </c>
      <c r="AV201" s="101">
        <f>(AT201*($Z$1+1)*0.002488974)/($Z$1+1)*Module!$I$5*Module!$I$7</f>
        <v>70.974999121916298</v>
      </c>
      <c r="AW201" s="101">
        <f>$P$120*Module!$I$7*X201*Module!$I$5</f>
        <v>221.29179938780388</v>
      </c>
      <c r="AX201" s="151">
        <f t="shared" si="67"/>
        <v>1000000</v>
      </c>
      <c r="AZ201" s="101">
        <f t="shared" si="60"/>
        <v>0</v>
      </c>
      <c r="BA201" s="101">
        <f>10+Module!$K$57/($AB$1+1)</f>
        <v>71.82879561327222</v>
      </c>
      <c r="BB201" s="101">
        <f>$AB$1*(25+Module!$I$6)</f>
        <v>151.5</v>
      </c>
      <c r="BC201" s="101">
        <f>(BA201*($AB$1+1)*0.002488974)/($AB$1+1)*Module!$I$5*Module!$I$7</f>
        <v>55.150770979977231</v>
      </c>
      <c r="BD201" s="101">
        <f>$P$120*Module!$I$7*X201*Module!$I$5</f>
        <v>221.29179938780388</v>
      </c>
      <c r="BE201" s="151">
        <f t="shared" si="68"/>
        <v>1000000</v>
      </c>
      <c r="BG201" s="101">
        <f t="shared" si="61"/>
        <v>0</v>
      </c>
      <c r="BH201" s="101">
        <f>10+Module!$K$57/($AC$1+1)</f>
        <v>59.463036490617775</v>
      </c>
      <c r="BI201" s="101">
        <f>$AC$1*(25+Module!$I$6)</f>
        <v>202</v>
      </c>
      <c r="BJ201" s="101">
        <f>(BH201*($AC$1+1)*0.002488974)/($AC$1+1)*Module!$I$5*Module!$I$7</f>
        <v>45.656234094813776</v>
      </c>
      <c r="BK201" s="101">
        <f>$P$120*Module!$I$7*X201*Module!$I$5</f>
        <v>221.29179938780388</v>
      </c>
      <c r="BL201" s="151">
        <f t="shared" si="69"/>
        <v>1000000</v>
      </c>
    </row>
    <row r="202" spans="23:64" ht="19.5" hidden="1" customHeight="1" thickBot="1">
      <c r="W202" s="777"/>
      <c r="X202" s="121">
        <f t="shared" si="70"/>
        <v>99</v>
      </c>
      <c r="Y202" s="122">
        <f>'calcul pneu pour calculateur'!P203</f>
        <v>104.96792001517271</v>
      </c>
      <c r="Z202" s="123">
        <f t="shared" si="62"/>
        <v>209.93584003034542</v>
      </c>
      <c r="AA202" s="123">
        <f t="shared" si="63"/>
        <v>314.90376004551814</v>
      </c>
      <c r="AB202" s="123">
        <f t="shared" si="64"/>
        <v>419.87168006069084</v>
      </c>
      <c r="AC202" s="123">
        <f t="shared" si="65"/>
        <v>524.83960007586359</v>
      </c>
      <c r="AK202" s="121">
        <f t="shared" si="71"/>
        <v>99</v>
      </c>
      <c r="AL202" s="101">
        <f t="shared" si="58"/>
        <v>0</v>
      </c>
      <c r="AM202" s="101">
        <f>10+Module!$K$57/($Z$1+1)</f>
        <v>133.65759122654444</v>
      </c>
      <c r="AN202" s="101">
        <f>$Z$1*(25+Module!$I$6)</f>
        <v>50.5</v>
      </c>
      <c r="AO202" s="101">
        <f>(AM202*($Z$1+1)*0.002488974)/($Z$1+1)*Module!$I$5*Module!$I$7</f>
        <v>102.62345540579445</v>
      </c>
      <c r="AP202" s="101">
        <f>$P$120*Module!$I$7*X202*Module!$I$5</f>
        <v>223.5498789733937</v>
      </c>
      <c r="AQ202" s="151">
        <f t="shared" si="66"/>
        <v>1000000</v>
      </c>
      <c r="AS202" s="101">
        <f t="shared" si="59"/>
        <v>0</v>
      </c>
      <c r="AT202" s="101">
        <f>10+Module!$K$57/($AA$1+1)</f>
        <v>92.438394151029627</v>
      </c>
      <c r="AU202" s="101">
        <f>$AA$1*(25+Module!$I$6)</f>
        <v>101</v>
      </c>
      <c r="AV202" s="101">
        <f>(AT202*($Z$1+1)*0.002488974)/($Z$1+1)*Module!$I$5*Module!$I$7</f>
        <v>70.974999121916298</v>
      </c>
      <c r="AW202" s="101">
        <f>$P$120*Module!$I$7*X202*Module!$I$5</f>
        <v>223.5498789733937</v>
      </c>
      <c r="AX202" s="151">
        <f t="shared" si="67"/>
        <v>1000000</v>
      </c>
      <c r="AZ202" s="101">
        <f t="shared" si="60"/>
        <v>0</v>
      </c>
      <c r="BA202" s="101">
        <f>10+Module!$K$57/($AB$1+1)</f>
        <v>71.82879561327222</v>
      </c>
      <c r="BB202" s="101">
        <f>$AB$1*(25+Module!$I$6)</f>
        <v>151.5</v>
      </c>
      <c r="BC202" s="101">
        <f>(BA202*($AB$1+1)*0.002488974)/($AB$1+1)*Module!$I$5*Module!$I$7</f>
        <v>55.150770979977231</v>
      </c>
      <c r="BD202" s="101">
        <f>$P$120*Module!$I$7*X202*Module!$I$5</f>
        <v>223.5498789733937</v>
      </c>
      <c r="BE202" s="151">
        <f t="shared" si="68"/>
        <v>1000000</v>
      </c>
      <c r="BG202" s="101">
        <f t="shared" si="61"/>
        <v>0</v>
      </c>
      <c r="BH202" s="101">
        <f>10+Module!$K$57/($AC$1+1)</f>
        <v>59.463036490617775</v>
      </c>
      <c r="BI202" s="101">
        <f>$AC$1*(25+Module!$I$6)</f>
        <v>202</v>
      </c>
      <c r="BJ202" s="101">
        <f>(BH202*($AC$1+1)*0.002488974)/($AC$1+1)*Module!$I$5*Module!$I$7</f>
        <v>45.656234094813776</v>
      </c>
      <c r="BK202" s="101">
        <f>$P$120*Module!$I$7*X202*Module!$I$5</f>
        <v>223.5498789733937</v>
      </c>
      <c r="BL202" s="151">
        <f t="shared" si="69"/>
        <v>1000000</v>
      </c>
    </row>
    <row r="203" spans="23:64" ht="19.5" hidden="1" customHeight="1" thickBot="1">
      <c r="W203" s="778"/>
      <c r="X203" s="121">
        <f t="shared" si="70"/>
        <v>100</v>
      </c>
      <c r="Y203" s="122">
        <f>'calcul pneu pour calculateur'!P204</f>
        <v>104.61452591216255</v>
      </c>
      <c r="Z203" s="123">
        <f t="shared" si="62"/>
        <v>209.2290518243251</v>
      </c>
      <c r="AA203" s="123">
        <f t="shared" si="63"/>
        <v>313.84357773648765</v>
      </c>
      <c r="AB203" s="123">
        <f t="shared" si="64"/>
        <v>418.45810364865019</v>
      </c>
      <c r="AC203" s="123">
        <f t="shared" si="65"/>
        <v>523.07262956081274</v>
      </c>
      <c r="AK203" s="121">
        <f t="shared" si="71"/>
        <v>100</v>
      </c>
      <c r="AL203" s="101">
        <f t="shared" si="58"/>
        <v>0</v>
      </c>
      <c r="AM203" s="101">
        <f>10+Module!$K$57/($Z$1+1)</f>
        <v>133.65759122654444</v>
      </c>
      <c r="AN203" s="101">
        <f>$Z$1*(25+Module!$I$6)</f>
        <v>50.5</v>
      </c>
      <c r="AO203" s="101">
        <f>(AM203*($Z$1+1)*0.002488974)/($Z$1+1)*Module!$I$5*Module!$I$7</f>
        <v>102.62345540579445</v>
      </c>
      <c r="AP203" s="101">
        <f>$P$120*Module!$I$7*X203*Module!$I$5</f>
        <v>225.80795855898356</v>
      </c>
      <c r="AQ203" s="151">
        <f t="shared" si="66"/>
        <v>1000000</v>
      </c>
      <c r="AS203" s="101">
        <f t="shared" si="59"/>
        <v>0</v>
      </c>
      <c r="AT203" s="101">
        <f>10+Module!$K$57/($AA$1+1)</f>
        <v>92.438394151029627</v>
      </c>
      <c r="AU203" s="101">
        <f>$AA$1*(25+Module!$I$6)</f>
        <v>101</v>
      </c>
      <c r="AV203" s="101">
        <f>(AT203*($Z$1+1)*0.002488974)/($Z$1+1)*Module!$I$5*Module!$I$7</f>
        <v>70.974999121916298</v>
      </c>
      <c r="AW203" s="101">
        <f>$P$120*Module!$I$7*X203*Module!$I$5</f>
        <v>225.80795855898356</v>
      </c>
      <c r="AX203" s="151">
        <f t="shared" si="67"/>
        <v>1000000</v>
      </c>
      <c r="AZ203" s="101">
        <f t="shared" si="60"/>
        <v>0</v>
      </c>
      <c r="BA203" s="101">
        <f>10+Module!$K$57/($AB$1+1)</f>
        <v>71.82879561327222</v>
      </c>
      <c r="BB203" s="101">
        <f>$AB$1*(25+Module!$I$6)</f>
        <v>151.5</v>
      </c>
      <c r="BC203" s="101">
        <f>(BA203*($AB$1+1)*0.002488974)/($AB$1+1)*Module!$I$5*Module!$I$7</f>
        <v>55.150770979977231</v>
      </c>
      <c r="BD203" s="101">
        <f>$P$120*Module!$I$7*X203*Module!$I$5</f>
        <v>225.80795855898356</v>
      </c>
      <c r="BE203" s="151">
        <f t="shared" si="68"/>
        <v>1000000</v>
      </c>
      <c r="BG203" s="101">
        <f t="shared" si="61"/>
        <v>0</v>
      </c>
      <c r="BH203" s="101">
        <f>10+Module!$K$57/($AC$1+1)</f>
        <v>59.463036490617775</v>
      </c>
      <c r="BI203" s="101">
        <f>$AC$1*(25+Module!$I$6)</f>
        <v>202</v>
      </c>
      <c r="BJ203" s="101">
        <f>(BH203*($AC$1+1)*0.002488974)/($AC$1+1)*Module!$I$5*Module!$I$7</f>
        <v>45.656234094813776</v>
      </c>
      <c r="BK203" s="101">
        <f>$P$120*Module!$I$7*X203*Module!$I$5</f>
        <v>225.80795855898356</v>
      </c>
      <c r="BL203" s="151">
        <f t="shared" si="69"/>
        <v>1000000</v>
      </c>
    </row>
    <row r="204" spans="23:64" ht="19.5" hidden="1" customHeight="1" thickBot="1">
      <c r="W204" s="776" t="s">
        <v>254</v>
      </c>
      <c r="X204" s="121">
        <v>0</v>
      </c>
      <c r="Y204" s="122">
        <f>'calcul pneu pour calculateur'!P205</f>
        <v>183.09005493659038</v>
      </c>
      <c r="Z204" s="123">
        <f t="shared" si="62"/>
        <v>366.18010987318075</v>
      </c>
      <c r="AA204" s="123">
        <f t="shared" si="63"/>
        <v>549.27016480977113</v>
      </c>
      <c r="AB204" s="123">
        <f t="shared" si="64"/>
        <v>732.36021974636151</v>
      </c>
      <c r="AC204" s="123">
        <f t="shared" si="65"/>
        <v>915.45027468295189</v>
      </c>
      <c r="AK204" s="121">
        <v>0</v>
      </c>
      <c r="AL204" s="101">
        <f>$H$63</f>
        <v>0</v>
      </c>
      <c r="AM204" s="101">
        <f>10+Module!$K$57/($Z$1+1)</f>
        <v>133.65759122654444</v>
      </c>
      <c r="AN204" s="101">
        <f>$Z$1*(25+Module!$I$6)</f>
        <v>50.5</v>
      </c>
      <c r="AO204" s="101">
        <f>(AM204*($Z$1+1)*0.002488974)/($Z$1+1)*Module!$I$5*Module!$I$7</f>
        <v>102.62345540579445</v>
      </c>
      <c r="AP204" s="101">
        <f>$P$120*Module!$I$7*X204*Module!$I$5</f>
        <v>0</v>
      </c>
      <c r="AQ204" s="151">
        <f t="shared" si="66"/>
        <v>153.12345540579446</v>
      </c>
      <c r="AS204" s="101">
        <f>$H$63</f>
        <v>0</v>
      </c>
      <c r="AT204" s="101">
        <f>10+Module!$K$57/($AA$1+1)</f>
        <v>92.438394151029627</v>
      </c>
      <c r="AU204" s="101">
        <f>$AA$1*(25+Module!$I$6)</f>
        <v>101</v>
      </c>
      <c r="AV204" s="101">
        <f>(AT204*($Z$1+1)*0.002488974)/($Z$1+1)*Module!$I$5*Module!$I$7</f>
        <v>70.974999121916298</v>
      </c>
      <c r="AW204" s="101">
        <f>$P$120*Module!$I$7*X204*Module!$I$5</f>
        <v>0</v>
      </c>
      <c r="AX204" s="151">
        <f t="shared" si="67"/>
        <v>171.97499912191631</v>
      </c>
      <c r="AZ204" s="101">
        <f>$H$63</f>
        <v>0</v>
      </c>
      <c r="BA204" s="101">
        <f>10+Module!$K$57/($AB$1+1)</f>
        <v>71.82879561327222</v>
      </c>
      <c r="BB204" s="101">
        <f>$AB$1*(25+Module!$I$6)</f>
        <v>151.5</v>
      </c>
      <c r="BC204" s="101">
        <f>(BA204*($AB$1+1)*0.002488974)/($AB$1+1)*Module!$I$5*Module!$I$7</f>
        <v>55.150770979977231</v>
      </c>
      <c r="BD204" s="101">
        <f>$P$120*Module!$I$7*X204*Module!$I$5</f>
        <v>0</v>
      </c>
      <c r="BE204" s="151">
        <f t="shared" si="68"/>
        <v>206.65077097997724</v>
      </c>
      <c r="BG204" s="101">
        <f>$H$63</f>
        <v>0</v>
      </c>
      <c r="BH204" s="101">
        <f>10+Module!$K$57/($AC$1+1)</f>
        <v>59.463036490617775</v>
      </c>
      <c r="BI204" s="101">
        <f>$AC$1*(25+Module!$I$6)</f>
        <v>202</v>
      </c>
      <c r="BJ204" s="101">
        <f>(BH204*($AC$1+1)*0.002488974)/($AC$1+1)*Module!$I$5*Module!$I$7</f>
        <v>45.656234094813776</v>
      </c>
      <c r="BK204" s="101">
        <f>$P$120*Module!$I$7*X204*Module!$I$5</f>
        <v>0</v>
      </c>
      <c r="BL204" s="151">
        <f t="shared" si="69"/>
        <v>247.65623409481378</v>
      </c>
    </row>
    <row r="205" spans="23:64" ht="19.5" hidden="1" customHeight="1" thickBot="1">
      <c r="W205" s="777"/>
      <c r="X205" s="121">
        <f t="shared" si="70"/>
        <v>1</v>
      </c>
      <c r="Y205" s="122">
        <f>'calcul pneu pour calculateur'!P206</f>
        <v>182.60335665934892</v>
      </c>
      <c r="Z205" s="123">
        <f t="shared" si="62"/>
        <v>365.20671331869784</v>
      </c>
      <c r="AA205" s="123">
        <f t="shared" si="63"/>
        <v>547.81006997804673</v>
      </c>
      <c r="AB205" s="123">
        <f t="shared" si="64"/>
        <v>730.41342663739567</v>
      </c>
      <c r="AC205" s="123">
        <f t="shared" si="65"/>
        <v>913.01678329674462</v>
      </c>
      <c r="AK205" s="121">
        <f t="shared" si="71"/>
        <v>1</v>
      </c>
      <c r="AL205" s="101">
        <f t="shared" ref="AL205:AL268" si="72">$H$63</f>
        <v>0</v>
      </c>
      <c r="AM205" s="101">
        <f>10+Module!$K$57/($Z$1+1)</f>
        <v>133.65759122654444</v>
      </c>
      <c r="AN205" s="101">
        <f>$Z$1*(25+Module!$I$6)</f>
        <v>50.5</v>
      </c>
      <c r="AO205" s="101">
        <f>(AM205*($Z$1+1)*0.002488974)/($Z$1+1)*Module!$I$5*Module!$I$7</f>
        <v>102.62345540579445</v>
      </c>
      <c r="AP205" s="101">
        <f>$P$120*Module!$I$7*X205*Module!$I$5</f>
        <v>2.2580795855898352</v>
      </c>
      <c r="AQ205" s="151">
        <f t="shared" si="66"/>
        <v>1000000</v>
      </c>
      <c r="AS205" s="101">
        <f t="shared" ref="AS205:AS268" si="73">$H$63</f>
        <v>0</v>
      </c>
      <c r="AT205" s="101">
        <f>10+Module!$K$57/($AA$1+1)</f>
        <v>92.438394151029627</v>
      </c>
      <c r="AU205" s="101">
        <f>$AA$1*(25+Module!$I$6)</f>
        <v>101</v>
      </c>
      <c r="AV205" s="101">
        <f>(AT205*($Z$1+1)*0.002488974)/($Z$1+1)*Module!$I$5*Module!$I$7</f>
        <v>70.974999121916298</v>
      </c>
      <c r="AW205" s="101">
        <f>$P$120*Module!$I$7*X205*Module!$I$5</f>
        <v>2.2580795855898352</v>
      </c>
      <c r="AX205" s="151">
        <f t="shared" si="67"/>
        <v>1000000</v>
      </c>
      <c r="AZ205" s="101">
        <f t="shared" ref="AZ205:AZ268" si="74">$H$63</f>
        <v>0</v>
      </c>
      <c r="BA205" s="101">
        <f>10+Module!$K$57/($AB$1+1)</f>
        <v>71.82879561327222</v>
      </c>
      <c r="BB205" s="101">
        <f>$AB$1*(25+Module!$I$6)</f>
        <v>151.5</v>
      </c>
      <c r="BC205" s="101">
        <f>(BA205*($AB$1+1)*0.002488974)/($AB$1+1)*Module!$I$5*Module!$I$7</f>
        <v>55.150770979977231</v>
      </c>
      <c r="BD205" s="101">
        <f>$P$120*Module!$I$7*X205*Module!$I$5</f>
        <v>2.2580795855898352</v>
      </c>
      <c r="BE205" s="151">
        <f t="shared" si="68"/>
        <v>1000000</v>
      </c>
      <c r="BG205" s="101">
        <f t="shared" ref="BG205:BG268" si="75">$H$63</f>
        <v>0</v>
      </c>
      <c r="BH205" s="101">
        <f>10+Module!$K$57/($AC$1+1)</f>
        <v>59.463036490617775</v>
      </c>
      <c r="BI205" s="101">
        <f>$AC$1*(25+Module!$I$6)</f>
        <v>202</v>
      </c>
      <c r="BJ205" s="101">
        <f>(BH205*($AC$1+1)*0.002488974)/($AC$1+1)*Module!$I$5*Module!$I$7</f>
        <v>45.656234094813776</v>
      </c>
      <c r="BK205" s="101">
        <f>$P$120*Module!$I$7*X205*Module!$I$5</f>
        <v>2.2580795855898352</v>
      </c>
      <c r="BL205" s="151">
        <f t="shared" si="69"/>
        <v>1000000</v>
      </c>
    </row>
    <row r="206" spans="23:64" ht="19.5" hidden="1" customHeight="1" thickBot="1">
      <c r="W206" s="777"/>
      <c r="X206" s="121">
        <f t="shared" si="70"/>
        <v>2</v>
      </c>
      <c r="Y206" s="122">
        <f>'calcul pneu pour calculateur'!P207</f>
        <v>182.11665838210749</v>
      </c>
      <c r="Z206" s="123">
        <f t="shared" si="62"/>
        <v>364.23331676421498</v>
      </c>
      <c r="AA206" s="123">
        <f t="shared" si="63"/>
        <v>546.34997514632244</v>
      </c>
      <c r="AB206" s="123">
        <f t="shared" si="64"/>
        <v>728.46663352842995</v>
      </c>
      <c r="AC206" s="123">
        <f t="shared" si="65"/>
        <v>910.58329191053747</v>
      </c>
      <c r="AK206" s="121">
        <f t="shared" si="71"/>
        <v>2</v>
      </c>
      <c r="AL206" s="101">
        <f t="shared" si="72"/>
        <v>0</v>
      </c>
      <c r="AM206" s="101">
        <f>10+Module!$K$57/($Z$1+1)</f>
        <v>133.65759122654444</v>
      </c>
      <c r="AN206" s="101">
        <f>$Z$1*(25+Module!$I$6)</f>
        <v>50.5</v>
      </c>
      <c r="AO206" s="101">
        <f>(AM206*($Z$1+1)*0.002488974)/($Z$1+1)*Module!$I$5*Module!$I$7</f>
        <v>102.62345540579445</v>
      </c>
      <c r="AP206" s="101">
        <f>$P$120*Module!$I$7*X206*Module!$I$5</f>
        <v>4.5161591711796705</v>
      </c>
      <c r="AQ206" s="151">
        <f t="shared" si="66"/>
        <v>1000000</v>
      </c>
      <c r="AS206" s="101">
        <f t="shared" si="73"/>
        <v>0</v>
      </c>
      <c r="AT206" s="101">
        <f>10+Module!$K$57/($AA$1+1)</f>
        <v>92.438394151029627</v>
      </c>
      <c r="AU206" s="101">
        <f>$AA$1*(25+Module!$I$6)</f>
        <v>101</v>
      </c>
      <c r="AV206" s="101">
        <f>(AT206*($Z$1+1)*0.002488974)/($Z$1+1)*Module!$I$5*Module!$I$7</f>
        <v>70.974999121916298</v>
      </c>
      <c r="AW206" s="101">
        <f>$P$120*Module!$I$7*X206*Module!$I$5</f>
        <v>4.5161591711796705</v>
      </c>
      <c r="AX206" s="151">
        <f t="shared" si="67"/>
        <v>1000000</v>
      </c>
      <c r="AZ206" s="101">
        <f t="shared" si="74"/>
        <v>0</v>
      </c>
      <c r="BA206" s="101">
        <f>10+Module!$K$57/($AB$1+1)</f>
        <v>71.82879561327222</v>
      </c>
      <c r="BB206" s="101">
        <f>$AB$1*(25+Module!$I$6)</f>
        <v>151.5</v>
      </c>
      <c r="BC206" s="101">
        <f>(BA206*($AB$1+1)*0.002488974)/($AB$1+1)*Module!$I$5*Module!$I$7</f>
        <v>55.150770979977231</v>
      </c>
      <c r="BD206" s="101">
        <f>$P$120*Module!$I$7*X206*Module!$I$5</f>
        <v>4.5161591711796705</v>
      </c>
      <c r="BE206" s="151">
        <f t="shared" si="68"/>
        <v>1000000</v>
      </c>
      <c r="BG206" s="101">
        <f t="shared" si="75"/>
        <v>0</v>
      </c>
      <c r="BH206" s="101">
        <f>10+Module!$K$57/($AC$1+1)</f>
        <v>59.463036490617775</v>
      </c>
      <c r="BI206" s="101">
        <f>$AC$1*(25+Module!$I$6)</f>
        <v>202</v>
      </c>
      <c r="BJ206" s="101">
        <f>(BH206*($AC$1+1)*0.002488974)/($AC$1+1)*Module!$I$5*Module!$I$7</f>
        <v>45.656234094813776</v>
      </c>
      <c r="BK206" s="101">
        <f>$P$120*Module!$I$7*X206*Module!$I$5</f>
        <v>4.5161591711796705</v>
      </c>
      <c r="BL206" s="151">
        <f t="shared" si="69"/>
        <v>1000000</v>
      </c>
    </row>
    <row r="207" spans="23:64" ht="19.5" hidden="1" customHeight="1" thickBot="1">
      <c r="W207" s="777"/>
      <c r="X207" s="121">
        <f t="shared" si="70"/>
        <v>3</v>
      </c>
      <c r="Y207" s="122">
        <f>'calcul pneu pour calculateur'!P208</f>
        <v>181.62996010486606</v>
      </c>
      <c r="Z207" s="123">
        <f t="shared" si="62"/>
        <v>363.25992020973212</v>
      </c>
      <c r="AA207" s="123">
        <f t="shared" si="63"/>
        <v>544.88988031459814</v>
      </c>
      <c r="AB207" s="123">
        <f t="shared" si="64"/>
        <v>726.51984041946423</v>
      </c>
      <c r="AC207" s="123">
        <f t="shared" si="65"/>
        <v>908.14980052433032</v>
      </c>
      <c r="AK207" s="121">
        <f t="shared" si="71"/>
        <v>3</v>
      </c>
      <c r="AL207" s="101">
        <f t="shared" si="72"/>
        <v>0</v>
      </c>
      <c r="AM207" s="101">
        <f>10+Module!$K$57/($Z$1+1)</f>
        <v>133.65759122654444</v>
      </c>
      <c r="AN207" s="101">
        <f>$Z$1*(25+Module!$I$6)</f>
        <v>50.5</v>
      </c>
      <c r="AO207" s="101">
        <f>(AM207*($Z$1+1)*0.002488974)/($Z$1+1)*Module!$I$5*Module!$I$7</f>
        <v>102.62345540579445</v>
      </c>
      <c r="AP207" s="101">
        <f>$P$120*Module!$I$7*X207*Module!$I$5</f>
        <v>6.774238756769507</v>
      </c>
      <c r="AQ207" s="151">
        <f t="shared" si="66"/>
        <v>1000000</v>
      </c>
      <c r="AS207" s="101">
        <f t="shared" si="73"/>
        <v>0</v>
      </c>
      <c r="AT207" s="101">
        <f>10+Module!$K$57/($AA$1+1)</f>
        <v>92.438394151029627</v>
      </c>
      <c r="AU207" s="101">
        <f>$AA$1*(25+Module!$I$6)</f>
        <v>101</v>
      </c>
      <c r="AV207" s="101">
        <f>(AT207*($Z$1+1)*0.002488974)/($Z$1+1)*Module!$I$5*Module!$I$7</f>
        <v>70.974999121916298</v>
      </c>
      <c r="AW207" s="101">
        <f>$P$120*Module!$I$7*X207*Module!$I$5</f>
        <v>6.774238756769507</v>
      </c>
      <c r="AX207" s="151">
        <f t="shared" si="67"/>
        <v>1000000</v>
      </c>
      <c r="AZ207" s="101">
        <f t="shared" si="74"/>
        <v>0</v>
      </c>
      <c r="BA207" s="101">
        <f>10+Module!$K$57/($AB$1+1)</f>
        <v>71.82879561327222</v>
      </c>
      <c r="BB207" s="101">
        <f>$AB$1*(25+Module!$I$6)</f>
        <v>151.5</v>
      </c>
      <c r="BC207" s="101">
        <f>(BA207*($AB$1+1)*0.002488974)/($AB$1+1)*Module!$I$5*Module!$I$7</f>
        <v>55.150770979977231</v>
      </c>
      <c r="BD207" s="101">
        <f>$P$120*Module!$I$7*X207*Module!$I$5</f>
        <v>6.774238756769507</v>
      </c>
      <c r="BE207" s="151">
        <f t="shared" si="68"/>
        <v>1000000</v>
      </c>
      <c r="BG207" s="101">
        <f t="shared" si="75"/>
        <v>0</v>
      </c>
      <c r="BH207" s="101">
        <f>10+Module!$K$57/($AC$1+1)</f>
        <v>59.463036490617775</v>
      </c>
      <c r="BI207" s="101">
        <f>$AC$1*(25+Module!$I$6)</f>
        <v>202</v>
      </c>
      <c r="BJ207" s="101">
        <f>(BH207*($AC$1+1)*0.002488974)/($AC$1+1)*Module!$I$5*Module!$I$7</f>
        <v>45.656234094813776</v>
      </c>
      <c r="BK207" s="101">
        <f>$P$120*Module!$I$7*X207*Module!$I$5</f>
        <v>6.774238756769507</v>
      </c>
      <c r="BL207" s="151">
        <f t="shared" si="69"/>
        <v>1000000</v>
      </c>
    </row>
    <row r="208" spans="23:64" ht="19.5" hidden="1" customHeight="1" thickBot="1">
      <c r="W208" s="777"/>
      <c r="X208" s="121">
        <f t="shared" si="70"/>
        <v>4</v>
      </c>
      <c r="Y208" s="122">
        <f>'calcul pneu pour calculateur'!P209</f>
        <v>181.1432618276246</v>
      </c>
      <c r="Z208" s="123">
        <f t="shared" si="62"/>
        <v>362.2865236552492</v>
      </c>
      <c r="AA208" s="123">
        <f t="shared" si="63"/>
        <v>543.42978548287374</v>
      </c>
      <c r="AB208" s="123">
        <f t="shared" si="64"/>
        <v>724.5730473104984</v>
      </c>
      <c r="AC208" s="123">
        <f t="shared" si="65"/>
        <v>905.71630913812305</v>
      </c>
      <c r="AK208" s="121">
        <f t="shared" si="71"/>
        <v>4</v>
      </c>
      <c r="AL208" s="101">
        <f t="shared" si="72"/>
        <v>0</v>
      </c>
      <c r="AM208" s="101">
        <f>10+Module!$K$57/($Z$1+1)</f>
        <v>133.65759122654444</v>
      </c>
      <c r="AN208" s="101">
        <f>$Z$1*(25+Module!$I$6)</f>
        <v>50.5</v>
      </c>
      <c r="AO208" s="101">
        <f>(AM208*($Z$1+1)*0.002488974)/($Z$1+1)*Module!$I$5*Module!$I$7</f>
        <v>102.62345540579445</v>
      </c>
      <c r="AP208" s="101">
        <f>$P$120*Module!$I$7*X208*Module!$I$5</f>
        <v>9.0323183423593409</v>
      </c>
      <c r="AQ208" s="151">
        <f t="shared" si="66"/>
        <v>1000000</v>
      </c>
      <c r="AS208" s="101">
        <f t="shared" si="73"/>
        <v>0</v>
      </c>
      <c r="AT208" s="101">
        <f>10+Module!$K$57/($AA$1+1)</f>
        <v>92.438394151029627</v>
      </c>
      <c r="AU208" s="101">
        <f>$AA$1*(25+Module!$I$6)</f>
        <v>101</v>
      </c>
      <c r="AV208" s="101">
        <f>(AT208*($Z$1+1)*0.002488974)/($Z$1+1)*Module!$I$5*Module!$I$7</f>
        <v>70.974999121916298</v>
      </c>
      <c r="AW208" s="101">
        <f>$P$120*Module!$I$7*X208*Module!$I$5</f>
        <v>9.0323183423593409</v>
      </c>
      <c r="AX208" s="151">
        <f t="shared" si="67"/>
        <v>1000000</v>
      </c>
      <c r="AZ208" s="101">
        <f t="shared" si="74"/>
        <v>0</v>
      </c>
      <c r="BA208" s="101">
        <f>10+Module!$K$57/($AB$1+1)</f>
        <v>71.82879561327222</v>
      </c>
      <c r="BB208" s="101">
        <f>$AB$1*(25+Module!$I$6)</f>
        <v>151.5</v>
      </c>
      <c r="BC208" s="101">
        <f>(BA208*($AB$1+1)*0.002488974)/($AB$1+1)*Module!$I$5*Module!$I$7</f>
        <v>55.150770979977231</v>
      </c>
      <c r="BD208" s="101">
        <f>$P$120*Module!$I$7*X208*Module!$I$5</f>
        <v>9.0323183423593409</v>
      </c>
      <c r="BE208" s="151">
        <f t="shared" si="68"/>
        <v>1000000</v>
      </c>
      <c r="BG208" s="101">
        <f t="shared" si="75"/>
        <v>0</v>
      </c>
      <c r="BH208" s="101">
        <f>10+Module!$K$57/($AC$1+1)</f>
        <v>59.463036490617775</v>
      </c>
      <c r="BI208" s="101">
        <f>$AC$1*(25+Module!$I$6)</f>
        <v>202</v>
      </c>
      <c r="BJ208" s="101">
        <f>(BH208*($AC$1+1)*0.002488974)/($AC$1+1)*Module!$I$5*Module!$I$7</f>
        <v>45.656234094813776</v>
      </c>
      <c r="BK208" s="101">
        <f>$P$120*Module!$I$7*X208*Module!$I$5</f>
        <v>9.0323183423593409</v>
      </c>
      <c r="BL208" s="151">
        <f t="shared" si="69"/>
        <v>1000000</v>
      </c>
    </row>
    <row r="209" spans="23:64" ht="19.5" hidden="1" customHeight="1" thickBot="1">
      <c r="W209" s="777"/>
      <c r="X209" s="121">
        <f t="shared" si="70"/>
        <v>5</v>
      </c>
      <c r="Y209" s="122">
        <f>'calcul pneu pour calculateur'!P210</f>
        <v>180.65656355038317</v>
      </c>
      <c r="Z209" s="123">
        <f t="shared" si="62"/>
        <v>361.31312710076634</v>
      </c>
      <c r="AA209" s="123">
        <f t="shared" si="63"/>
        <v>541.96969065114945</v>
      </c>
      <c r="AB209" s="123">
        <f t="shared" si="64"/>
        <v>722.62625420153267</v>
      </c>
      <c r="AC209" s="123">
        <f t="shared" si="65"/>
        <v>903.2828177519159</v>
      </c>
      <c r="AK209" s="121">
        <f t="shared" si="71"/>
        <v>5</v>
      </c>
      <c r="AL209" s="101">
        <f t="shared" si="72"/>
        <v>0</v>
      </c>
      <c r="AM209" s="101">
        <f>10+Module!$K$57/($Z$1+1)</f>
        <v>133.65759122654444</v>
      </c>
      <c r="AN209" s="101">
        <f>$Z$1*(25+Module!$I$6)</f>
        <v>50.5</v>
      </c>
      <c r="AO209" s="101">
        <f>(AM209*($Z$1+1)*0.002488974)/($Z$1+1)*Module!$I$5*Module!$I$7</f>
        <v>102.62345540579445</v>
      </c>
      <c r="AP209" s="101">
        <f>$P$120*Module!$I$7*X209*Module!$I$5</f>
        <v>11.290397927949178</v>
      </c>
      <c r="AQ209" s="151">
        <f t="shared" si="66"/>
        <v>1000000</v>
      </c>
      <c r="AS209" s="101">
        <f t="shared" si="73"/>
        <v>0</v>
      </c>
      <c r="AT209" s="101">
        <f>10+Module!$K$57/($AA$1+1)</f>
        <v>92.438394151029627</v>
      </c>
      <c r="AU209" s="101">
        <f>$AA$1*(25+Module!$I$6)</f>
        <v>101</v>
      </c>
      <c r="AV209" s="101">
        <f>(AT209*($Z$1+1)*0.002488974)/($Z$1+1)*Module!$I$5*Module!$I$7</f>
        <v>70.974999121916298</v>
      </c>
      <c r="AW209" s="101">
        <f>$P$120*Module!$I$7*X209*Module!$I$5</f>
        <v>11.290397927949178</v>
      </c>
      <c r="AX209" s="151">
        <f t="shared" si="67"/>
        <v>1000000</v>
      </c>
      <c r="AZ209" s="101">
        <f t="shared" si="74"/>
        <v>0</v>
      </c>
      <c r="BA209" s="101">
        <f>10+Module!$K$57/($AB$1+1)</f>
        <v>71.82879561327222</v>
      </c>
      <c r="BB209" s="101">
        <f>$AB$1*(25+Module!$I$6)</f>
        <v>151.5</v>
      </c>
      <c r="BC209" s="101">
        <f>(BA209*($AB$1+1)*0.002488974)/($AB$1+1)*Module!$I$5*Module!$I$7</f>
        <v>55.150770979977231</v>
      </c>
      <c r="BD209" s="101">
        <f>$P$120*Module!$I$7*X209*Module!$I$5</f>
        <v>11.290397927949178</v>
      </c>
      <c r="BE209" s="151">
        <f t="shared" si="68"/>
        <v>1000000</v>
      </c>
      <c r="BG209" s="101">
        <f t="shared" si="75"/>
        <v>0</v>
      </c>
      <c r="BH209" s="101">
        <f>10+Module!$K$57/($AC$1+1)</f>
        <v>59.463036490617775</v>
      </c>
      <c r="BI209" s="101">
        <f>$AC$1*(25+Module!$I$6)</f>
        <v>202</v>
      </c>
      <c r="BJ209" s="101">
        <f>(BH209*($AC$1+1)*0.002488974)/($AC$1+1)*Module!$I$5*Module!$I$7</f>
        <v>45.656234094813776</v>
      </c>
      <c r="BK209" s="101">
        <f>$P$120*Module!$I$7*X209*Module!$I$5</f>
        <v>11.290397927949178</v>
      </c>
      <c r="BL209" s="151">
        <f t="shared" si="69"/>
        <v>1000000</v>
      </c>
    </row>
    <row r="210" spans="23:64" ht="19.5" hidden="1" customHeight="1" thickBot="1">
      <c r="W210" s="777"/>
      <c r="X210" s="121">
        <f t="shared" si="70"/>
        <v>6</v>
      </c>
      <c r="Y210" s="122">
        <f>'calcul pneu pour calculateur'!P211</f>
        <v>180.16986527314174</v>
      </c>
      <c r="Z210" s="123">
        <f t="shared" si="62"/>
        <v>360.33973054628348</v>
      </c>
      <c r="AA210" s="123">
        <f t="shared" si="63"/>
        <v>540.50959581942516</v>
      </c>
      <c r="AB210" s="123">
        <f t="shared" si="64"/>
        <v>720.67946109256695</v>
      </c>
      <c r="AC210" s="123">
        <f t="shared" si="65"/>
        <v>900.84932636570875</v>
      </c>
      <c r="AK210" s="121">
        <f t="shared" si="71"/>
        <v>6</v>
      </c>
      <c r="AL210" s="101">
        <f t="shared" si="72"/>
        <v>0</v>
      </c>
      <c r="AM210" s="101">
        <f>10+Module!$K$57/($Z$1+1)</f>
        <v>133.65759122654444</v>
      </c>
      <c r="AN210" s="101">
        <f>$Z$1*(25+Module!$I$6)</f>
        <v>50.5</v>
      </c>
      <c r="AO210" s="101">
        <f>(AM210*($Z$1+1)*0.002488974)/($Z$1+1)*Module!$I$5*Module!$I$7</f>
        <v>102.62345540579445</v>
      </c>
      <c r="AP210" s="101">
        <f>$P$120*Module!$I$7*X210*Module!$I$5</f>
        <v>13.548477513539014</v>
      </c>
      <c r="AQ210" s="151">
        <f t="shared" si="66"/>
        <v>1000000</v>
      </c>
      <c r="AS210" s="101">
        <f t="shared" si="73"/>
        <v>0</v>
      </c>
      <c r="AT210" s="101">
        <f>10+Module!$K$57/($AA$1+1)</f>
        <v>92.438394151029627</v>
      </c>
      <c r="AU210" s="101">
        <f>$AA$1*(25+Module!$I$6)</f>
        <v>101</v>
      </c>
      <c r="AV210" s="101">
        <f>(AT210*($Z$1+1)*0.002488974)/($Z$1+1)*Module!$I$5*Module!$I$7</f>
        <v>70.974999121916298</v>
      </c>
      <c r="AW210" s="101">
        <f>$P$120*Module!$I$7*X210*Module!$I$5</f>
        <v>13.548477513539014</v>
      </c>
      <c r="AX210" s="151">
        <f t="shared" si="67"/>
        <v>1000000</v>
      </c>
      <c r="AZ210" s="101">
        <f t="shared" si="74"/>
        <v>0</v>
      </c>
      <c r="BA210" s="101">
        <f>10+Module!$K$57/($AB$1+1)</f>
        <v>71.82879561327222</v>
      </c>
      <c r="BB210" s="101">
        <f>$AB$1*(25+Module!$I$6)</f>
        <v>151.5</v>
      </c>
      <c r="BC210" s="101">
        <f>(BA210*($AB$1+1)*0.002488974)/($AB$1+1)*Module!$I$5*Module!$I$7</f>
        <v>55.150770979977231</v>
      </c>
      <c r="BD210" s="101">
        <f>$P$120*Module!$I$7*X210*Module!$I$5</f>
        <v>13.548477513539014</v>
      </c>
      <c r="BE210" s="151">
        <f t="shared" si="68"/>
        <v>1000000</v>
      </c>
      <c r="BG210" s="101">
        <f t="shared" si="75"/>
        <v>0</v>
      </c>
      <c r="BH210" s="101">
        <f>10+Module!$K$57/($AC$1+1)</f>
        <v>59.463036490617775</v>
      </c>
      <c r="BI210" s="101">
        <f>$AC$1*(25+Module!$I$6)</f>
        <v>202</v>
      </c>
      <c r="BJ210" s="101">
        <f>(BH210*($AC$1+1)*0.002488974)/($AC$1+1)*Module!$I$5*Module!$I$7</f>
        <v>45.656234094813776</v>
      </c>
      <c r="BK210" s="101">
        <f>$P$120*Module!$I$7*X210*Module!$I$5</f>
        <v>13.548477513539014</v>
      </c>
      <c r="BL210" s="151">
        <f t="shared" si="69"/>
        <v>1000000</v>
      </c>
    </row>
    <row r="211" spans="23:64" ht="19.5" hidden="1" customHeight="1" thickBot="1">
      <c r="W211" s="777"/>
      <c r="X211" s="121">
        <f t="shared" si="70"/>
        <v>7</v>
      </c>
      <c r="Y211" s="122">
        <f>'calcul pneu pour calculateur'!P212</f>
        <v>179.68316699590031</v>
      </c>
      <c r="Z211" s="123">
        <f t="shared" si="62"/>
        <v>359.36633399180062</v>
      </c>
      <c r="AA211" s="123">
        <f t="shared" si="63"/>
        <v>539.04950098770087</v>
      </c>
      <c r="AB211" s="123">
        <f t="shared" si="64"/>
        <v>718.73266798360123</v>
      </c>
      <c r="AC211" s="123">
        <f t="shared" si="65"/>
        <v>898.4158349795016</v>
      </c>
      <c r="AK211" s="121">
        <f t="shared" si="71"/>
        <v>7</v>
      </c>
      <c r="AL211" s="101">
        <f t="shared" si="72"/>
        <v>0</v>
      </c>
      <c r="AM211" s="101">
        <f>10+Module!$K$57/($Z$1+1)</f>
        <v>133.65759122654444</v>
      </c>
      <c r="AN211" s="101">
        <f>$Z$1*(25+Module!$I$6)</f>
        <v>50.5</v>
      </c>
      <c r="AO211" s="101">
        <f>(AM211*($Z$1+1)*0.002488974)/($Z$1+1)*Module!$I$5*Module!$I$7</f>
        <v>102.62345540579445</v>
      </c>
      <c r="AP211" s="101">
        <f>$P$120*Module!$I$7*X211*Module!$I$5</f>
        <v>15.806557099128847</v>
      </c>
      <c r="AQ211" s="151">
        <f t="shared" si="66"/>
        <v>1000000</v>
      </c>
      <c r="AS211" s="101">
        <f t="shared" si="73"/>
        <v>0</v>
      </c>
      <c r="AT211" s="101">
        <f>10+Module!$K$57/($AA$1+1)</f>
        <v>92.438394151029627</v>
      </c>
      <c r="AU211" s="101">
        <f>$AA$1*(25+Module!$I$6)</f>
        <v>101</v>
      </c>
      <c r="AV211" s="101">
        <f>(AT211*($Z$1+1)*0.002488974)/($Z$1+1)*Module!$I$5*Module!$I$7</f>
        <v>70.974999121916298</v>
      </c>
      <c r="AW211" s="101">
        <f>$P$120*Module!$I$7*X211*Module!$I$5</f>
        <v>15.806557099128847</v>
      </c>
      <c r="AX211" s="151">
        <f t="shared" si="67"/>
        <v>1000000</v>
      </c>
      <c r="AZ211" s="101">
        <f t="shared" si="74"/>
        <v>0</v>
      </c>
      <c r="BA211" s="101">
        <f>10+Module!$K$57/($AB$1+1)</f>
        <v>71.82879561327222</v>
      </c>
      <c r="BB211" s="101">
        <f>$AB$1*(25+Module!$I$6)</f>
        <v>151.5</v>
      </c>
      <c r="BC211" s="101">
        <f>(BA211*($AB$1+1)*0.002488974)/($AB$1+1)*Module!$I$5*Module!$I$7</f>
        <v>55.150770979977231</v>
      </c>
      <c r="BD211" s="101">
        <f>$P$120*Module!$I$7*X211*Module!$I$5</f>
        <v>15.806557099128847</v>
      </c>
      <c r="BE211" s="151">
        <f t="shared" si="68"/>
        <v>1000000</v>
      </c>
      <c r="BG211" s="101">
        <f t="shared" si="75"/>
        <v>0</v>
      </c>
      <c r="BH211" s="101">
        <f>10+Module!$K$57/($AC$1+1)</f>
        <v>59.463036490617775</v>
      </c>
      <c r="BI211" s="101">
        <f>$AC$1*(25+Module!$I$6)</f>
        <v>202</v>
      </c>
      <c r="BJ211" s="101">
        <f>(BH211*($AC$1+1)*0.002488974)/($AC$1+1)*Module!$I$5*Module!$I$7</f>
        <v>45.656234094813776</v>
      </c>
      <c r="BK211" s="101">
        <f>$P$120*Module!$I$7*X211*Module!$I$5</f>
        <v>15.806557099128847</v>
      </c>
      <c r="BL211" s="151">
        <f t="shared" si="69"/>
        <v>1000000</v>
      </c>
    </row>
    <row r="212" spans="23:64" ht="19.5" hidden="1" customHeight="1" thickBot="1">
      <c r="W212" s="777"/>
      <c r="X212" s="121">
        <f t="shared" si="70"/>
        <v>8</v>
      </c>
      <c r="Y212" s="122">
        <f>'calcul pneu pour calculateur'!P213</f>
        <v>179.19646871865885</v>
      </c>
      <c r="Z212" s="123">
        <f t="shared" si="62"/>
        <v>358.3929374373177</v>
      </c>
      <c r="AA212" s="123">
        <f t="shared" si="63"/>
        <v>537.58940615597658</v>
      </c>
      <c r="AB212" s="123">
        <f t="shared" si="64"/>
        <v>716.7858748746354</v>
      </c>
      <c r="AC212" s="123">
        <f t="shared" si="65"/>
        <v>895.98234359329422</v>
      </c>
      <c r="AK212" s="121">
        <f t="shared" si="71"/>
        <v>8</v>
      </c>
      <c r="AL212" s="101">
        <f t="shared" si="72"/>
        <v>0</v>
      </c>
      <c r="AM212" s="101">
        <f>10+Module!$K$57/($Z$1+1)</f>
        <v>133.65759122654444</v>
      </c>
      <c r="AN212" s="101">
        <f>$Z$1*(25+Module!$I$6)</f>
        <v>50.5</v>
      </c>
      <c r="AO212" s="101">
        <f>(AM212*($Z$1+1)*0.002488974)/($Z$1+1)*Module!$I$5*Module!$I$7</f>
        <v>102.62345540579445</v>
      </c>
      <c r="AP212" s="101">
        <f>$P$120*Module!$I$7*X212*Module!$I$5</f>
        <v>18.064636684718682</v>
      </c>
      <c r="AQ212" s="151">
        <f t="shared" si="66"/>
        <v>1000000</v>
      </c>
      <c r="AS212" s="101">
        <f t="shared" si="73"/>
        <v>0</v>
      </c>
      <c r="AT212" s="101">
        <f>10+Module!$K$57/($AA$1+1)</f>
        <v>92.438394151029627</v>
      </c>
      <c r="AU212" s="101">
        <f>$AA$1*(25+Module!$I$6)</f>
        <v>101</v>
      </c>
      <c r="AV212" s="101">
        <f>(AT212*($Z$1+1)*0.002488974)/($Z$1+1)*Module!$I$5*Module!$I$7</f>
        <v>70.974999121916298</v>
      </c>
      <c r="AW212" s="101">
        <f>$P$120*Module!$I$7*X212*Module!$I$5</f>
        <v>18.064636684718682</v>
      </c>
      <c r="AX212" s="151">
        <f t="shared" si="67"/>
        <v>1000000</v>
      </c>
      <c r="AZ212" s="101">
        <f t="shared" si="74"/>
        <v>0</v>
      </c>
      <c r="BA212" s="101">
        <f>10+Module!$K$57/($AB$1+1)</f>
        <v>71.82879561327222</v>
      </c>
      <c r="BB212" s="101">
        <f>$AB$1*(25+Module!$I$6)</f>
        <v>151.5</v>
      </c>
      <c r="BC212" s="101">
        <f>(BA212*($AB$1+1)*0.002488974)/($AB$1+1)*Module!$I$5*Module!$I$7</f>
        <v>55.150770979977231</v>
      </c>
      <c r="BD212" s="101">
        <f>$P$120*Module!$I$7*X212*Module!$I$5</f>
        <v>18.064636684718682</v>
      </c>
      <c r="BE212" s="151">
        <f t="shared" si="68"/>
        <v>1000000</v>
      </c>
      <c r="BG212" s="101">
        <f t="shared" si="75"/>
        <v>0</v>
      </c>
      <c r="BH212" s="101">
        <f>10+Module!$K$57/($AC$1+1)</f>
        <v>59.463036490617775</v>
      </c>
      <c r="BI212" s="101">
        <f>$AC$1*(25+Module!$I$6)</f>
        <v>202</v>
      </c>
      <c r="BJ212" s="101">
        <f>(BH212*($AC$1+1)*0.002488974)/($AC$1+1)*Module!$I$5*Module!$I$7</f>
        <v>45.656234094813776</v>
      </c>
      <c r="BK212" s="101">
        <f>$P$120*Module!$I$7*X212*Module!$I$5</f>
        <v>18.064636684718682</v>
      </c>
      <c r="BL212" s="151">
        <f t="shared" si="69"/>
        <v>1000000</v>
      </c>
    </row>
    <row r="213" spans="23:64" ht="19.5" hidden="1" customHeight="1" thickBot="1">
      <c r="W213" s="777"/>
      <c r="X213" s="121">
        <f t="shared" si="70"/>
        <v>9</v>
      </c>
      <c r="Y213" s="122">
        <f>'calcul pneu pour calculateur'!P214</f>
        <v>178.70977044141742</v>
      </c>
      <c r="Z213" s="123">
        <f t="shared" si="62"/>
        <v>357.41954088283484</v>
      </c>
      <c r="AA213" s="123">
        <f t="shared" si="63"/>
        <v>536.12931132425228</v>
      </c>
      <c r="AB213" s="123">
        <f t="shared" si="64"/>
        <v>714.83908176566968</v>
      </c>
      <c r="AC213" s="123">
        <f t="shared" si="65"/>
        <v>893.54885220708707</v>
      </c>
      <c r="AK213" s="121">
        <f t="shared" si="71"/>
        <v>9</v>
      </c>
      <c r="AL213" s="101">
        <f t="shared" si="72"/>
        <v>0</v>
      </c>
      <c r="AM213" s="101">
        <f>10+Module!$K$57/($Z$1+1)</f>
        <v>133.65759122654444</v>
      </c>
      <c r="AN213" s="101">
        <f>$Z$1*(25+Module!$I$6)</f>
        <v>50.5</v>
      </c>
      <c r="AO213" s="101">
        <f>(AM213*($Z$1+1)*0.002488974)/($Z$1+1)*Module!$I$5*Module!$I$7</f>
        <v>102.62345540579445</v>
      </c>
      <c r="AP213" s="101">
        <f>$P$120*Module!$I$7*X213*Module!$I$5</f>
        <v>20.322716270308518</v>
      </c>
      <c r="AQ213" s="151">
        <f t="shared" si="66"/>
        <v>1000000</v>
      </c>
      <c r="AS213" s="101">
        <f t="shared" si="73"/>
        <v>0</v>
      </c>
      <c r="AT213" s="101">
        <f>10+Module!$K$57/($AA$1+1)</f>
        <v>92.438394151029627</v>
      </c>
      <c r="AU213" s="101">
        <f>$AA$1*(25+Module!$I$6)</f>
        <v>101</v>
      </c>
      <c r="AV213" s="101">
        <f>(AT213*($Z$1+1)*0.002488974)/($Z$1+1)*Module!$I$5*Module!$I$7</f>
        <v>70.974999121916298</v>
      </c>
      <c r="AW213" s="101">
        <f>$P$120*Module!$I$7*X213*Module!$I$5</f>
        <v>20.322716270308518</v>
      </c>
      <c r="AX213" s="151">
        <f t="shared" si="67"/>
        <v>1000000</v>
      </c>
      <c r="AZ213" s="101">
        <f t="shared" si="74"/>
        <v>0</v>
      </c>
      <c r="BA213" s="101">
        <f>10+Module!$K$57/($AB$1+1)</f>
        <v>71.82879561327222</v>
      </c>
      <c r="BB213" s="101">
        <f>$AB$1*(25+Module!$I$6)</f>
        <v>151.5</v>
      </c>
      <c r="BC213" s="101">
        <f>(BA213*($AB$1+1)*0.002488974)/($AB$1+1)*Module!$I$5*Module!$I$7</f>
        <v>55.150770979977231</v>
      </c>
      <c r="BD213" s="101">
        <f>$P$120*Module!$I$7*X213*Module!$I$5</f>
        <v>20.322716270308518</v>
      </c>
      <c r="BE213" s="151">
        <f t="shared" si="68"/>
        <v>1000000</v>
      </c>
      <c r="BG213" s="101">
        <f t="shared" si="75"/>
        <v>0</v>
      </c>
      <c r="BH213" s="101">
        <f>10+Module!$K$57/($AC$1+1)</f>
        <v>59.463036490617775</v>
      </c>
      <c r="BI213" s="101">
        <f>$AC$1*(25+Module!$I$6)</f>
        <v>202</v>
      </c>
      <c r="BJ213" s="101">
        <f>(BH213*($AC$1+1)*0.002488974)/($AC$1+1)*Module!$I$5*Module!$I$7</f>
        <v>45.656234094813776</v>
      </c>
      <c r="BK213" s="101">
        <f>$P$120*Module!$I$7*X213*Module!$I$5</f>
        <v>20.322716270308518</v>
      </c>
      <c r="BL213" s="151">
        <f t="shared" si="69"/>
        <v>1000000</v>
      </c>
    </row>
    <row r="214" spans="23:64" ht="19.5" hidden="1" customHeight="1" thickBot="1">
      <c r="W214" s="777"/>
      <c r="X214" s="121">
        <f t="shared" si="70"/>
        <v>10</v>
      </c>
      <c r="Y214" s="122">
        <f>'calcul pneu pour calculateur'!P215</f>
        <v>178.22307216417599</v>
      </c>
      <c r="Z214" s="123">
        <f t="shared" si="62"/>
        <v>356.44614432835198</v>
      </c>
      <c r="AA214" s="123">
        <f t="shared" si="63"/>
        <v>534.66921649252799</v>
      </c>
      <c r="AB214" s="123">
        <f t="shared" si="64"/>
        <v>712.89228865670395</v>
      </c>
      <c r="AC214" s="123">
        <f t="shared" si="65"/>
        <v>891.11536082087991</v>
      </c>
      <c r="AK214" s="121">
        <f t="shared" si="71"/>
        <v>10</v>
      </c>
      <c r="AL214" s="101">
        <f t="shared" si="72"/>
        <v>0</v>
      </c>
      <c r="AM214" s="101">
        <f>10+Module!$K$57/($Z$1+1)</f>
        <v>133.65759122654444</v>
      </c>
      <c r="AN214" s="101">
        <f>$Z$1*(25+Module!$I$6)</f>
        <v>50.5</v>
      </c>
      <c r="AO214" s="101">
        <f>(AM214*($Z$1+1)*0.002488974)/($Z$1+1)*Module!$I$5*Module!$I$7</f>
        <v>102.62345540579445</v>
      </c>
      <c r="AP214" s="101">
        <f>$P$120*Module!$I$7*X214*Module!$I$5</f>
        <v>22.580795855898355</v>
      </c>
      <c r="AQ214" s="151">
        <f t="shared" si="66"/>
        <v>1000000</v>
      </c>
      <c r="AS214" s="101">
        <f t="shared" si="73"/>
        <v>0</v>
      </c>
      <c r="AT214" s="101">
        <f>10+Module!$K$57/($AA$1+1)</f>
        <v>92.438394151029627</v>
      </c>
      <c r="AU214" s="101">
        <f>$AA$1*(25+Module!$I$6)</f>
        <v>101</v>
      </c>
      <c r="AV214" s="101">
        <f>(AT214*($Z$1+1)*0.002488974)/($Z$1+1)*Module!$I$5*Module!$I$7</f>
        <v>70.974999121916298</v>
      </c>
      <c r="AW214" s="101">
        <f>$P$120*Module!$I$7*X214*Module!$I$5</f>
        <v>22.580795855898355</v>
      </c>
      <c r="AX214" s="151">
        <f t="shared" si="67"/>
        <v>1000000</v>
      </c>
      <c r="AZ214" s="101">
        <f t="shared" si="74"/>
        <v>0</v>
      </c>
      <c r="BA214" s="101">
        <f>10+Module!$K$57/($AB$1+1)</f>
        <v>71.82879561327222</v>
      </c>
      <c r="BB214" s="101">
        <f>$AB$1*(25+Module!$I$6)</f>
        <v>151.5</v>
      </c>
      <c r="BC214" s="101">
        <f>(BA214*($AB$1+1)*0.002488974)/($AB$1+1)*Module!$I$5*Module!$I$7</f>
        <v>55.150770979977231</v>
      </c>
      <c r="BD214" s="101">
        <f>$P$120*Module!$I$7*X214*Module!$I$5</f>
        <v>22.580795855898355</v>
      </c>
      <c r="BE214" s="151">
        <f t="shared" si="68"/>
        <v>1000000</v>
      </c>
      <c r="BG214" s="101">
        <f t="shared" si="75"/>
        <v>0</v>
      </c>
      <c r="BH214" s="101">
        <f>10+Module!$K$57/($AC$1+1)</f>
        <v>59.463036490617775</v>
      </c>
      <c r="BI214" s="101">
        <f>$AC$1*(25+Module!$I$6)</f>
        <v>202</v>
      </c>
      <c r="BJ214" s="101">
        <f>(BH214*($AC$1+1)*0.002488974)/($AC$1+1)*Module!$I$5*Module!$I$7</f>
        <v>45.656234094813776</v>
      </c>
      <c r="BK214" s="101">
        <f>$P$120*Module!$I$7*X214*Module!$I$5</f>
        <v>22.580795855898355</v>
      </c>
      <c r="BL214" s="151">
        <f t="shared" si="69"/>
        <v>1000000</v>
      </c>
    </row>
    <row r="215" spans="23:64" ht="19.5" hidden="1" customHeight="1" thickBot="1">
      <c r="W215" s="777"/>
      <c r="X215" s="121">
        <f t="shared" si="70"/>
        <v>11</v>
      </c>
      <c r="Y215" s="122">
        <f>'calcul pneu pour calculateur'!P216</f>
        <v>177.73637388693453</v>
      </c>
      <c r="Z215" s="123">
        <f t="shared" si="62"/>
        <v>355.47274777386906</v>
      </c>
      <c r="AA215" s="123">
        <f t="shared" si="63"/>
        <v>533.20912166080359</v>
      </c>
      <c r="AB215" s="123">
        <f t="shared" si="64"/>
        <v>710.94549554773812</v>
      </c>
      <c r="AC215" s="123">
        <f t="shared" si="65"/>
        <v>888.68186943467265</v>
      </c>
      <c r="AK215" s="121">
        <f t="shared" si="71"/>
        <v>11</v>
      </c>
      <c r="AL215" s="101">
        <f t="shared" si="72"/>
        <v>0</v>
      </c>
      <c r="AM215" s="101">
        <f>10+Module!$K$57/($Z$1+1)</f>
        <v>133.65759122654444</v>
      </c>
      <c r="AN215" s="101">
        <f>$Z$1*(25+Module!$I$6)</f>
        <v>50.5</v>
      </c>
      <c r="AO215" s="101">
        <f>(AM215*($Z$1+1)*0.002488974)/($Z$1+1)*Module!$I$5*Module!$I$7</f>
        <v>102.62345540579445</v>
      </c>
      <c r="AP215" s="101">
        <f>$P$120*Module!$I$7*X215*Module!$I$5</f>
        <v>24.838875441488192</v>
      </c>
      <c r="AQ215" s="151">
        <f t="shared" si="66"/>
        <v>1000000</v>
      </c>
      <c r="AS215" s="101">
        <f t="shared" si="73"/>
        <v>0</v>
      </c>
      <c r="AT215" s="101">
        <f>10+Module!$K$57/($AA$1+1)</f>
        <v>92.438394151029627</v>
      </c>
      <c r="AU215" s="101">
        <f>$AA$1*(25+Module!$I$6)</f>
        <v>101</v>
      </c>
      <c r="AV215" s="101">
        <f>(AT215*($Z$1+1)*0.002488974)/($Z$1+1)*Module!$I$5*Module!$I$7</f>
        <v>70.974999121916298</v>
      </c>
      <c r="AW215" s="101">
        <f>$P$120*Module!$I$7*X215*Module!$I$5</f>
        <v>24.838875441488192</v>
      </c>
      <c r="AX215" s="151">
        <f t="shared" si="67"/>
        <v>1000000</v>
      </c>
      <c r="AZ215" s="101">
        <f t="shared" si="74"/>
        <v>0</v>
      </c>
      <c r="BA215" s="101">
        <f>10+Module!$K$57/($AB$1+1)</f>
        <v>71.82879561327222</v>
      </c>
      <c r="BB215" s="101">
        <f>$AB$1*(25+Module!$I$6)</f>
        <v>151.5</v>
      </c>
      <c r="BC215" s="101">
        <f>(BA215*($AB$1+1)*0.002488974)/($AB$1+1)*Module!$I$5*Module!$I$7</f>
        <v>55.150770979977231</v>
      </c>
      <c r="BD215" s="101">
        <f>$P$120*Module!$I$7*X215*Module!$I$5</f>
        <v>24.838875441488192</v>
      </c>
      <c r="BE215" s="151">
        <f t="shared" si="68"/>
        <v>1000000</v>
      </c>
      <c r="BG215" s="101">
        <f t="shared" si="75"/>
        <v>0</v>
      </c>
      <c r="BH215" s="101">
        <f>10+Module!$K$57/($AC$1+1)</f>
        <v>59.463036490617775</v>
      </c>
      <c r="BI215" s="101">
        <f>$AC$1*(25+Module!$I$6)</f>
        <v>202</v>
      </c>
      <c r="BJ215" s="101">
        <f>(BH215*($AC$1+1)*0.002488974)/($AC$1+1)*Module!$I$5*Module!$I$7</f>
        <v>45.656234094813776</v>
      </c>
      <c r="BK215" s="101">
        <f>$P$120*Module!$I$7*X215*Module!$I$5</f>
        <v>24.838875441488192</v>
      </c>
      <c r="BL215" s="151">
        <f t="shared" si="69"/>
        <v>1000000</v>
      </c>
    </row>
    <row r="216" spans="23:64" ht="19.5" hidden="1" customHeight="1" thickBot="1">
      <c r="W216" s="777"/>
      <c r="X216" s="121">
        <f t="shared" si="70"/>
        <v>12</v>
      </c>
      <c r="Y216" s="122">
        <f>'calcul pneu pour calculateur'!P217</f>
        <v>177.2496756096931</v>
      </c>
      <c r="Z216" s="123">
        <f t="shared" si="62"/>
        <v>354.4993512193862</v>
      </c>
      <c r="AA216" s="123">
        <f t="shared" si="63"/>
        <v>531.7490268290793</v>
      </c>
      <c r="AB216" s="123">
        <f t="shared" si="64"/>
        <v>708.9987024387724</v>
      </c>
      <c r="AC216" s="123">
        <f t="shared" si="65"/>
        <v>886.2483780484655</v>
      </c>
      <c r="AK216" s="121">
        <f t="shared" si="71"/>
        <v>12</v>
      </c>
      <c r="AL216" s="101">
        <f t="shared" si="72"/>
        <v>0</v>
      </c>
      <c r="AM216" s="101">
        <f>10+Module!$K$57/($Z$1+1)</f>
        <v>133.65759122654444</v>
      </c>
      <c r="AN216" s="101">
        <f>$Z$1*(25+Module!$I$6)</f>
        <v>50.5</v>
      </c>
      <c r="AO216" s="101">
        <f>(AM216*($Z$1+1)*0.002488974)/($Z$1+1)*Module!$I$5*Module!$I$7</f>
        <v>102.62345540579445</v>
      </c>
      <c r="AP216" s="101">
        <f>$P$120*Module!$I$7*X216*Module!$I$5</f>
        <v>27.096955027078028</v>
      </c>
      <c r="AQ216" s="151">
        <f t="shared" si="66"/>
        <v>1000000</v>
      </c>
      <c r="AS216" s="101">
        <f t="shared" si="73"/>
        <v>0</v>
      </c>
      <c r="AT216" s="101">
        <f>10+Module!$K$57/($AA$1+1)</f>
        <v>92.438394151029627</v>
      </c>
      <c r="AU216" s="101">
        <f>$AA$1*(25+Module!$I$6)</f>
        <v>101</v>
      </c>
      <c r="AV216" s="101">
        <f>(AT216*($Z$1+1)*0.002488974)/($Z$1+1)*Module!$I$5*Module!$I$7</f>
        <v>70.974999121916298</v>
      </c>
      <c r="AW216" s="101">
        <f>$P$120*Module!$I$7*X216*Module!$I$5</f>
        <v>27.096955027078028</v>
      </c>
      <c r="AX216" s="151">
        <f t="shared" si="67"/>
        <v>1000000</v>
      </c>
      <c r="AZ216" s="101">
        <f t="shared" si="74"/>
        <v>0</v>
      </c>
      <c r="BA216" s="101">
        <f>10+Module!$K$57/($AB$1+1)</f>
        <v>71.82879561327222</v>
      </c>
      <c r="BB216" s="101">
        <f>$AB$1*(25+Module!$I$6)</f>
        <v>151.5</v>
      </c>
      <c r="BC216" s="101">
        <f>(BA216*($AB$1+1)*0.002488974)/($AB$1+1)*Module!$I$5*Module!$I$7</f>
        <v>55.150770979977231</v>
      </c>
      <c r="BD216" s="101">
        <f>$P$120*Module!$I$7*X216*Module!$I$5</f>
        <v>27.096955027078028</v>
      </c>
      <c r="BE216" s="151">
        <f t="shared" si="68"/>
        <v>1000000</v>
      </c>
      <c r="BG216" s="101">
        <f t="shared" si="75"/>
        <v>0</v>
      </c>
      <c r="BH216" s="101">
        <f>10+Module!$K$57/($AC$1+1)</f>
        <v>59.463036490617775</v>
      </c>
      <c r="BI216" s="101">
        <f>$AC$1*(25+Module!$I$6)</f>
        <v>202</v>
      </c>
      <c r="BJ216" s="101">
        <f>(BH216*($AC$1+1)*0.002488974)/($AC$1+1)*Module!$I$5*Module!$I$7</f>
        <v>45.656234094813776</v>
      </c>
      <c r="BK216" s="101">
        <f>$P$120*Module!$I$7*X216*Module!$I$5</f>
        <v>27.096955027078028</v>
      </c>
      <c r="BL216" s="151">
        <f t="shared" si="69"/>
        <v>1000000</v>
      </c>
    </row>
    <row r="217" spans="23:64" ht="19.5" hidden="1" customHeight="1" thickBot="1">
      <c r="W217" s="777"/>
      <c r="X217" s="121">
        <f t="shared" si="70"/>
        <v>13</v>
      </c>
      <c r="Y217" s="122">
        <f>'calcul pneu pour calculateur'!P218</f>
        <v>176.76297733245167</v>
      </c>
      <c r="Z217" s="123">
        <f t="shared" si="62"/>
        <v>353.52595466490334</v>
      </c>
      <c r="AA217" s="123">
        <f t="shared" si="63"/>
        <v>530.28893199735501</v>
      </c>
      <c r="AB217" s="123">
        <f t="shared" si="64"/>
        <v>707.05190932980668</v>
      </c>
      <c r="AC217" s="123">
        <f t="shared" si="65"/>
        <v>883.81488666225835</v>
      </c>
      <c r="AK217" s="121">
        <f t="shared" si="71"/>
        <v>13</v>
      </c>
      <c r="AL217" s="101">
        <f t="shared" si="72"/>
        <v>0</v>
      </c>
      <c r="AM217" s="101">
        <f>10+Module!$K$57/($Z$1+1)</f>
        <v>133.65759122654444</v>
      </c>
      <c r="AN217" s="101">
        <f>$Z$1*(25+Module!$I$6)</f>
        <v>50.5</v>
      </c>
      <c r="AO217" s="101">
        <f>(AM217*($Z$1+1)*0.002488974)/($Z$1+1)*Module!$I$5*Module!$I$7</f>
        <v>102.62345540579445</v>
      </c>
      <c r="AP217" s="101">
        <f>$P$120*Module!$I$7*X217*Module!$I$5</f>
        <v>29.355034612667861</v>
      </c>
      <c r="AQ217" s="151">
        <f t="shared" si="66"/>
        <v>1000000</v>
      </c>
      <c r="AS217" s="101">
        <f t="shared" si="73"/>
        <v>0</v>
      </c>
      <c r="AT217" s="101">
        <f>10+Module!$K$57/($AA$1+1)</f>
        <v>92.438394151029627</v>
      </c>
      <c r="AU217" s="101">
        <f>$AA$1*(25+Module!$I$6)</f>
        <v>101</v>
      </c>
      <c r="AV217" s="101">
        <f>(AT217*($Z$1+1)*0.002488974)/($Z$1+1)*Module!$I$5*Module!$I$7</f>
        <v>70.974999121916298</v>
      </c>
      <c r="AW217" s="101">
        <f>$P$120*Module!$I$7*X217*Module!$I$5</f>
        <v>29.355034612667861</v>
      </c>
      <c r="AX217" s="151">
        <f t="shared" si="67"/>
        <v>1000000</v>
      </c>
      <c r="AZ217" s="101">
        <f t="shared" si="74"/>
        <v>0</v>
      </c>
      <c r="BA217" s="101">
        <f>10+Module!$K$57/($AB$1+1)</f>
        <v>71.82879561327222</v>
      </c>
      <c r="BB217" s="101">
        <f>$AB$1*(25+Module!$I$6)</f>
        <v>151.5</v>
      </c>
      <c r="BC217" s="101">
        <f>(BA217*($AB$1+1)*0.002488974)/($AB$1+1)*Module!$I$5*Module!$I$7</f>
        <v>55.150770979977231</v>
      </c>
      <c r="BD217" s="101">
        <f>$P$120*Module!$I$7*X217*Module!$I$5</f>
        <v>29.355034612667861</v>
      </c>
      <c r="BE217" s="151">
        <f t="shared" si="68"/>
        <v>1000000</v>
      </c>
      <c r="BG217" s="101">
        <f t="shared" si="75"/>
        <v>0</v>
      </c>
      <c r="BH217" s="101">
        <f>10+Module!$K$57/($AC$1+1)</f>
        <v>59.463036490617775</v>
      </c>
      <c r="BI217" s="101">
        <f>$AC$1*(25+Module!$I$6)</f>
        <v>202</v>
      </c>
      <c r="BJ217" s="101">
        <f>(BH217*($AC$1+1)*0.002488974)/($AC$1+1)*Module!$I$5*Module!$I$7</f>
        <v>45.656234094813776</v>
      </c>
      <c r="BK217" s="101">
        <f>$P$120*Module!$I$7*X217*Module!$I$5</f>
        <v>29.355034612667861</v>
      </c>
      <c r="BL217" s="151">
        <f t="shared" si="69"/>
        <v>1000000</v>
      </c>
    </row>
    <row r="218" spans="23:64" ht="19.5" hidden="1" customHeight="1" thickBot="1">
      <c r="W218" s="777"/>
      <c r="X218" s="121">
        <f t="shared" si="70"/>
        <v>14</v>
      </c>
      <c r="Y218" s="122">
        <f>'calcul pneu pour calculateur'!P219</f>
        <v>176.27627905521024</v>
      </c>
      <c r="Z218" s="123">
        <f t="shared" si="62"/>
        <v>352.55255811042048</v>
      </c>
      <c r="AA218" s="123">
        <f t="shared" si="63"/>
        <v>528.82883716563072</v>
      </c>
      <c r="AB218" s="123">
        <f t="shared" si="64"/>
        <v>705.10511622084096</v>
      </c>
      <c r="AC218" s="123">
        <f t="shared" si="65"/>
        <v>881.38139527605119</v>
      </c>
      <c r="AK218" s="121">
        <f t="shared" si="71"/>
        <v>14</v>
      </c>
      <c r="AL218" s="101">
        <f t="shared" si="72"/>
        <v>0</v>
      </c>
      <c r="AM218" s="101">
        <f>10+Module!$K$57/($Z$1+1)</f>
        <v>133.65759122654444</v>
      </c>
      <c r="AN218" s="101">
        <f>$Z$1*(25+Module!$I$6)</f>
        <v>50.5</v>
      </c>
      <c r="AO218" s="101">
        <f>(AM218*($Z$1+1)*0.002488974)/($Z$1+1)*Module!$I$5*Module!$I$7</f>
        <v>102.62345540579445</v>
      </c>
      <c r="AP218" s="101">
        <f>$P$120*Module!$I$7*X218*Module!$I$5</f>
        <v>31.613114198257694</v>
      </c>
      <c r="AQ218" s="151">
        <f t="shared" si="66"/>
        <v>1000000</v>
      </c>
      <c r="AS218" s="101">
        <f t="shared" si="73"/>
        <v>0</v>
      </c>
      <c r="AT218" s="101">
        <f>10+Module!$K$57/($AA$1+1)</f>
        <v>92.438394151029627</v>
      </c>
      <c r="AU218" s="101">
        <f>$AA$1*(25+Module!$I$6)</f>
        <v>101</v>
      </c>
      <c r="AV218" s="101">
        <f>(AT218*($Z$1+1)*0.002488974)/($Z$1+1)*Module!$I$5*Module!$I$7</f>
        <v>70.974999121916298</v>
      </c>
      <c r="AW218" s="101">
        <f>$P$120*Module!$I$7*X218*Module!$I$5</f>
        <v>31.613114198257694</v>
      </c>
      <c r="AX218" s="151">
        <f t="shared" si="67"/>
        <v>1000000</v>
      </c>
      <c r="AZ218" s="101">
        <f t="shared" si="74"/>
        <v>0</v>
      </c>
      <c r="BA218" s="101">
        <f>10+Module!$K$57/($AB$1+1)</f>
        <v>71.82879561327222</v>
      </c>
      <c r="BB218" s="101">
        <f>$AB$1*(25+Module!$I$6)</f>
        <v>151.5</v>
      </c>
      <c r="BC218" s="101">
        <f>(BA218*($AB$1+1)*0.002488974)/($AB$1+1)*Module!$I$5*Module!$I$7</f>
        <v>55.150770979977231</v>
      </c>
      <c r="BD218" s="101">
        <f>$P$120*Module!$I$7*X218*Module!$I$5</f>
        <v>31.613114198257694</v>
      </c>
      <c r="BE218" s="151">
        <f t="shared" si="68"/>
        <v>1000000</v>
      </c>
      <c r="BG218" s="101">
        <f t="shared" si="75"/>
        <v>0</v>
      </c>
      <c r="BH218" s="101">
        <f>10+Module!$K$57/($AC$1+1)</f>
        <v>59.463036490617775</v>
      </c>
      <c r="BI218" s="101">
        <f>$AC$1*(25+Module!$I$6)</f>
        <v>202</v>
      </c>
      <c r="BJ218" s="101">
        <f>(BH218*($AC$1+1)*0.002488974)/($AC$1+1)*Module!$I$5*Module!$I$7</f>
        <v>45.656234094813776</v>
      </c>
      <c r="BK218" s="101">
        <f>$P$120*Module!$I$7*X218*Module!$I$5</f>
        <v>31.613114198257694</v>
      </c>
      <c r="BL218" s="151">
        <f t="shared" si="69"/>
        <v>1000000</v>
      </c>
    </row>
    <row r="219" spans="23:64" ht="19.5" hidden="1" customHeight="1" thickBot="1">
      <c r="W219" s="777"/>
      <c r="X219" s="121">
        <f t="shared" si="70"/>
        <v>15</v>
      </c>
      <c r="Y219" s="122">
        <f>'calcul pneu pour calculateur'!P220</f>
        <v>175.78958077796878</v>
      </c>
      <c r="Z219" s="123">
        <f t="shared" si="62"/>
        <v>351.57916155593756</v>
      </c>
      <c r="AA219" s="123">
        <f t="shared" si="63"/>
        <v>527.36874233390631</v>
      </c>
      <c r="AB219" s="123">
        <f t="shared" si="64"/>
        <v>703.15832311187512</v>
      </c>
      <c r="AC219" s="123">
        <f t="shared" si="65"/>
        <v>878.94790388984393</v>
      </c>
      <c r="AK219" s="121">
        <f t="shared" si="71"/>
        <v>15</v>
      </c>
      <c r="AL219" s="101">
        <f t="shared" si="72"/>
        <v>0</v>
      </c>
      <c r="AM219" s="101">
        <f>10+Module!$K$57/($Z$1+1)</f>
        <v>133.65759122654444</v>
      </c>
      <c r="AN219" s="101">
        <f>$Z$1*(25+Module!$I$6)</f>
        <v>50.5</v>
      </c>
      <c r="AO219" s="101">
        <f>(AM219*($Z$1+1)*0.002488974)/($Z$1+1)*Module!$I$5*Module!$I$7</f>
        <v>102.62345540579445</v>
      </c>
      <c r="AP219" s="101">
        <f>$P$120*Module!$I$7*X219*Module!$I$5</f>
        <v>33.871193783847531</v>
      </c>
      <c r="AQ219" s="151">
        <f t="shared" si="66"/>
        <v>1000000</v>
      </c>
      <c r="AS219" s="101">
        <f t="shared" si="73"/>
        <v>0</v>
      </c>
      <c r="AT219" s="101">
        <f>10+Module!$K$57/($AA$1+1)</f>
        <v>92.438394151029627</v>
      </c>
      <c r="AU219" s="101">
        <f>$AA$1*(25+Module!$I$6)</f>
        <v>101</v>
      </c>
      <c r="AV219" s="101">
        <f>(AT219*($Z$1+1)*0.002488974)/($Z$1+1)*Module!$I$5*Module!$I$7</f>
        <v>70.974999121916298</v>
      </c>
      <c r="AW219" s="101">
        <f>$P$120*Module!$I$7*X219*Module!$I$5</f>
        <v>33.871193783847531</v>
      </c>
      <c r="AX219" s="151">
        <f t="shared" si="67"/>
        <v>1000000</v>
      </c>
      <c r="AZ219" s="101">
        <f t="shared" si="74"/>
        <v>0</v>
      </c>
      <c r="BA219" s="101">
        <f>10+Module!$K$57/($AB$1+1)</f>
        <v>71.82879561327222</v>
      </c>
      <c r="BB219" s="101">
        <f>$AB$1*(25+Module!$I$6)</f>
        <v>151.5</v>
      </c>
      <c r="BC219" s="101">
        <f>(BA219*($AB$1+1)*0.002488974)/($AB$1+1)*Module!$I$5*Module!$I$7</f>
        <v>55.150770979977231</v>
      </c>
      <c r="BD219" s="101">
        <f>$P$120*Module!$I$7*X219*Module!$I$5</f>
        <v>33.871193783847531</v>
      </c>
      <c r="BE219" s="151">
        <f t="shared" si="68"/>
        <v>1000000</v>
      </c>
      <c r="BG219" s="101">
        <f t="shared" si="75"/>
        <v>0</v>
      </c>
      <c r="BH219" s="101">
        <f>10+Module!$K$57/($AC$1+1)</f>
        <v>59.463036490617775</v>
      </c>
      <c r="BI219" s="101">
        <f>$AC$1*(25+Module!$I$6)</f>
        <v>202</v>
      </c>
      <c r="BJ219" s="101">
        <f>(BH219*($AC$1+1)*0.002488974)/($AC$1+1)*Module!$I$5*Module!$I$7</f>
        <v>45.656234094813776</v>
      </c>
      <c r="BK219" s="101">
        <f>$P$120*Module!$I$7*X219*Module!$I$5</f>
        <v>33.871193783847531</v>
      </c>
      <c r="BL219" s="151">
        <f t="shared" si="69"/>
        <v>1000000</v>
      </c>
    </row>
    <row r="220" spans="23:64" ht="19.5" hidden="1" customHeight="1" thickBot="1">
      <c r="W220" s="777"/>
      <c r="X220" s="121">
        <f t="shared" si="70"/>
        <v>16</v>
      </c>
      <c r="Y220" s="122">
        <f>'calcul pneu pour calculateur'!P221</f>
        <v>175.30288250072735</v>
      </c>
      <c r="Z220" s="123">
        <f t="shared" si="62"/>
        <v>350.6057650014547</v>
      </c>
      <c r="AA220" s="123">
        <f t="shared" si="63"/>
        <v>525.90864750218202</v>
      </c>
      <c r="AB220" s="123">
        <f t="shared" si="64"/>
        <v>701.2115300029094</v>
      </c>
      <c r="AC220" s="123">
        <f t="shared" si="65"/>
        <v>876.51441250363678</v>
      </c>
      <c r="AK220" s="121">
        <f t="shared" si="71"/>
        <v>16</v>
      </c>
      <c r="AL220" s="101">
        <f t="shared" si="72"/>
        <v>0</v>
      </c>
      <c r="AM220" s="101">
        <f>10+Module!$K$57/($Z$1+1)</f>
        <v>133.65759122654444</v>
      </c>
      <c r="AN220" s="101">
        <f>$Z$1*(25+Module!$I$6)</f>
        <v>50.5</v>
      </c>
      <c r="AO220" s="101">
        <f>(AM220*($Z$1+1)*0.002488974)/($Z$1+1)*Module!$I$5*Module!$I$7</f>
        <v>102.62345540579445</v>
      </c>
      <c r="AP220" s="101">
        <f>$P$120*Module!$I$7*X220*Module!$I$5</f>
        <v>36.129273369437364</v>
      </c>
      <c r="AQ220" s="151">
        <f t="shared" si="66"/>
        <v>1000000</v>
      </c>
      <c r="AS220" s="101">
        <f t="shared" si="73"/>
        <v>0</v>
      </c>
      <c r="AT220" s="101">
        <f>10+Module!$K$57/($AA$1+1)</f>
        <v>92.438394151029627</v>
      </c>
      <c r="AU220" s="101">
        <f>$AA$1*(25+Module!$I$6)</f>
        <v>101</v>
      </c>
      <c r="AV220" s="101">
        <f>(AT220*($Z$1+1)*0.002488974)/($Z$1+1)*Module!$I$5*Module!$I$7</f>
        <v>70.974999121916298</v>
      </c>
      <c r="AW220" s="101">
        <f>$P$120*Module!$I$7*X220*Module!$I$5</f>
        <v>36.129273369437364</v>
      </c>
      <c r="AX220" s="151">
        <f t="shared" si="67"/>
        <v>1000000</v>
      </c>
      <c r="AZ220" s="101">
        <f t="shared" si="74"/>
        <v>0</v>
      </c>
      <c r="BA220" s="101">
        <f>10+Module!$K$57/($AB$1+1)</f>
        <v>71.82879561327222</v>
      </c>
      <c r="BB220" s="101">
        <f>$AB$1*(25+Module!$I$6)</f>
        <v>151.5</v>
      </c>
      <c r="BC220" s="101">
        <f>(BA220*($AB$1+1)*0.002488974)/($AB$1+1)*Module!$I$5*Module!$I$7</f>
        <v>55.150770979977231</v>
      </c>
      <c r="BD220" s="101">
        <f>$P$120*Module!$I$7*X220*Module!$I$5</f>
        <v>36.129273369437364</v>
      </c>
      <c r="BE220" s="151">
        <f t="shared" si="68"/>
        <v>1000000</v>
      </c>
      <c r="BG220" s="101">
        <f t="shared" si="75"/>
        <v>0</v>
      </c>
      <c r="BH220" s="101">
        <f>10+Module!$K$57/($AC$1+1)</f>
        <v>59.463036490617775</v>
      </c>
      <c r="BI220" s="101">
        <f>$AC$1*(25+Module!$I$6)</f>
        <v>202</v>
      </c>
      <c r="BJ220" s="101">
        <f>(BH220*($AC$1+1)*0.002488974)/($AC$1+1)*Module!$I$5*Module!$I$7</f>
        <v>45.656234094813776</v>
      </c>
      <c r="BK220" s="101">
        <f>$P$120*Module!$I$7*X220*Module!$I$5</f>
        <v>36.129273369437364</v>
      </c>
      <c r="BL220" s="151">
        <f t="shared" si="69"/>
        <v>1000000</v>
      </c>
    </row>
    <row r="221" spans="23:64" ht="19.5" hidden="1" customHeight="1" thickBot="1">
      <c r="W221" s="777"/>
      <c r="X221" s="121">
        <f t="shared" si="70"/>
        <v>17</v>
      </c>
      <c r="Y221" s="122">
        <f>'calcul pneu pour calculateur'!P222</f>
        <v>174.81618422348589</v>
      </c>
      <c r="Z221" s="123">
        <f t="shared" si="62"/>
        <v>349.63236844697178</v>
      </c>
      <c r="AA221" s="123">
        <f t="shared" si="63"/>
        <v>524.44855267045773</v>
      </c>
      <c r="AB221" s="123">
        <f t="shared" si="64"/>
        <v>699.26473689394356</v>
      </c>
      <c r="AC221" s="123">
        <f t="shared" si="65"/>
        <v>874.0809211174294</v>
      </c>
      <c r="AK221" s="121">
        <f t="shared" si="71"/>
        <v>17</v>
      </c>
      <c r="AL221" s="101">
        <f t="shared" si="72"/>
        <v>0</v>
      </c>
      <c r="AM221" s="101">
        <f>10+Module!$K$57/($Z$1+1)</f>
        <v>133.65759122654444</v>
      </c>
      <c r="AN221" s="101">
        <f>$Z$1*(25+Module!$I$6)</f>
        <v>50.5</v>
      </c>
      <c r="AO221" s="101">
        <f>(AM221*($Z$1+1)*0.002488974)/($Z$1+1)*Module!$I$5*Module!$I$7</f>
        <v>102.62345540579445</v>
      </c>
      <c r="AP221" s="101">
        <f>$P$120*Module!$I$7*X221*Module!$I$5</f>
        <v>38.387352955027204</v>
      </c>
      <c r="AQ221" s="151">
        <f t="shared" si="66"/>
        <v>1000000</v>
      </c>
      <c r="AS221" s="101">
        <f t="shared" si="73"/>
        <v>0</v>
      </c>
      <c r="AT221" s="101">
        <f>10+Module!$K$57/($AA$1+1)</f>
        <v>92.438394151029627</v>
      </c>
      <c r="AU221" s="101">
        <f>$AA$1*(25+Module!$I$6)</f>
        <v>101</v>
      </c>
      <c r="AV221" s="101">
        <f>(AT221*($Z$1+1)*0.002488974)/($Z$1+1)*Module!$I$5*Module!$I$7</f>
        <v>70.974999121916298</v>
      </c>
      <c r="AW221" s="101">
        <f>$P$120*Module!$I$7*X221*Module!$I$5</f>
        <v>38.387352955027204</v>
      </c>
      <c r="AX221" s="151">
        <f t="shared" si="67"/>
        <v>1000000</v>
      </c>
      <c r="AZ221" s="101">
        <f t="shared" si="74"/>
        <v>0</v>
      </c>
      <c r="BA221" s="101">
        <f>10+Module!$K$57/($AB$1+1)</f>
        <v>71.82879561327222</v>
      </c>
      <c r="BB221" s="101">
        <f>$AB$1*(25+Module!$I$6)</f>
        <v>151.5</v>
      </c>
      <c r="BC221" s="101">
        <f>(BA221*($AB$1+1)*0.002488974)/($AB$1+1)*Module!$I$5*Module!$I$7</f>
        <v>55.150770979977231</v>
      </c>
      <c r="BD221" s="101">
        <f>$P$120*Module!$I$7*X221*Module!$I$5</f>
        <v>38.387352955027204</v>
      </c>
      <c r="BE221" s="151">
        <f t="shared" si="68"/>
        <v>1000000</v>
      </c>
      <c r="BG221" s="101">
        <f t="shared" si="75"/>
        <v>0</v>
      </c>
      <c r="BH221" s="101">
        <f>10+Module!$K$57/($AC$1+1)</f>
        <v>59.463036490617775</v>
      </c>
      <c r="BI221" s="101">
        <f>$AC$1*(25+Module!$I$6)</f>
        <v>202</v>
      </c>
      <c r="BJ221" s="101">
        <f>(BH221*($AC$1+1)*0.002488974)/($AC$1+1)*Module!$I$5*Module!$I$7</f>
        <v>45.656234094813776</v>
      </c>
      <c r="BK221" s="101">
        <f>$P$120*Module!$I$7*X221*Module!$I$5</f>
        <v>38.387352955027204</v>
      </c>
      <c r="BL221" s="151">
        <f t="shared" si="69"/>
        <v>1000000</v>
      </c>
    </row>
    <row r="222" spans="23:64" ht="19.5" hidden="1" customHeight="1" thickBot="1">
      <c r="W222" s="777"/>
      <c r="X222" s="121">
        <f t="shared" si="70"/>
        <v>18</v>
      </c>
      <c r="Y222" s="122">
        <f>'calcul pneu pour calculateur'!P223</f>
        <v>174.32948594624446</v>
      </c>
      <c r="Z222" s="123">
        <f t="shared" si="62"/>
        <v>348.65897189248892</v>
      </c>
      <c r="AA222" s="123">
        <f t="shared" si="63"/>
        <v>522.98845783873344</v>
      </c>
      <c r="AB222" s="123">
        <f t="shared" si="64"/>
        <v>697.31794378497784</v>
      </c>
      <c r="AC222" s="123">
        <f t="shared" si="65"/>
        <v>871.64742973122225</v>
      </c>
      <c r="AK222" s="121">
        <f t="shared" si="71"/>
        <v>18</v>
      </c>
      <c r="AL222" s="101">
        <f t="shared" si="72"/>
        <v>0</v>
      </c>
      <c r="AM222" s="101">
        <f>10+Module!$K$57/($Z$1+1)</f>
        <v>133.65759122654444</v>
      </c>
      <c r="AN222" s="101">
        <f>$Z$1*(25+Module!$I$6)</f>
        <v>50.5</v>
      </c>
      <c r="AO222" s="101">
        <f>(AM222*($Z$1+1)*0.002488974)/($Z$1+1)*Module!$I$5*Module!$I$7</f>
        <v>102.62345540579445</v>
      </c>
      <c r="AP222" s="101">
        <f>$P$120*Module!$I$7*X222*Module!$I$5</f>
        <v>40.645432540617037</v>
      </c>
      <c r="AQ222" s="151">
        <f t="shared" si="66"/>
        <v>1000000</v>
      </c>
      <c r="AS222" s="101">
        <f t="shared" si="73"/>
        <v>0</v>
      </c>
      <c r="AT222" s="101">
        <f>10+Module!$K$57/($AA$1+1)</f>
        <v>92.438394151029627</v>
      </c>
      <c r="AU222" s="101">
        <f>$AA$1*(25+Module!$I$6)</f>
        <v>101</v>
      </c>
      <c r="AV222" s="101">
        <f>(AT222*($Z$1+1)*0.002488974)/($Z$1+1)*Module!$I$5*Module!$I$7</f>
        <v>70.974999121916298</v>
      </c>
      <c r="AW222" s="101">
        <f>$P$120*Module!$I$7*X222*Module!$I$5</f>
        <v>40.645432540617037</v>
      </c>
      <c r="AX222" s="151">
        <f t="shared" si="67"/>
        <v>1000000</v>
      </c>
      <c r="AZ222" s="101">
        <f t="shared" si="74"/>
        <v>0</v>
      </c>
      <c r="BA222" s="101">
        <f>10+Module!$K$57/($AB$1+1)</f>
        <v>71.82879561327222</v>
      </c>
      <c r="BB222" s="101">
        <f>$AB$1*(25+Module!$I$6)</f>
        <v>151.5</v>
      </c>
      <c r="BC222" s="101">
        <f>(BA222*($AB$1+1)*0.002488974)/($AB$1+1)*Module!$I$5*Module!$I$7</f>
        <v>55.150770979977231</v>
      </c>
      <c r="BD222" s="101">
        <f>$P$120*Module!$I$7*X222*Module!$I$5</f>
        <v>40.645432540617037</v>
      </c>
      <c r="BE222" s="151">
        <f t="shared" si="68"/>
        <v>1000000</v>
      </c>
      <c r="BG222" s="101">
        <f t="shared" si="75"/>
        <v>0</v>
      </c>
      <c r="BH222" s="101">
        <f>10+Module!$K$57/($AC$1+1)</f>
        <v>59.463036490617775</v>
      </c>
      <c r="BI222" s="101">
        <f>$AC$1*(25+Module!$I$6)</f>
        <v>202</v>
      </c>
      <c r="BJ222" s="101">
        <f>(BH222*($AC$1+1)*0.002488974)/($AC$1+1)*Module!$I$5*Module!$I$7</f>
        <v>45.656234094813776</v>
      </c>
      <c r="BK222" s="101">
        <f>$P$120*Module!$I$7*X222*Module!$I$5</f>
        <v>40.645432540617037</v>
      </c>
      <c r="BL222" s="151">
        <f t="shared" si="69"/>
        <v>1000000</v>
      </c>
    </row>
    <row r="223" spans="23:64" ht="19.5" hidden="1" customHeight="1" thickBot="1">
      <c r="W223" s="777"/>
      <c r="X223" s="121">
        <f t="shared" si="70"/>
        <v>19</v>
      </c>
      <c r="Y223" s="122">
        <f>'calcul pneu pour calculateur'!P224</f>
        <v>173.84278766900303</v>
      </c>
      <c r="Z223" s="123">
        <f t="shared" si="62"/>
        <v>347.68557533800606</v>
      </c>
      <c r="AA223" s="123">
        <f t="shared" si="63"/>
        <v>521.52836300700915</v>
      </c>
      <c r="AB223" s="123">
        <f t="shared" si="64"/>
        <v>695.37115067601212</v>
      </c>
      <c r="AC223" s="123">
        <f t="shared" si="65"/>
        <v>869.21393834501509</v>
      </c>
      <c r="AK223" s="121">
        <f t="shared" si="71"/>
        <v>19</v>
      </c>
      <c r="AL223" s="101">
        <f t="shared" si="72"/>
        <v>0</v>
      </c>
      <c r="AM223" s="101">
        <f>10+Module!$K$57/($Z$1+1)</f>
        <v>133.65759122654444</v>
      </c>
      <c r="AN223" s="101">
        <f>$Z$1*(25+Module!$I$6)</f>
        <v>50.5</v>
      </c>
      <c r="AO223" s="101">
        <f>(AM223*($Z$1+1)*0.002488974)/($Z$1+1)*Module!$I$5*Module!$I$7</f>
        <v>102.62345540579445</v>
      </c>
      <c r="AP223" s="101">
        <f>$P$120*Module!$I$7*X223*Module!$I$5</f>
        <v>42.903512126206877</v>
      </c>
      <c r="AQ223" s="151">
        <f t="shared" si="66"/>
        <v>1000000</v>
      </c>
      <c r="AS223" s="101">
        <f t="shared" si="73"/>
        <v>0</v>
      </c>
      <c r="AT223" s="101">
        <f>10+Module!$K$57/($AA$1+1)</f>
        <v>92.438394151029627</v>
      </c>
      <c r="AU223" s="101">
        <f>$AA$1*(25+Module!$I$6)</f>
        <v>101</v>
      </c>
      <c r="AV223" s="101">
        <f>(AT223*($Z$1+1)*0.002488974)/($Z$1+1)*Module!$I$5*Module!$I$7</f>
        <v>70.974999121916298</v>
      </c>
      <c r="AW223" s="101">
        <f>$P$120*Module!$I$7*X223*Module!$I$5</f>
        <v>42.903512126206877</v>
      </c>
      <c r="AX223" s="151">
        <f t="shared" si="67"/>
        <v>1000000</v>
      </c>
      <c r="AZ223" s="101">
        <f t="shared" si="74"/>
        <v>0</v>
      </c>
      <c r="BA223" s="101">
        <f>10+Module!$K$57/($AB$1+1)</f>
        <v>71.82879561327222</v>
      </c>
      <c r="BB223" s="101">
        <f>$AB$1*(25+Module!$I$6)</f>
        <v>151.5</v>
      </c>
      <c r="BC223" s="101">
        <f>(BA223*($AB$1+1)*0.002488974)/($AB$1+1)*Module!$I$5*Module!$I$7</f>
        <v>55.150770979977231</v>
      </c>
      <c r="BD223" s="101">
        <f>$P$120*Module!$I$7*X223*Module!$I$5</f>
        <v>42.903512126206877</v>
      </c>
      <c r="BE223" s="151">
        <f t="shared" si="68"/>
        <v>1000000</v>
      </c>
      <c r="BG223" s="101">
        <f t="shared" si="75"/>
        <v>0</v>
      </c>
      <c r="BH223" s="101">
        <f>10+Module!$K$57/($AC$1+1)</f>
        <v>59.463036490617775</v>
      </c>
      <c r="BI223" s="101">
        <f>$AC$1*(25+Module!$I$6)</f>
        <v>202</v>
      </c>
      <c r="BJ223" s="101">
        <f>(BH223*($AC$1+1)*0.002488974)/($AC$1+1)*Module!$I$5*Module!$I$7</f>
        <v>45.656234094813776</v>
      </c>
      <c r="BK223" s="101">
        <f>$P$120*Module!$I$7*X223*Module!$I$5</f>
        <v>42.903512126206877</v>
      </c>
      <c r="BL223" s="151">
        <f t="shared" si="69"/>
        <v>1000000</v>
      </c>
    </row>
    <row r="224" spans="23:64" ht="19.5" hidden="1" customHeight="1" thickBot="1">
      <c r="W224" s="777"/>
      <c r="X224" s="121">
        <f t="shared" si="70"/>
        <v>20</v>
      </c>
      <c r="Y224" s="122">
        <f>'calcul pneu pour calculateur'!P225</f>
        <v>173.3560893917616</v>
      </c>
      <c r="Z224" s="123">
        <f t="shared" si="62"/>
        <v>346.7121787835232</v>
      </c>
      <c r="AA224" s="123">
        <f t="shared" si="63"/>
        <v>520.06826817528486</v>
      </c>
      <c r="AB224" s="123">
        <f t="shared" si="64"/>
        <v>693.4243575670464</v>
      </c>
      <c r="AC224" s="123">
        <f t="shared" si="65"/>
        <v>866.78044695880794</v>
      </c>
      <c r="AK224" s="121">
        <f t="shared" si="71"/>
        <v>20</v>
      </c>
      <c r="AL224" s="101">
        <f t="shared" si="72"/>
        <v>0</v>
      </c>
      <c r="AM224" s="101">
        <f>10+Module!$K$57/($Z$1+1)</f>
        <v>133.65759122654444</v>
      </c>
      <c r="AN224" s="101">
        <f>$Z$1*(25+Module!$I$6)</f>
        <v>50.5</v>
      </c>
      <c r="AO224" s="101">
        <f>(AM224*($Z$1+1)*0.002488974)/($Z$1+1)*Module!$I$5*Module!$I$7</f>
        <v>102.62345540579445</v>
      </c>
      <c r="AP224" s="101">
        <f>$P$120*Module!$I$7*X224*Module!$I$5</f>
        <v>45.16159171179671</v>
      </c>
      <c r="AQ224" s="151">
        <f t="shared" si="66"/>
        <v>1000000</v>
      </c>
      <c r="AS224" s="101">
        <f t="shared" si="73"/>
        <v>0</v>
      </c>
      <c r="AT224" s="101">
        <f>10+Module!$K$57/($AA$1+1)</f>
        <v>92.438394151029627</v>
      </c>
      <c r="AU224" s="101">
        <f>$AA$1*(25+Module!$I$6)</f>
        <v>101</v>
      </c>
      <c r="AV224" s="101">
        <f>(AT224*($Z$1+1)*0.002488974)/($Z$1+1)*Module!$I$5*Module!$I$7</f>
        <v>70.974999121916298</v>
      </c>
      <c r="AW224" s="101">
        <f>$P$120*Module!$I$7*X224*Module!$I$5</f>
        <v>45.16159171179671</v>
      </c>
      <c r="AX224" s="151">
        <f t="shared" si="67"/>
        <v>1000000</v>
      </c>
      <c r="AZ224" s="101">
        <f t="shared" si="74"/>
        <v>0</v>
      </c>
      <c r="BA224" s="101">
        <f>10+Module!$K$57/($AB$1+1)</f>
        <v>71.82879561327222</v>
      </c>
      <c r="BB224" s="101">
        <f>$AB$1*(25+Module!$I$6)</f>
        <v>151.5</v>
      </c>
      <c r="BC224" s="101">
        <f>(BA224*($AB$1+1)*0.002488974)/($AB$1+1)*Module!$I$5*Module!$I$7</f>
        <v>55.150770979977231</v>
      </c>
      <c r="BD224" s="101">
        <f>$P$120*Module!$I$7*X224*Module!$I$5</f>
        <v>45.16159171179671</v>
      </c>
      <c r="BE224" s="151">
        <f t="shared" si="68"/>
        <v>1000000</v>
      </c>
      <c r="BG224" s="101">
        <f t="shared" si="75"/>
        <v>0</v>
      </c>
      <c r="BH224" s="101">
        <f>10+Module!$K$57/($AC$1+1)</f>
        <v>59.463036490617775</v>
      </c>
      <c r="BI224" s="101">
        <f>$AC$1*(25+Module!$I$6)</f>
        <v>202</v>
      </c>
      <c r="BJ224" s="101">
        <f>(BH224*($AC$1+1)*0.002488974)/($AC$1+1)*Module!$I$5*Module!$I$7</f>
        <v>45.656234094813776</v>
      </c>
      <c r="BK224" s="101">
        <f>$P$120*Module!$I$7*X224*Module!$I$5</f>
        <v>45.16159171179671</v>
      </c>
      <c r="BL224" s="151">
        <f t="shared" si="69"/>
        <v>1000000</v>
      </c>
    </row>
    <row r="225" spans="23:64" ht="19.5" hidden="1" customHeight="1" thickBot="1">
      <c r="W225" s="777"/>
      <c r="X225" s="121">
        <f t="shared" si="70"/>
        <v>21</v>
      </c>
      <c r="Y225" s="122">
        <f>'calcul pneu pour calculateur'!P226</f>
        <v>172.86939111452017</v>
      </c>
      <c r="Z225" s="123">
        <f t="shared" si="62"/>
        <v>345.73878222904034</v>
      </c>
      <c r="AA225" s="123">
        <f t="shared" si="63"/>
        <v>518.60817334356057</v>
      </c>
      <c r="AB225" s="123">
        <f t="shared" si="64"/>
        <v>691.47756445808068</v>
      </c>
      <c r="AC225" s="123">
        <f t="shared" si="65"/>
        <v>864.34695557260079</v>
      </c>
      <c r="AK225" s="121">
        <f t="shared" si="71"/>
        <v>21</v>
      </c>
      <c r="AL225" s="101">
        <f t="shared" si="72"/>
        <v>0</v>
      </c>
      <c r="AM225" s="101">
        <f>10+Module!$K$57/($Z$1+1)</f>
        <v>133.65759122654444</v>
      </c>
      <c r="AN225" s="101">
        <f>$Z$1*(25+Module!$I$6)</f>
        <v>50.5</v>
      </c>
      <c r="AO225" s="101">
        <f>(AM225*($Z$1+1)*0.002488974)/($Z$1+1)*Module!$I$5*Module!$I$7</f>
        <v>102.62345540579445</v>
      </c>
      <c r="AP225" s="101">
        <f>$P$120*Module!$I$7*X225*Module!$I$5</f>
        <v>47.41967129738655</v>
      </c>
      <c r="AQ225" s="151">
        <f t="shared" si="66"/>
        <v>1000000</v>
      </c>
      <c r="AS225" s="101">
        <f t="shared" si="73"/>
        <v>0</v>
      </c>
      <c r="AT225" s="101">
        <f>10+Module!$K$57/($AA$1+1)</f>
        <v>92.438394151029627</v>
      </c>
      <c r="AU225" s="101">
        <f>$AA$1*(25+Module!$I$6)</f>
        <v>101</v>
      </c>
      <c r="AV225" s="101">
        <f>(AT225*($Z$1+1)*0.002488974)/($Z$1+1)*Module!$I$5*Module!$I$7</f>
        <v>70.974999121916298</v>
      </c>
      <c r="AW225" s="101">
        <f>$P$120*Module!$I$7*X225*Module!$I$5</f>
        <v>47.41967129738655</v>
      </c>
      <c r="AX225" s="151">
        <f t="shared" si="67"/>
        <v>1000000</v>
      </c>
      <c r="AZ225" s="101">
        <f t="shared" si="74"/>
        <v>0</v>
      </c>
      <c r="BA225" s="101">
        <f>10+Module!$K$57/($AB$1+1)</f>
        <v>71.82879561327222</v>
      </c>
      <c r="BB225" s="101">
        <f>$AB$1*(25+Module!$I$6)</f>
        <v>151.5</v>
      </c>
      <c r="BC225" s="101">
        <f>(BA225*($AB$1+1)*0.002488974)/($AB$1+1)*Module!$I$5*Module!$I$7</f>
        <v>55.150770979977231</v>
      </c>
      <c r="BD225" s="101">
        <f>$P$120*Module!$I$7*X225*Module!$I$5</f>
        <v>47.41967129738655</v>
      </c>
      <c r="BE225" s="151">
        <f t="shared" si="68"/>
        <v>1000000</v>
      </c>
      <c r="BG225" s="101">
        <f t="shared" si="75"/>
        <v>0</v>
      </c>
      <c r="BH225" s="101">
        <f>10+Module!$K$57/($AC$1+1)</f>
        <v>59.463036490617775</v>
      </c>
      <c r="BI225" s="101">
        <f>$AC$1*(25+Module!$I$6)</f>
        <v>202</v>
      </c>
      <c r="BJ225" s="101">
        <f>(BH225*($AC$1+1)*0.002488974)/($AC$1+1)*Module!$I$5*Module!$I$7</f>
        <v>45.656234094813776</v>
      </c>
      <c r="BK225" s="101">
        <f>$P$120*Module!$I$7*X225*Module!$I$5</f>
        <v>47.41967129738655</v>
      </c>
      <c r="BL225" s="151">
        <f t="shared" si="69"/>
        <v>1000000</v>
      </c>
    </row>
    <row r="226" spans="23:64" ht="19.5" hidden="1" customHeight="1" thickBot="1">
      <c r="W226" s="777"/>
      <c r="X226" s="121">
        <f t="shared" si="70"/>
        <v>22</v>
      </c>
      <c r="Y226" s="122">
        <f>'calcul pneu pour calculateur'!P227</f>
        <v>172.38269283727871</v>
      </c>
      <c r="Z226" s="123">
        <f t="shared" si="62"/>
        <v>344.76538567455742</v>
      </c>
      <c r="AA226" s="123">
        <f t="shared" si="63"/>
        <v>517.14807851183616</v>
      </c>
      <c r="AB226" s="123">
        <f t="shared" si="64"/>
        <v>689.53077134911484</v>
      </c>
      <c r="AC226" s="123">
        <f t="shared" si="65"/>
        <v>861.91346418639353</v>
      </c>
      <c r="AK226" s="121">
        <f t="shared" si="71"/>
        <v>22</v>
      </c>
      <c r="AL226" s="101">
        <f t="shared" si="72"/>
        <v>0</v>
      </c>
      <c r="AM226" s="101">
        <f>10+Module!$K$57/($Z$1+1)</f>
        <v>133.65759122654444</v>
      </c>
      <c r="AN226" s="101">
        <f>$Z$1*(25+Module!$I$6)</f>
        <v>50.5</v>
      </c>
      <c r="AO226" s="101">
        <f>(AM226*($Z$1+1)*0.002488974)/($Z$1+1)*Module!$I$5*Module!$I$7</f>
        <v>102.62345540579445</v>
      </c>
      <c r="AP226" s="101">
        <f>$P$120*Module!$I$7*X226*Module!$I$5</f>
        <v>49.677750882976383</v>
      </c>
      <c r="AQ226" s="151">
        <f t="shared" si="66"/>
        <v>1000000</v>
      </c>
      <c r="AS226" s="101">
        <f t="shared" si="73"/>
        <v>0</v>
      </c>
      <c r="AT226" s="101">
        <f>10+Module!$K$57/($AA$1+1)</f>
        <v>92.438394151029627</v>
      </c>
      <c r="AU226" s="101">
        <f>$AA$1*(25+Module!$I$6)</f>
        <v>101</v>
      </c>
      <c r="AV226" s="101">
        <f>(AT226*($Z$1+1)*0.002488974)/($Z$1+1)*Module!$I$5*Module!$I$7</f>
        <v>70.974999121916298</v>
      </c>
      <c r="AW226" s="101">
        <f>$P$120*Module!$I$7*X226*Module!$I$5</f>
        <v>49.677750882976383</v>
      </c>
      <c r="AX226" s="151">
        <f t="shared" si="67"/>
        <v>1000000</v>
      </c>
      <c r="AZ226" s="101">
        <f t="shared" si="74"/>
        <v>0</v>
      </c>
      <c r="BA226" s="101">
        <f>10+Module!$K$57/($AB$1+1)</f>
        <v>71.82879561327222</v>
      </c>
      <c r="BB226" s="101">
        <f>$AB$1*(25+Module!$I$6)</f>
        <v>151.5</v>
      </c>
      <c r="BC226" s="101">
        <f>(BA226*($AB$1+1)*0.002488974)/($AB$1+1)*Module!$I$5*Module!$I$7</f>
        <v>55.150770979977231</v>
      </c>
      <c r="BD226" s="101">
        <f>$P$120*Module!$I$7*X226*Module!$I$5</f>
        <v>49.677750882976383</v>
      </c>
      <c r="BE226" s="151">
        <f t="shared" si="68"/>
        <v>1000000</v>
      </c>
      <c r="BG226" s="101">
        <f t="shared" si="75"/>
        <v>0</v>
      </c>
      <c r="BH226" s="101">
        <f>10+Module!$K$57/($AC$1+1)</f>
        <v>59.463036490617775</v>
      </c>
      <c r="BI226" s="101">
        <f>$AC$1*(25+Module!$I$6)</f>
        <v>202</v>
      </c>
      <c r="BJ226" s="101">
        <f>(BH226*($AC$1+1)*0.002488974)/($AC$1+1)*Module!$I$5*Module!$I$7</f>
        <v>45.656234094813776</v>
      </c>
      <c r="BK226" s="101">
        <f>$P$120*Module!$I$7*X226*Module!$I$5</f>
        <v>49.677750882976383</v>
      </c>
      <c r="BL226" s="151">
        <f t="shared" si="69"/>
        <v>1000000</v>
      </c>
    </row>
    <row r="227" spans="23:64" ht="19.5" hidden="1" customHeight="1" thickBot="1">
      <c r="W227" s="777"/>
      <c r="X227" s="121">
        <f t="shared" si="70"/>
        <v>23</v>
      </c>
      <c r="Y227" s="122">
        <f>'calcul pneu pour calculateur'!P228</f>
        <v>171.89599456003728</v>
      </c>
      <c r="Z227" s="123">
        <f t="shared" si="62"/>
        <v>343.79198912007456</v>
      </c>
      <c r="AA227" s="123">
        <f t="shared" si="63"/>
        <v>515.68798368011187</v>
      </c>
      <c r="AB227" s="123">
        <f t="shared" si="64"/>
        <v>687.58397824014912</v>
      </c>
      <c r="AC227" s="123">
        <f t="shared" si="65"/>
        <v>859.47997280018637</v>
      </c>
      <c r="AK227" s="121">
        <f t="shared" si="71"/>
        <v>23</v>
      </c>
      <c r="AL227" s="101">
        <f t="shared" si="72"/>
        <v>0</v>
      </c>
      <c r="AM227" s="101">
        <f>10+Module!$K$57/($Z$1+1)</f>
        <v>133.65759122654444</v>
      </c>
      <c r="AN227" s="101">
        <f>$Z$1*(25+Module!$I$6)</f>
        <v>50.5</v>
      </c>
      <c r="AO227" s="101">
        <f>(AM227*($Z$1+1)*0.002488974)/($Z$1+1)*Module!$I$5*Module!$I$7</f>
        <v>102.62345540579445</v>
      </c>
      <c r="AP227" s="101">
        <f>$P$120*Module!$I$7*X227*Module!$I$5</f>
        <v>51.935830468566216</v>
      </c>
      <c r="AQ227" s="151">
        <f t="shared" si="66"/>
        <v>1000000</v>
      </c>
      <c r="AS227" s="101">
        <f t="shared" si="73"/>
        <v>0</v>
      </c>
      <c r="AT227" s="101">
        <f>10+Module!$K$57/($AA$1+1)</f>
        <v>92.438394151029627</v>
      </c>
      <c r="AU227" s="101">
        <f>$AA$1*(25+Module!$I$6)</f>
        <v>101</v>
      </c>
      <c r="AV227" s="101">
        <f>(AT227*($Z$1+1)*0.002488974)/($Z$1+1)*Module!$I$5*Module!$I$7</f>
        <v>70.974999121916298</v>
      </c>
      <c r="AW227" s="101">
        <f>$P$120*Module!$I$7*X227*Module!$I$5</f>
        <v>51.935830468566216</v>
      </c>
      <c r="AX227" s="151">
        <f t="shared" si="67"/>
        <v>1000000</v>
      </c>
      <c r="AZ227" s="101">
        <f t="shared" si="74"/>
        <v>0</v>
      </c>
      <c r="BA227" s="101">
        <f>10+Module!$K$57/($AB$1+1)</f>
        <v>71.82879561327222</v>
      </c>
      <c r="BB227" s="101">
        <f>$AB$1*(25+Module!$I$6)</f>
        <v>151.5</v>
      </c>
      <c r="BC227" s="101">
        <f>(BA227*($AB$1+1)*0.002488974)/($AB$1+1)*Module!$I$5*Module!$I$7</f>
        <v>55.150770979977231</v>
      </c>
      <c r="BD227" s="101">
        <f>$P$120*Module!$I$7*X227*Module!$I$5</f>
        <v>51.935830468566216</v>
      </c>
      <c r="BE227" s="151">
        <f t="shared" si="68"/>
        <v>1000000</v>
      </c>
      <c r="BG227" s="101">
        <f t="shared" si="75"/>
        <v>0</v>
      </c>
      <c r="BH227" s="101">
        <f>10+Module!$K$57/($AC$1+1)</f>
        <v>59.463036490617775</v>
      </c>
      <c r="BI227" s="101">
        <f>$AC$1*(25+Module!$I$6)</f>
        <v>202</v>
      </c>
      <c r="BJ227" s="101">
        <f>(BH227*($AC$1+1)*0.002488974)/($AC$1+1)*Module!$I$5*Module!$I$7</f>
        <v>45.656234094813776</v>
      </c>
      <c r="BK227" s="101">
        <f>$P$120*Module!$I$7*X227*Module!$I$5</f>
        <v>51.935830468566216</v>
      </c>
      <c r="BL227" s="151">
        <f t="shared" si="69"/>
        <v>1000000</v>
      </c>
    </row>
    <row r="228" spans="23:64" ht="19.5" hidden="1" customHeight="1" thickBot="1">
      <c r="W228" s="777"/>
      <c r="X228" s="121">
        <f t="shared" si="70"/>
        <v>24</v>
      </c>
      <c r="Y228" s="122">
        <f>'calcul pneu pour calculateur'!P229</f>
        <v>171.40929628279585</v>
      </c>
      <c r="Z228" s="123">
        <f t="shared" si="62"/>
        <v>342.8185925655917</v>
      </c>
      <c r="AA228" s="123">
        <f t="shared" si="63"/>
        <v>514.22788884838758</v>
      </c>
      <c r="AB228" s="123">
        <f t="shared" si="64"/>
        <v>685.6371851311834</v>
      </c>
      <c r="AC228" s="123">
        <f t="shared" si="65"/>
        <v>857.04648141397922</v>
      </c>
      <c r="AK228" s="121">
        <f t="shared" si="71"/>
        <v>24</v>
      </c>
      <c r="AL228" s="101">
        <f t="shared" si="72"/>
        <v>0</v>
      </c>
      <c r="AM228" s="101">
        <f>10+Module!$K$57/($Z$1+1)</f>
        <v>133.65759122654444</v>
      </c>
      <c r="AN228" s="101">
        <f>$Z$1*(25+Module!$I$6)</f>
        <v>50.5</v>
      </c>
      <c r="AO228" s="101">
        <f>(AM228*($Z$1+1)*0.002488974)/($Z$1+1)*Module!$I$5*Module!$I$7</f>
        <v>102.62345540579445</v>
      </c>
      <c r="AP228" s="101">
        <f>$P$120*Module!$I$7*X228*Module!$I$5</f>
        <v>54.193910054156056</v>
      </c>
      <c r="AQ228" s="151">
        <f t="shared" si="66"/>
        <v>1000000</v>
      </c>
      <c r="AS228" s="101">
        <f t="shared" si="73"/>
        <v>0</v>
      </c>
      <c r="AT228" s="101">
        <f>10+Module!$K$57/($AA$1+1)</f>
        <v>92.438394151029627</v>
      </c>
      <c r="AU228" s="101">
        <f>$AA$1*(25+Module!$I$6)</f>
        <v>101</v>
      </c>
      <c r="AV228" s="101">
        <f>(AT228*($Z$1+1)*0.002488974)/($Z$1+1)*Module!$I$5*Module!$I$7</f>
        <v>70.974999121916298</v>
      </c>
      <c r="AW228" s="101">
        <f>$P$120*Module!$I$7*X228*Module!$I$5</f>
        <v>54.193910054156056</v>
      </c>
      <c r="AX228" s="151">
        <f t="shared" si="67"/>
        <v>1000000</v>
      </c>
      <c r="AZ228" s="101">
        <f t="shared" si="74"/>
        <v>0</v>
      </c>
      <c r="BA228" s="101">
        <f>10+Module!$K$57/($AB$1+1)</f>
        <v>71.82879561327222</v>
      </c>
      <c r="BB228" s="101">
        <f>$AB$1*(25+Module!$I$6)</f>
        <v>151.5</v>
      </c>
      <c r="BC228" s="101">
        <f>(BA228*($AB$1+1)*0.002488974)/($AB$1+1)*Module!$I$5*Module!$I$7</f>
        <v>55.150770979977231</v>
      </c>
      <c r="BD228" s="101">
        <f>$P$120*Module!$I$7*X228*Module!$I$5</f>
        <v>54.193910054156056</v>
      </c>
      <c r="BE228" s="151">
        <f t="shared" si="68"/>
        <v>1000000</v>
      </c>
      <c r="BG228" s="101">
        <f t="shared" si="75"/>
        <v>0</v>
      </c>
      <c r="BH228" s="101">
        <f>10+Module!$K$57/($AC$1+1)</f>
        <v>59.463036490617775</v>
      </c>
      <c r="BI228" s="101">
        <f>$AC$1*(25+Module!$I$6)</f>
        <v>202</v>
      </c>
      <c r="BJ228" s="101">
        <f>(BH228*($AC$1+1)*0.002488974)/($AC$1+1)*Module!$I$5*Module!$I$7</f>
        <v>45.656234094813776</v>
      </c>
      <c r="BK228" s="101">
        <f>$P$120*Module!$I$7*X228*Module!$I$5</f>
        <v>54.193910054156056</v>
      </c>
      <c r="BL228" s="151">
        <f t="shared" si="69"/>
        <v>1000000</v>
      </c>
    </row>
    <row r="229" spans="23:64" ht="19.5" hidden="1" customHeight="1" thickBot="1">
      <c r="W229" s="777"/>
      <c r="X229" s="121">
        <f t="shared" si="70"/>
        <v>25</v>
      </c>
      <c r="Y229" s="122">
        <f>'calcul pneu pour calculateur'!P230</f>
        <v>170.92259800555439</v>
      </c>
      <c r="Z229" s="123">
        <f t="shared" si="62"/>
        <v>341.84519601110878</v>
      </c>
      <c r="AA229" s="123">
        <f t="shared" si="63"/>
        <v>512.76779401666317</v>
      </c>
      <c r="AB229" s="123">
        <f t="shared" si="64"/>
        <v>683.69039202221757</v>
      </c>
      <c r="AC229" s="123">
        <f t="shared" si="65"/>
        <v>854.61299002777196</v>
      </c>
      <c r="AK229" s="121">
        <f t="shared" si="71"/>
        <v>25</v>
      </c>
      <c r="AL229" s="101">
        <f t="shared" si="72"/>
        <v>0</v>
      </c>
      <c r="AM229" s="101">
        <f>10+Module!$K$57/($Z$1+1)</f>
        <v>133.65759122654444</v>
      </c>
      <c r="AN229" s="101">
        <f>$Z$1*(25+Module!$I$6)</f>
        <v>50.5</v>
      </c>
      <c r="AO229" s="101">
        <f>(AM229*($Z$1+1)*0.002488974)/($Z$1+1)*Module!$I$5*Module!$I$7</f>
        <v>102.62345540579445</v>
      </c>
      <c r="AP229" s="101">
        <f>$P$120*Module!$I$7*X229*Module!$I$5</f>
        <v>56.451989639745889</v>
      </c>
      <c r="AQ229" s="151">
        <f t="shared" si="66"/>
        <v>1000000</v>
      </c>
      <c r="AS229" s="101">
        <f t="shared" si="73"/>
        <v>0</v>
      </c>
      <c r="AT229" s="101">
        <f>10+Module!$K$57/($AA$1+1)</f>
        <v>92.438394151029627</v>
      </c>
      <c r="AU229" s="101">
        <f>$AA$1*(25+Module!$I$6)</f>
        <v>101</v>
      </c>
      <c r="AV229" s="101">
        <f>(AT229*($Z$1+1)*0.002488974)/($Z$1+1)*Module!$I$5*Module!$I$7</f>
        <v>70.974999121916298</v>
      </c>
      <c r="AW229" s="101">
        <f>$P$120*Module!$I$7*X229*Module!$I$5</f>
        <v>56.451989639745889</v>
      </c>
      <c r="AX229" s="151">
        <f t="shared" si="67"/>
        <v>1000000</v>
      </c>
      <c r="AZ229" s="101">
        <f t="shared" si="74"/>
        <v>0</v>
      </c>
      <c r="BA229" s="101">
        <f>10+Module!$K$57/($AB$1+1)</f>
        <v>71.82879561327222</v>
      </c>
      <c r="BB229" s="101">
        <f>$AB$1*(25+Module!$I$6)</f>
        <v>151.5</v>
      </c>
      <c r="BC229" s="101">
        <f>(BA229*($AB$1+1)*0.002488974)/($AB$1+1)*Module!$I$5*Module!$I$7</f>
        <v>55.150770979977231</v>
      </c>
      <c r="BD229" s="101">
        <f>$P$120*Module!$I$7*X229*Module!$I$5</f>
        <v>56.451989639745889</v>
      </c>
      <c r="BE229" s="151">
        <f t="shared" si="68"/>
        <v>1000000</v>
      </c>
      <c r="BG229" s="101">
        <f t="shared" si="75"/>
        <v>0</v>
      </c>
      <c r="BH229" s="101">
        <f>10+Module!$K$57/($AC$1+1)</f>
        <v>59.463036490617775</v>
      </c>
      <c r="BI229" s="101">
        <f>$AC$1*(25+Module!$I$6)</f>
        <v>202</v>
      </c>
      <c r="BJ229" s="101">
        <f>(BH229*($AC$1+1)*0.002488974)/($AC$1+1)*Module!$I$5*Module!$I$7</f>
        <v>45.656234094813776</v>
      </c>
      <c r="BK229" s="101">
        <f>$P$120*Module!$I$7*X229*Module!$I$5</f>
        <v>56.451989639745889</v>
      </c>
      <c r="BL229" s="151">
        <f t="shared" si="69"/>
        <v>1000000</v>
      </c>
    </row>
    <row r="230" spans="23:64" ht="19.5" hidden="1" customHeight="1" thickBot="1">
      <c r="W230" s="777"/>
      <c r="X230" s="121">
        <f t="shared" si="70"/>
        <v>26</v>
      </c>
      <c r="Y230" s="122">
        <f>'calcul pneu pour calculateur'!P231</f>
        <v>170.43589972831296</v>
      </c>
      <c r="Z230" s="123">
        <f t="shared" si="62"/>
        <v>340.87179945662592</v>
      </c>
      <c r="AA230" s="123">
        <f t="shared" si="63"/>
        <v>511.30769918493888</v>
      </c>
      <c r="AB230" s="123">
        <f t="shared" si="64"/>
        <v>681.74359891325184</v>
      </c>
      <c r="AC230" s="123">
        <f t="shared" si="65"/>
        <v>852.17949864156481</v>
      </c>
      <c r="AK230" s="121">
        <f t="shared" si="71"/>
        <v>26</v>
      </c>
      <c r="AL230" s="101">
        <f t="shared" si="72"/>
        <v>0</v>
      </c>
      <c r="AM230" s="101">
        <f>10+Module!$K$57/($Z$1+1)</f>
        <v>133.65759122654444</v>
      </c>
      <c r="AN230" s="101">
        <f>$Z$1*(25+Module!$I$6)</f>
        <v>50.5</v>
      </c>
      <c r="AO230" s="101">
        <f>(AM230*($Z$1+1)*0.002488974)/($Z$1+1)*Module!$I$5*Module!$I$7</f>
        <v>102.62345540579445</v>
      </c>
      <c r="AP230" s="101">
        <f>$P$120*Module!$I$7*X230*Module!$I$5</f>
        <v>58.710069225335722</v>
      </c>
      <c r="AQ230" s="151">
        <f t="shared" si="66"/>
        <v>1000000</v>
      </c>
      <c r="AS230" s="101">
        <f t="shared" si="73"/>
        <v>0</v>
      </c>
      <c r="AT230" s="101">
        <f>10+Module!$K$57/($AA$1+1)</f>
        <v>92.438394151029627</v>
      </c>
      <c r="AU230" s="101">
        <f>$AA$1*(25+Module!$I$6)</f>
        <v>101</v>
      </c>
      <c r="AV230" s="101">
        <f>(AT230*($Z$1+1)*0.002488974)/($Z$1+1)*Module!$I$5*Module!$I$7</f>
        <v>70.974999121916298</v>
      </c>
      <c r="AW230" s="101">
        <f>$P$120*Module!$I$7*X230*Module!$I$5</f>
        <v>58.710069225335722</v>
      </c>
      <c r="AX230" s="151">
        <f t="shared" si="67"/>
        <v>1000000</v>
      </c>
      <c r="AZ230" s="101">
        <f t="shared" si="74"/>
        <v>0</v>
      </c>
      <c r="BA230" s="101">
        <f>10+Module!$K$57/($AB$1+1)</f>
        <v>71.82879561327222</v>
      </c>
      <c r="BB230" s="101">
        <f>$AB$1*(25+Module!$I$6)</f>
        <v>151.5</v>
      </c>
      <c r="BC230" s="101">
        <f>(BA230*($AB$1+1)*0.002488974)/($AB$1+1)*Module!$I$5*Module!$I$7</f>
        <v>55.150770979977231</v>
      </c>
      <c r="BD230" s="101">
        <f>$P$120*Module!$I$7*X230*Module!$I$5</f>
        <v>58.710069225335722</v>
      </c>
      <c r="BE230" s="151">
        <f t="shared" si="68"/>
        <v>1000000</v>
      </c>
      <c r="BG230" s="101">
        <f t="shared" si="75"/>
        <v>0</v>
      </c>
      <c r="BH230" s="101">
        <f>10+Module!$K$57/($AC$1+1)</f>
        <v>59.463036490617775</v>
      </c>
      <c r="BI230" s="101">
        <f>$AC$1*(25+Module!$I$6)</f>
        <v>202</v>
      </c>
      <c r="BJ230" s="101">
        <f>(BH230*($AC$1+1)*0.002488974)/($AC$1+1)*Module!$I$5*Module!$I$7</f>
        <v>45.656234094813776</v>
      </c>
      <c r="BK230" s="101">
        <f>$P$120*Module!$I$7*X230*Module!$I$5</f>
        <v>58.710069225335722</v>
      </c>
      <c r="BL230" s="151">
        <f t="shared" si="69"/>
        <v>1000000</v>
      </c>
    </row>
    <row r="231" spans="23:64" ht="19.5" hidden="1" customHeight="1" thickBot="1">
      <c r="W231" s="777"/>
      <c r="X231" s="121">
        <f t="shared" si="70"/>
        <v>27</v>
      </c>
      <c r="Y231" s="122">
        <f>'calcul pneu pour calculateur'!P232</f>
        <v>169.94920145107153</v>
      </c>
      <c r="Z231" s="123">
        <f t="shared" si="62"/>
        <v>339.89840290214306</v>
      </c>
      <c r="AA231" s="123">
        <f t="shared" si="63"/>
        <v>509.84760435321459</v>
      </c>
      <c r="AB231" s="123">
        <f t="shared" si="64"/>
        <v>679.79680580428612</v>
      </c>
      <c r="AC231" s="123">
        <f t="shared" si="65"/>
        <v>849.74600725535765</v>
      </c>
      <c r="AK231" s="121">
        <f t="shared" si="71"/>
        <v>27</v>
      </c>
      <c r="AL231" s="101">
        <f t="shared" si="72"/>
        <v>0</v>
      </c>
      <c r="AM231" s="101">
        <f>10+Module!$K$57/($Z$1+1)</f>
        <v>133.65759122654444</v>
      </c>
      <c r="AN231" s="101">
        <f>$Z$1*(25+Module!$I$6)</f>
        <v>50.5</v>
      </c>
      <c r="AO231" s="101">
        <f>(AM231*($Z$1+1)*0.002488974)/($Z$1+1)*Module!$I$5*Module!$I$7</f>
        <v>102.62345540579445</v>
      </c>
      <c r="AP231" s="101">
        <f>$P$120*Module!$I$7*X231*Module!$I$5</f>
        <v>60.968148810925555</v>
      </c>
      <c r="AQ231" s="151">
        <f t="shared" si="66"/>
        <v>1000000</v>
      </c>
      <c r="AS231" s="101">
        <f t="shared" si="73"/>
        <v>0</v>
      </c>
      <c r="AT231" s="101">
        <f>10+Module!$K$57/($AA$1+1)</f>
        <v>92.438394151029627</v>
      </c>
      <c r="AU231" s="101">
        <f>$AA$1*(25+Module!$I$6)</f>
        <v>101</v>
      </c>
      <c r="AV231" s="101">
        <f>(AT231*($Z$1+1)*0.002488974)/($Z$1+1)*Module!$I$5*Module!$I$7</f>
        <v>70.974999121916298</v>
      </c>
      <c r="AW231" s="101">
        <f>$P$120*Module!$I$7*X231*Module!$I$5</f>
        <v>60.968148810925555</v>
      </c>
      <c r="AX231" s="151">
        <f t="shared" si="67"/>
        <v>1000000</v>
      </c>
      <c r="AZ231" s="101">
        <f t="shared" si="74"/>
        <v>0</v>
      </c>
      <c r="BA231" s="101">
        <f>10+Module!$K$57/($AB$1+1)</f>
        <v>71.82879561327222</v>
      </c>
      <c r="BB231" s="101">
        <f>$AB$1*(25+Module!$I$6)</f>
        <v>151.5</v>
      </c>
      <c r="BC231" s="101">
        <f>(BA231*($AB$1+1)*0.002488974)/($AB$1+1)*Module!$I$5*Module!$I$7</f>
        <v>55.150770979977231</v>
      </c>
      <c r="BD231" s="101">
        <f>$P$120*Module!$I$7*X231*Module!$I$5</f>
        <v>60.968148810925555</v>
      </c>
      <c r="BE231" s="151">
        <f t="shared" si="68"/>
        <v>1000000</v>
      </c>
      <c r="BG231" s="101">
        <f t="shared" si="75"/>
        <v>0</v>
      </c>
      <c r="BH231" s="101">
        <f>10+Module!$K$57/($AC$1+1)</f>
        <v>59.463036490617775</v>
      </c>
      <c r="BI231" s="101">
        <f>$AC$1*(25+Module!$I$6)</f>
        <v>202</v>
      </c>
      <c r="BJ231" s="101">
        <f>(BH231*($AC$1+1)*0.002488974)/($AC$1+1)*Module!$I$5*Module!$I$7</f>
        <v>45.656234094813776</v>
      </c>
      <c r="BK231" s="101">
        <f>$P$120*Module!$I$7*X231*Module!$I$5</f>
        <v>60.968148810925555</v>
      </c>
      <c r="BL231" s="151">
        <f t="shared" si="69"/>
        <v>1000000</v>
      </c>
    </row>
    <row r="232" spans="23:64" ht="19.5" hidden="1" customHeight="1" thickBot="1">
      <c r="W232" s="777"/>
      <c r="X232" s="121">
        <f t="shared" si="70"/>
        <v>28</v>
      </c>
      <c r="Y232" s="122">
        <f>'calcul pneu pour calculateur'!P233</f>
        <v>169.4625031738301</v>
      </c>
      <c r="Z232" s="123">
        <f t="shared" si="62"/>
        <v>338.9250063476602</v>
      </c>
      <c r="AA232" s="123">
        <f t="shared" si="63"/>
        <v>508.3875095214903</v>
      </c>
      <c r="AB232" s="123">
        <f t="shared" si="64"/>
        <v>677.8500126953204</v>
      </c>
      <c r="AC232" s="123">
        <f t="shared" si="65"/>
        <v>847.3125158691505</v>
      </c>
      <c r="AK232" s="121">
        <f t="shared" si="71"/>
        <v>28</v>
      </c>
      <c r="AL232" s="101">
        <f t="shared" si="72"/>
        <v>0</v>
      </c>
      <c r="AM232" s="101">
        <f>10+Module!$K$57/($Z$1+1)</f>
        <v>133.65759122654444</v>
      </c>
      <c r="AN232" s="101">
        <f>$Z$1*(25+Module!$I$6)</f>
        <v>50.5</v>
      </c>
      <c r="AO232" s="101">
        <f>(AM232*($Z$1+1)*0.002488974)/($Z$1+1)*Module!$I$5*Module!$I$7</f>
        <v>102.62345540579445</v>
      </c>
      <c r="AP232" s="101">
        <f>$P$120*Module!$I$7*X232*Module!$I$5</f>
        <v>63.226228396515388</v>
      </c>
      <c r="AQ232" s="151">
        <f t="shared" si="66"/>
        <v>1000000</v>
      </c>
      <c r="AS232" s="101">
        <f t="shared" si="73"/>
        <v>0</v>
      </c>
      <c r="AT232" s="101">
        <f>10+Module!$K$57/($AA$1+1)</f>
        <v>92.438394151029627</v>
      </c>
      <c r="AU232" s="101">
        <f>$AA$1*(25+Module!$I$6)</f>
        <v>101</v>
      </c>
      <c r="AV232" s="101">
        <f>(AT232*($Z$1+1)*0.002488974)/($Z$1+1)*Module!$I$5*Module!$I$7</f>
        <v>70.974999121916298</v>
      </c>
      <c r="AW232" s="101">
        <f>$P$120*Module!$I$7*X232*Module!$I$5</f>
        <v>63.226228396515388</v>
      </c>
      <c r="AX232" s="151">
        <f t="shared" si="67"/>
        <v>1000000</v>
      </c>
      <c r="AZ232" s="101">
        <f t="shared" si="74"/>
        <v>0</v>
      </c>
      <c r="BA232" s="101">
        <f>10+Module!$K$57/($AB$1+1)</f>
        <v>71.82879561327222</v>
      </c>
      <c r="BB232" s="101">
        <f>$AB$1*(25+Module!$I$6)</f>
        <v>151.5</v>
      </c>
      <c r="BC232" s="101">
        <f>(BA232*($AB$1+1)*0.002488974)/($AB$1+1)*Module!$I$5*Module!$I$7</f>
        <v>55.150770979977231</v>
      </c>
      <c r="BD232" s="101">
        <f>$P$120*Module!$I$7*X232*Module!$I$5</f>
        <v>63.226228396515388</v>
      </c>
      <c r="BE232" s="151">
        <f t="shared" si="68"/>
        <v>1000000</v>
      </c>
      <c r="BG232" s="101">
        <f t="shared" si="75"/>
        <v>0</v>
      </c>
      <c r="BH232" s="101">
        <f>10+Module!$K$57/($AC$1+1)</f>
        <v>59.463036490617775</v>
      </c>
      <c r="BI232" s="101">
        <f>$AC$1*(25+Module!$I$6)</f>
        <v>202</v>
      </c>
      <c r="BJ232" s="101">
        <f>(BH232*($AC$1+1)*0.002488974)/($AC$1+1)*Module!$I$5*Module!$I$7</f>
        <v>45.656234094813776</v>
      </c>
      <c r="BK232" s="101">
        <f>$P$120*Module!$I$7*X232*Module!$I$5</f>
        <v>63.226228396515388</v>
      </c>
      <c r="BL232" s="151">
        <f t="shared" si="69"/>
        <v>1000000</v>
      </c>
    </row>
    <row r="233" spans="23:64" ht="19.5" hidden="1" customHeight="1" thickBot="1">
      <c r="W233" s="777"/>
      <c r="X233" s="121">
        <f t="shared" si="70"/>
        <v>29</v>
      </c>
      <c r="Y233" s="122">
        <f>'calcul pneu pour calculateur'!P234</f>
        <v>168.97580489658864</v>
      </c>
      <c r="Z233" s="123">
        <f t="shared" si="62"/>
        <v>337.95160979317728</v>
      </c>
      <c r="AA233" s="123">
        <f t="shared" si="63"/>
        <v>506.9274146897659</v>
      </c>
      <c r="AB233" s="123">
        <f t="shared" si="64"/>
        <v>675.90321958635457</v>
      </c>
      <c r="AC233" s="123">
        <f t="shared" si="65"/>
        <v>844.87902448294324</v>
      </c>
      <c r="AK233" s="121">
        <f t="shared" si="71"/>
        <v>29</v>
      </c>
      <c r="AL233" s="101">
        <f t="shared" si="72"/>
        <v>0</v>
      </c>
      <c r="AM233" s="101">
        <f>10+Module!$K$57/($Z$1+1)</f>
        <v>133.65759122654444</v>
      </c>
      <c r="AN233" s="101">
        <f>$Z$1*(25+Module!$I$6)</f>
        <v>50.5</v>
      </c>
      <c r="AO233" s="101">
        <f>(AM233*($Z$1+1)*0.002488974)/($Z$1+1)*Module!$I$5*Module!$I$7</f>
        <v>102.62345540579445</v>
      </c>
      <c r="AP233" s="101">
        <f>$P$120*Module!$I$7*X233*Module!$I$5</f>
        <v>65.484307982105236</v>
      </c>
      <c r="AQ233" s="151">
        <f t="shared" si="66"/>
        <v>1000000</v>
      </c>
      <c r="AS233" s="101">
        <f t="shared" si="73"/>
        <v>0</v>
      </c>
      <c r="AT233" s="101">
        <f>10+Module!$K$57/($AA$1+1)</f>
        <v>92.438394151029627</v>
      </c>
      <c r="AU233" s="101">
        <f>$AA$1*(25+Module!$I$6)</f>
        <v>101</v>
      </c>
      <c r="AV233" s="101">
        <f>(AT233*($Z$1+1)*0.002488974)/($Z$1+1)*Module!$I$5*Module!$I$7</f>
        <v>70.974999121916298</v>
      </c>
      <c r="AW233" s="101">
        <f>$P$120*Module!$I$7*X233*Module!$I$5</f>
        <v>65.484307982105236</v>
      </c>
      <c r="AX233" s="151">
        <f t="shared" si="67"/>
        <v>1000000</v>
      </c>
      <c r="AZ233" s="101">
        <f t="shared" si="74"/>
        <v>0</v>
      </c>
      <c r="BA233" s="101">
        <f>10+Module!$K$57/($AB$1+1)</f>
        <v>71.82879561327222</v>
      </c>
      <c r="BB233" s="101">
        <f>$AB$1*(25+Module!$I$6)</f>
        <v>151.5</v>
      </c>
      <c r="BC233" s="101">
        <f>(BA233*($AB$1+1)*0.002488974)/($AB$1+1)*Module!$I$5*Module!$I$7</f>
        <v>55.150770979977231</v>
      </c>
      <c r="BD233" s="101">
        <f>$P$120*Module!$I$7*X233*Module!$I$5</f>
        <v>65.484307982105236</v>
      </c>
      <c r="BE233" s="151">
        <f t="shared" si="68"/>
        <v>1000000</v>
      </c>
      <c r="BG233" s="101">
        <f t="shared" si="75"/>
        <v>0</v>
      </c>
      <c r="BH233" s="101">
        <f>10+Module!$K$57/($AC$1+1)</f>
        <v>59.463036490617775</v>
      </c>
      <c r="BI233" s="101">
        <f>$AC$1*(25+Module!$I$6)</f>
        <v>202</v>
      </c>
      <c r="BJ233" s="101">
        <f>(BH233*($AC$1+1)*0.002488974)/($AC$1+1)*Module!$I$5*Module!$I$7</f>
        <v>45.656234094813776</v>
      </c>
      <c r="BK233" s="101">
        <f>$P$120*Module!$I$7*X233*Module!$I$5</f>
        <v>65.484307982105236</v>
      </c>
      <c r="BL233" s="151">
        <f t="shared" si="69"/>
        <v>1000000</v>
      </c>
    </row>
    <row r="234" spans="23:64" ht="19.5" hidden="1" customHeight="1" thickBot="1">
      <c r="W234" s="777"/>
      <c r="X234" s="121">
        <f t="shared" si="70"/>
        <v>30</v>
      </c>
      <c r="Y234" s="122">
        <f>'calcul pneu pour calculateur'!P235</f>
        <v>168.48910661934718</v>
      </c>
      <c r="Z234" s="123">
        <f t="shared" si="62"/>
        <v>336.97821323869437</v>
      </c>
      <c r="AA234" s="123">
        <f t="shared" si="63"/>
        <v>505.46731985804155</v>
      </c>
      <c r="AB234" s="123">
        <f t="shared" si="64"/>
        <v>673.95642647738873</v>
      </c>
      <c r="AC234" s="123">
        <f t="shared" si="65"/>
        <v>842.44553309673597</v>
      </c>
      <c r="AK234" s="121">
        <f t="shared" si="71"/>
        <v>30</v>
      </c>
      <c r="AL234" s="101">
        <f t="shared" si="72"/>
        <v>0</v>
      </c>
      <c r="AM234" s="101">
        <f>10+Module!$K$57/($Z$1+1)</f>
        <v>133.65759122654444</v>
      </c>
      <c r="AN234" s="101">
        <f>$Z$1*(25+Module!$I$6)</f>
        <v>50.5</v>
      </c>
      <c r="AO234" s="101">
        <f>(AM234*($Z$1+1)*0.002488974)/($Z$1+1)*Module!$I$5*Module!$I$7</f>
        <v>102.62345540579445</v>
      </c>
      <c r="AP234" s="101">
        <f>$P$120*Module!$I$7*X234*Module!$I$5</f>
        <v>67.742387567695062</v>
      </c>
      <c r="AQ234" s="151">
        <f t="shared" si="66"/>
        <v>1000000</v>
      </c>
      <c r="AS234" s="101">
        <f t="shared" si="73"/>
        <v>0</v>
      </c>
      <c r="AT234" s="101">
        <f>10+Module!$K$57/($AA$1+1)</f>
        <v>92.438394151029627</v>
      </c>
      <c r="AU234" s="101">
        <f>$AA$1*(25+Module!$I$6)</f>
        <v>101</v>
      </c>
      <c r="AV234" s="101">
        <f>(AT234*($Z$1+1)*0.002488974)/($Z$1+1)*Module!$I$5*Module!$I$7</f>
        <v>70.974999121916298</v>
      </c>
      <c r="AW234" s="101">
        <f>$P$120*Module!$I$7*X234*Module!$I$5</f>
        <v>67.742387567695062</v>
      </c>
      <c r="AX234" s="151">
        <f t="shared" si="67"/>
        <v>1000000</v>
      </c>
      <c r="AZ234" s="101">
        <f t="shared" si="74"/>
        <v>0</v>
      </c>
      <c r="BA234" s="101">
        <f>10+Module!$K$57/($AB$1+1)</f>
        <v>71.82879561327222</v>
      </c>
      <c r="BB234" s="101">
        <f>$AB$1*(25+Module!$I$6)</f>
        <v>151.5</v>
      </c>
      <c r="BC234" s="101">
        <f>(BA234*($AB$1+1)*0.002488974)/($AB$1+1)*Module!$I$5*Module!$I$7</f>
        <v>55.150770979977231</v>
      </c>
      <c r="BD234" s="101">
        <f>$P$120*Module!$I$7*X234*Module!$I$5</f>
        <v>67.742387567695062</v>
      </c>
      <c r="BE234" s="151">
        <f t="shared" si="68"/>
        <v>1000000</v>
      </c>
      <c r="BG234" s="101">
        <f t="shared" si="75"/>
        <v>0</v>
      </c>
      <c r="BH234" s="101">
        <f>10+Module!$K$57/($AC$1+1)</f>
        <v>59.463036490617775</v>
      </c>
      <c r="BI234" s="101">
        <f>$AC$1*(25+Module!$I$6)</f>
        <v>202</v>
      </c>
      <c r="BJ234" s="101">
        <f>(BH234*($AC$1+1)*0.002488974)/($AC$1+1)*Module!$I$5*Module!$I$7</f>
        <v>45.656234094813776</v>
      </c>
      <c r="BK234" s="101">
        <f>$P$120*Module!$I$7*X234*Module!$I$5</f>
        <v>67.742387567695062</v>
      </c>
      <c r="BL234" s="151">
        <f t="shared" si="69"/>
        <v>1000000</v>
      </c>
    </row>
    <row r="235" spans="23:64" ht="19.5" hidden="1" customHeight="1" thickBot="1">
      <c r="W235" s="777"/>
      <c r="X235" s="121">
        <f t="shared" si="70"/>
        <v>31</v>
      </c>
      <c r="Y235" s="122">
        <f>'calcul pneu pour calculateur'!P236</f>
        <v>168.00240834210575</v>
      </c>
      <c r="Z235" s="123">
        <f t="shared" ref="Z235:Z298" si="76">Y235*2</f>
        <v>336.00481668421151</v>
      </c>
      <c r="AA235" s="123">
        <f t="shared" ref="AA235:AA298" si="77">Y235*3</f>
        <v>504.00722502631726</v>
      </c>
      <c r="AB235" s="123">
        <f t="shared" ref="AB235:AB298" si="78">Y235*4</f>
        <v>672.00963336842301</v>
      </c>
      <c r="AC235" s="123">
        <f t="shared" ref="AC235:AC298" si="79">Y235*5</f>
        <v>840.01204171052882</v>
      </c>
      <c r="AK235" s="121">
        <f t="shared" si="71"/>
        <v>31</v>
      </c>
      <c r="AL235" s="101">
        <f t="shared" si="72"/>
        <v>0</v>
      </c>
      <c r="AM235" s="101">
        <f>10+Module!$K$57/($Z$1+1)</f>
        <v>133.65759122654444</v>
      </c>
      <c r="AN235" s="101">
        <f>$Z$1*(25+Module!$I$6)</f>
        <v>50.5</v>
      </c>
      <c r="AO235" s="101">
        <f>(AM235*($Z$1+1)*0.002488974)/($Z$1+1)*Module!$I$5*Module!$I$7</f>
        <v>102.62345540579445</v>
      </c>
      <c r="AP235" s="101">
        <f>$P$120*Module!$I$7*X235*Module!$I$5</f>
        <v>70.000467153284902</v>
      </c>
      <c r="AQ235" s="151">
        <f t="shared" si="66"/>
        <v>1000000</v>
      </c>
      <c r="AS235" s="101">
        <f t="shared" si="73"/>
        <v>0</v>
      </c>
      <c r="AT235" s="101">
        <f>10+Module!$K$57/($AA$1+1)</f>
        <v>92.438394151029627</v>
      </c>
      <c r="AU235" s="101">
        <f>$AA$1*(25+Module!$I$6)</f>
        <v>101</v>
      </c>
      <c r="AV235" s="101">
        <f>(AT235*($Z$1+1)*0.002488974)/($Z$1+1)*Module!$I$5*Module!$I$7</f>
        <v>70.974999121916298</v>
      </c>
      <c r="AW235" s="101">
        <f>$P$120*Module!$I$7*X235*Module!$I$5</f>
        <v>70.000467153284902</v>
      </c>
      <c r="AX235" s="151">
        <f t="shared" si="67"/>
        <v>1000000</v>
      </c>
      <c r="AZ235" s="101">
        <f t="shared" si="74"/>
        <v>0</v>
      </c>
      <c r="BA235" s="101">
        <f>10+Module!$K$57/($AB$1+1)</f>
        <v>71.82879561327222</v>
      </c>
      <c r="BB235" s="101">
        <f>$AB$1*(25+Module!$I$6)</f>
        <v>151.5</v>
      </c>
      <c r="BC235" s="101">
        <f>(BA235*($AB$1+1)*0.002488974)/($AB$1+1)*Module!$I$5*Module!$I$7</f>
        <v>55.150770979977231</v>
      </c>
      <c r="BD235" s="101">
        <f>$P$120*Module!$I$7*X235*Module!$I$5</f>
        <v>70.000467153284902</v>
      </c>
      <c r="BE235" s="151">
        <f t="shared" si="68"/>
        <v>1000000</v>
      </c>
      <c r="BG235" s="101">
        <f t="shared" si="75"/>
        <v>0</v>
      </c>
      <c r="BH235" s="101">
        <f>10+Module!$K$57/($AC$1+1)</f>
        <v>59.463036490617775</v>
      </c>
      <c r="BI235" s="101">
        <f>$AC$1*(25+Module!$I$6)</f>
        <v>202</v>
      </c>
      <c r="BJ235" s="101">
        <f>(BH235*($AC$1+1)*0.002488974)/($AC$1+1)*Module!$I$5*Module!$I$7</f>
        <v>45.656234094813776</v>
      </c>
      <c r="BK235" s="101">
        <f>$P$120*Module!$I$7*X235*Module!$I$5</f>
        <v>70.000467153284902</v>
      </c>
      <c r="BL235" s="151">
        <f t="shared" si="69"/>
        <v>1000000</v>
      </c>
    </row>
    <row r="236" spans="23:64" ht="19.5" hidden="1" customHeight="1" thickBot="1">
      <c r="W236" s="777"/>
      <c r="X236" s="121">
        <f t="shared" si="70"/>
        <v>32</v>
      </c>
      <c r="Y236" s="122">
        <f>'calcul pneu pour calculateur'!P237</f>
        <v>167.51571006486432</v>
      </c>
      <c r="Z236" s="123">
        <f t="shared" si="76"/>
        <v>335.03142012972864</v>
      </c>
      <c r="AA236" s="123">
        <f t="shared" si="77"/>
        <v>502.54713019459297</v>
      </c>
      <c r="AB236" s="123">
        <f t="shared" si="78"/>
        <v>670.06284025945729</v>
      </c>
      <c r="AC236" s="123">
        <f t="shared" si="79"/>
        <v>837.57855032432167</v>
      </c>
      <c r="AK236" s="121">
        <f t="shared" si="71"/>
        <v>32</v>
      </c>
      <c r="AL236" s="101">
        <f t="shared" si="72"/>
        <v>0</v>
      </c>
      <c r="AM236" s="101">
        <f>10+Module!$K$57/($Z$1+1)</f>
        <v>133.65759122654444</v>
      </c>
      <c r="AN236" s="101">
        <f>$Z$1*(25+Module!$I$6)</f>
        <v>50.5</v>
      </c>
      <c r="AO236" s="101">
        <f>(AM236*($Z$1+1)*0.002488974)/($Z$1+1)*Module!$I$5*Module!$I$7</f>
        <v>102.62345540579445</v>
      </c>
      <c r="AP236" s="101">
        <f>$P$120*Module!$I$7*X236*Module!$I$5</f>
        <v>72.258546738874728</v>
      </c>
      <c r="AQ236" s="151">
        <f t="shared" si="66"/>
        <v>1000000</v>
      </c>
      <c r="AS236" s="101">
        <f t="shared" si="73"/>
        <v>0</v>
      </c>
      <c r="AT236" s="101">
        <f>10+Module!$K$57/($AA$1+1)</f>
        <v>92.438394151029627</v>
      </c>
      <c r="AU236" s="101">
        <f>$AA$1*(25+Module!$I$6)</f>
        <v>101</v>
      </c>
      <c r="AV236" s="101">
        <f>(AT236*($Z$1+1)*0.002488974)/($Z$1+1)*Module!$I$5*Module!$I$7</f>
        <v>70.974999121916298</v>
      </c>
      <c r="AW236" s="101">
        <f>$P$120*Module!$I$7*X236*Module!$I$5</f>
        <v>72.258546738874728</v>
      </c>
      <c r="AX236" s="151">
        <f t="shared" si="67"/>
        <v>1000000</v>
      </c>
      <c r="AZ236" s="101">
        <f t="shared" si="74"/>
        <v>0</v>
      </c>
      <c r="BA236" s="101">
        <f>10+Module!$K$57/($AB$1+1)</f>
        <v>71.82879561327222</v>
      </c>
      <c r="BB236" s="101">
        <f>$AB$1*(25+Module!$I$6)</f>
        <v>151.5</v>
      </c>
      <c r="BC236" s="101">
        <f>(BA236*($AB$1+1)*0.002488974)/($AB$1+1)*Module!$I$5*Module!$I$7</f>
        <v>55.150770979977231</v>
      </c>
      <c r="BD236" s="101">
        <f>$P$120*Module!$I$7*X236*Module!$I$5</f>
        <v>72.258546738874728</v>
      </c>
      <c r="BE236" s="151">
        <f t="shared" si="68"/>
        <v>1000000</v>
      </c>
      <c r="BG236" s="101">
        <f t="shared" si="75"/>
        <v>0</v>
      </c>
      <c r="BH236" s="101">
        <f>10+Module!$K$57/($AC$1+1)</f>
        <v>59.463036490617775</v>
      </c>
      <c r="BI236" s="101">
        <f>$AC$1*(25+Module!$I$6)</f>
        <v>202</v>
      </c>
      <c r="BJ236" s="101">
        <f>(BH236*($AC$1+1)*0.002488974)/($AC$1+1)*Module!$I$5*Module!$I$7</f>
        <v>45.656234094813776</v>
      </c>
      <c r="BK236" s="101">
        <f>$P$120*Module!$I$7*X236*Module!$I$5</f>
        <v>72.258546738874728</v>
      </c>
      <c r="BL236" s="151">
        <f t="shared" si="69"/>
        <v>1000000</v>
      </c>
    </row>
    <row r="237" spans="23:64" ht="19.5" hidden="1" customHeight="1" thickBot="1">
      <c r="W237" s="777"/>
      <c r="X237" s="121">
        <f t="shared" si="70"/>
        <v>33</v>
      </c>
      <c r="Y237" s="122">
        <f>'calcul pneu pour calculateur'!P238</f>
        <v>167.02901178762289</v>
      </c>
      <c r="Z237" s="123">
        <f t="shared" si="76"/>
        <v>334.05802357524578</v>
      </c>
      <c r="AA237" s="123">
        <f t="shared" si="77"/>
        <v>501.08703536286868</v>
      </c>
      <c r="AB237" s="123">
        <f t="shared" si="78"/>
        <v>668.11604715049157</v>
      </c>
      <c r="AC237" s="123">
        <f t="shared" si="79"/>
        <v>835.14505893811452</v>
      </c>
      <c r="AK237" s="121">
        <f t="shared" si="71"/>
        <v>33</v>
      </c>
      <c r="AL237" s="101">
        <f t="shared" si="72"/>
        <v>0</v>
      </c>
      <c r="AM237" s="101">
        <f>10+Module!$K$57/($Z$1+1)</f>
        <v>133.65759122654444</v>
      </c>
      <c r="AN237" s="101">
        <f>$Z$1*(25+Module!$I$6)</f>
        <v>50.5</v>
      </c>
      <c r="AO237" s="101">
        <f>(AM237*($Z$1+1)*0.002488974)/($Z$1+1)*Module!$I$5*Module!$I$7</f>
        <v>102.62345540579445</v>
      </c>
      <c r="AP237" s="101">
        <f>$P$120*Module!$I$7*X237*Module!$I$5</f>
        <v>74.516626324464568</v>
      </c>
      <c r="AQ237" s="151">
        <f t="shared" si="66"/>
        <v>1000000</v>
      </c>
      <c r="AS237" s="101">
        <f t="shared" si="73"/>
        <v>0</v>
      </c>
      <c r="AT237" s="101">
        <f>10+Module!$K$57/($AA$1+1)</f>
        <v>92.438394151029627</v>
      </c>
      <c r="AU237" s="101">
        <f>$AA$1*(25+Module!$I$6)</f>
        <v>101</v>
      </c>
      <c r="AV237" s="101">
        <f>(AT237*($Z$1+1)*0.002488974)/($Z$1+1)*Module!$I$5*Module!$I$7</f>
        <v>70.974999121916298</v>
      </c>
      <c r="AW237" s="101">
        <f>$P$120*Module!$I$7*X237*Module!$I$5</f>
        <v>74.516626324464568</v>
      </c>
      <c r="AX237" s="151">
        <f t="shared" si="67"/>
        <v>1000000</v>
      </c>
      <c r="AZ237" s="101">
        <f t="shared" si="74"/>
        <v>0</v>
      </c>
      <c r="BA237" s="101">
        <f>10+Module!$K$57/($AB$1+1)</f>
        <v>71.82879561327222</v>
      </c>
      <c r="BB237" s="101">
        <f>$AB$1*(25+Module!$I$6)</f>
        <v>151.5</v>
      </c>
      <c r="BC237" s="101">
        <f>(BA237*($AB$1+1)*0.002488974)/($AB$1+1)*Module!$I$5*Module!$I$7</f>
        <v>55.150770979977231</v>
      </c>
      <c r="BD237" s="101">
        <f>$P$120*Module!$I$7*X237*Module!$I$5</f>
        <v>74.516626324464568</v>
      </c>
      <c r="BE237" s="151">
        <f t="shared" si="68"/>
        <v>1000000</v>
      </c>
      <c r="BG237" s="101">
        <f t="shared" si="75"/>
        <v>0</v>
      </c>
      <c r="BH237" s="101">
        <f>10+Module!$K$57/($AC$1+1)</f>
        <v>59.463036490617775</v>
      </c>
      <c r="BI237" s="101">
        <f>$AC$1*(25+Module!$I$6)</f>
        <v>202</v>
      </c>
      <c r="BJ237" s="101">
        <f>(BH237*($AC$1+1)*0.002488974)/($AC$1+1)*Module!$I$5*Module!$I$7</f>
        <v>45.656234094813776</v>
      </c>
      <c r="BK237" s="101">
        <f>$P$120*Module!$I$7*X237*Module!$I$5</f>
        <v>74.516626324464568</v>
      </c>
      <c r="BL237" s="151">
        <f t="shared" si="69"/>
        <v>1000000</v>
      </c>
    </row>
    <row r="238" spans="23:64" ht="19.5" hidden="1" customHeight="1" thickBot="1">
      <c r="W238" s="777"/>
      <c r="X238" s="121">
        <f t="shared" si="70"/>
        <v>34</v>
      </c>
      <c r="Y238" s="122">
        <f>'calcul pneu pour calculateur'!P239</f>
        <v>166.54231351038146</v>
      </c>
      <c r="Z238" s="123">
        <f t="shared" si="76"/>
        <v>333.08462702076292</v>
      </c>
      <c r="AA238" s="123">
        <f t="shared" si="77"/>
        <v>499.62694053114438</v>
      </c>
      <c r="AB238" s="123">
        <f t="shared" si="78"/>
        <v>666.16925404152585</v>
      </c>
      <c r="AC238" s="123">
        <f t="shared" si="79"/>
        <v>832.71156755190736</v>
      </c>
      <c r="AK238" s="121">
        <f t="shared" si="71"/>
        <v>34</v>
      </c>
      <c r="AL238" s="101">
        <f t="shared" si="72"/>
        <v>0</v>
      </c>
      <c r="AM238" s="101">
        <f>10+Module!$K$57/($Z$1+1)</f>
        <v>133.65759122654444</v>
      </c>
      <c r="AN238" s="101">
        <f>$Z$1*(25+Module!$I$6)</f>
        <v>50.5</v>
      </c>
      <c r="AO238" s="101">
        <f>(AM238*($Z$1+1)*0.002488974)/($Z$1+1)*Module!$I$5*Module!$I$7</f>
        <v>102.62345540579445</v>
      </c>
      <c r="AP238" s="101">
        <f>$P$120*Module!$I$7*X238*Module!$I$5</f>
        <v>76.774705910054408</v>
      </c>
      <c r="AQ238" s="151">
        <f t="shared" si="66"/>
        <v>1000000</v>
      </c>
      <c r="AS238" s="101">
        <f t="shared" si="73"/>
        <v>0</v>
      </c>
      <c r="AT238" s="101">
        <f>10+Module!$K$57/($AA$1+1)</f>
        <v>92.438394151029627</v>
      </c>
      <c r="AU238" s="101">
        <f>$AA$1*(25+Module!$I$6)</f>
        <v>101</v>
      </c>
      <c r="AV238" s="101">
        <f>(AT238*($Z$1+1)*0.002488974)/($Z$1+1)*Module!$I$5*Module!$I$7</f>
        <v>70.974999121916298</v>
      </c>
      <c r="AW238" s="101">
        <f>$P$120*Module!$I$7*X238*Module!$I$5</f>
        <v>76.774705910054408</v>
      </c>
      <c r="AX238" s="151">
        <f t="shared" si="67"/>
        <v>1000000</v>
      </c>
      <c r="AZ238" s="101">
        <f t="shared" si="74"/>
        <v>0</v>
      </c>
      <c r="BA238" s="101">
        <f>10+Module!$K$57/($AB$1+1)</f>
        <v>71.82879561327222</v>
      </c>
      <c r="BB238" s="101">
        <f>$AB$1*(25+Module!$I$6)</f>
        <v>151.5</v>
      </c>
      <c r="BC238" s="101">
        <f>(BA238*($AB$1+1)*0.002488974)/($AB$1+1)*Module!$I$5*Module!$I$7</f>
        <v>55.150770979977231</v>
      </c>
      <c r="BD238" s="101">
        <f>$P$120*Module!$I$7*X238*Module!$I$5</f>
        <v>76.774705910054408</v>
      </c>
      <c r="BE238" s="151">
        <f t="shared" si="68"/>
        <v>1000000</v>
      </c>
      <c r="BG238" s="101">
        <f t="shared" si="75"/>
        <v>0</v>
      </c>
      <c r="BH238" s="101">
        <f>10+Module!$K$57/($AC$1+1)</f>
        <v>59.463036490617775</v>
      </c>
      <c r="BI238" s="101">
        <f>$AC$1*(25+Module!$I$6)</f>
        <v>202</v>
      </c>
      <c r="BJ238" s="101">
        <f>(BH238*($AC$1+1)*0.002488974)/($AC$1+1)*Module!$I$5*Module!$I$7</f>
        <v>45.656234094813776</v>
      </c>
      <c r="BK238" s="101">
        <f>$P$120*Module!$I$7*X238*Module!$I$5</f>
        <v>76.774705910054408</v>
      </c>
      <c r="BL238" s="151">
        <f t="shared" si="69"/>
        <v>1000000</v>
      </c>
    </row>
    <row r="239" spans="23:64" ht="19.5" hidden="1" customHeight="1" thickBot="1">
      <c r="W239" s="777"/>
      <c r="X239" s="121">
        <f t="shared" si="70"/>
        <v>35</v>
      </c>
      <c r="Y239" s="122">
        <f>'calcul pneu pour calculateur'!P240</f>
        <v>166.05561523314</v>
      </c>
      <c r="Z239" s="123">
        <f t="shared" si="76"/>
        <v>332.11123046628001</v>
      </c>
      <c r="AA239" s="123">
        <f t="shared" si="77"/>
        <v>498.16684569942004</v>
      </c>
      <c r="AB239" s="123">
        <f t="shared" si="78"/>
        <v>664.22246093256001</v>
      </c>
      <c r="AC239" s="123">
        <f t="shared" si="79"/>
        <v>830.27807616569999</v>
      </c>
      <c r="AK239" s="121">
        <f t="shared" si="71"/>
        <v>35</v>
      </c>
      <c r="AL239" s="101">
        <f t="shared" si="72"/>
        <v>0</v>
      </c>
      <c r="AM239" s="101">
        <f>10+Module!$K$57/($Z$1+1)</f>
        <v>133.65759122654444</v>
      </c>
      <c r="AN239" s="101">
        <f>$Z$1*(25+Module!$I$6)</f>
        <v>50.5</v>
      </c>
      <c r="AO239" s="101">
        <f>(AM239*($Z$1+1)*0.002488974)/($Z$1+1)*Module!$I$5*Module!$I$7</f>
        <v>102.62345540579445</v>
      </c>
      <c r="AP239" s="101">
        <f>$P$120*Module!$I$7*X239*Module!$I$5</f>
        <v>79.032785495644234</v>
      </c>
      <c r="AQ239" s="151">
        <f t="shared" si="66"/>
        <v>1000000</v>
      </c>
      <c r="AS239" s="101">
        <f t="shared" si="73"/>
        <v>0</v>
      </c>
      <c r="AT239" s="101">
        <f>10+Module!$K$57/($AA$1+1)</f>
        <v>92.438394151029627</v>
      </c>
      <c r="AU239" s="101">
        <f>$AA$1*(25+Module!$I$6)</f>
        <v>101</v>
      </c>
      <c r="AV239" s="101">
        <f>(AT239*($Z$1+1)*0.002488974)/($Z$1+1)*Module!$I$5*Module!$I$7</f>
        <v>70.974999121916298</v>
      </c>
      <c r="AW239" s="101">
        <f>$P$120*Module!$I$7*X239*Module!$I$5</f>
        <v>79.032785495644234</v>
      </c>
      <c r="AX239" s="151">
        <f t="shared" si="67"/>
        <v>1000000</v>
      </c>
      <c r="AZ239" s="101">
        <f t="shared" si="74"/>
        <v>0</v>
      </c>
      <c r="BA239" s="101">
        <f>10+Module!$K$57/($AB$1+1)</f>
        <v>71.82879561327222</v>
      </c>
      <c r="BB239" s="101">
        <f>$AB$1*(25+Module!$I$6)</f>
        <v>151.5</v>
      </c>
      <c r="BC239" s="101">
        <f>(BA239*($AB$1+1)*0.002488974)/($AB$1+1)*Module!$I$5*Module!$I$7</f>
        <v>55.150770979977231</v>
      </c>
      <c r="BD239" s="101">
        <f>$P$120*Module!$I$7*X239*Module!$I$5</f>
        <v>79.032785495644234</v>
      </c>
      <c r="BE239" s="151">
        <f t="shared" si="68"/>
        <v>1000000</v>
      </c>
      <c r="BG239" s="101">
        <f t="shared" si="75"/>
        <v>0</v>
      </c>
      <c r="BH239" s="101">
        <f>10+Module!$K$57/($AC$1+1)</f>
        <v>59.463036490617775</v>
      </c>
      <c r="BI239" s="101">
        <f>$AC$1*(25+Module!$I$6)</f>
        <v>202</v>
      </c>
      <c r="BJ239" s="101">
        <f>(BH239*($AC$1+1)*0.002488974)/($AC$1+1)*Module!$I$5*Module!$I$7</f>
        <v>45.656234094813776</v>
      </c>
      <c r="BK239" s="101">
        <f>$P$120*Module!$I$7*X239*Module!$I$5</f>
        <v>79.032785495644234</v>
      </c>
      <c r="BL239" s="151">
        <f t="shared" si="69"/>
        <v>1000000</v>
      </c>
    </row>
    <row r="240" spans="23:64" ht="19.5" hidden="1" customHeight="1" thickBot="1">
      <c r="W240" s="777"/>
      <c r="X240" s="121">
        <f t="shared" si="70"/>
        <v>36</v>
      </c>
      <c r="Y240" s="122">
        <f>'calcul pneu pour calculateur'!P241</f>
        <v>165.56891695589857</v>
      </c>
      <c r="Z240" s="123">
        <f t="shared" si="76"/>
        <v>331.13783391179714</v>
      </c>
      <c r="AA240" s="123">
        <f t="shared" si="77"/>
        <v>496.70675086769575</v>
      </c>
      <c r="AB240" s="123">
        <f t="shared" si="78"/>
        <v>662.27566782359429</v>
      </c>
      <c r="AC240" s="123">
        <f t="shared" si="79"/>
        <v>827.84458477949283</v>
      </c>
      <c r="AK240" s="121">
        <f t="shared" si="71"/>
        <v>36</v>
      </c>
      <c r="AL240" s="101">
        <f t="shared" si="72"/>
        <v>0</v>
      </c>
      <c r="AM240" s="101">
        <f>10+Module!$K$57/($Z$1+1)</f>
        <v>133.65759122654444</v>
      </c>
      <c r="AN240" s="101">
        <f>$Z$1*(25+Module!$I$6)</f>
        <v>50.5</v>
      </c>
      <c r="AO240" s="101">
        <f>(AM240*($Z$1+1)*0.002488974)/($Z$1+1)*Module!$I$5*Module!$I$7</f>
        <v>102.62345540579445</v>
      </c>
      <c r="AP240" s="101">
        <f>$P$120*Module!$I$7*X240*Module!$I$5</f>
        <v>81.290865081234074</v>
      </c>
      <c r="AQ240" s="151">
        <f t="shared" si="66"/>
        <v>1000000</v>
      </c>
      <c r="AS240" s="101">
        <f t="shared" si="73"/>
        <v>0</v>
      </c>
      <c r="AT240" s="101">
        <f>10+Module!$K$57/($AA$1+1)</f>
        <v>92.438394151029627</v>
      </c>
      <c r="AU240" s="101">
        <f>$AA$1*(25+Module!$I$6)</f>
        <v>101</v>
      </c>
      <c r="AV240" s="101">
        <f>(AT240*($Z$1+1)*0.002488974)/($Z$1+1)*Module!$I$5*Module!$I$7</f>
        <v>70.974999121916298</v>
      </c>
      <c r="AW240" s="101">
        <f>$P$120*Module!$I$7*X240*Module!$I$5</f>
        <v>81.290865081234074</v>
      </c>
      <c r="AX240" s="151">
        <f t="shared" si="67"/>
        <v>1000000</v>
      </c>
      <c r="AZ240" s="101">
        <f t="shared" si="74"/>
        <v>0</v>
      </c>
      <c r="BA240" s="101">
        <f>10+Module!$K$57/($AB$1+1)</f>
        <v>71.82879561327222</v>
      </c>
      <c r="BB240" s="101">
        <f>$AB$1*(25+Module!$I$6)</f>
        <v>151.5</v>
      </c>
      <c r="BC240" s="101">
        <f>(BA240*($AB$1+1)*0.002488974)/($AB$1+1)*Module!$I$5*Module!$I$7</f>
        <v>55.150770979977231</v>
      </c>
      <c r="BD240" s="101">
        <f>$P$120*Module!$I$7*X240*Module!$I$5</f>
        <v>81.290865081234074</v>
      </c>
      <c r="BE240" s="151">
        <f t="shared" si="68"/>
        <v>1000000</v>
      </c>
      <c r="BG240" s="101">
        <f t="shared" si="75"/>
        <v>0</v>
      </c>
      <c r="BH240" s="101">
        <f>10+Module!$K$57/($AC$1+1)</f>
        <v>59.463036490617775</v>
      </c>
      <c r="BI240" s="101">
        <f>$AC$1*(25+Module!$I$6)</f>
        <v>202</v>
      </c>
      <c r="BJ240" s="101">
        <f>(BH240*($AC$1+1)*0.002488974)/($AC$1+1)*Module!$I$5*Module!$I$7</f>
        <v>45.656234094813776</v>
      </c>
      <c r="BK240" s="101">
        <f>$P$120*Module!$I$7*X240*Module!$I$5</f>
        <v>81.290865081234074</v>
      </c>
      <c r="BL240" s="151">
        <f t="shared" si="69"/>
        <v>1000000</v>
      </c>
    </row>
    <row r="241" spans="23:64" ht="19.5" hidden="1" customHeight="1" thickBot="1">
      <c r="W241" s="777"/>
      <c r="X241" s="121">
        <f t="shared" si="70"/>
        <v>37</v>
      </c>
      <c r="Y241" s="122">
        <f>'calcul pneu pour calculateur'!P242</f>
        <v>165.08221867865714</v>
      </c>
      <c r="Z241" s="123">
        <f t="shared" si="76"/>
        <v>330.16443735731428</v>
      </c>
      <c r="AA241" s="123">
        <f t="shared" si="77"/>
        <v>495.24665603597145</v>
      </c>
      <c r="AB241" s="123">
        <f t="shared" si="78"/>
        <v>660.32887471462857</v>
      </c>
      <c r="AC241" s="123">
        <f t="shared" si="79"/>
        <v>825.41109339328568</v>
      </c>
      <c r="AK241" s="121">
        <f t="shared" si="71"/>
        <v>37</v>
      </c>
      <c r="AL241" s="101">
        <f t="shared" si="72"/>
        <v>0</v>
      </c>
      <c r="AM241" s="101">
        <f>10+Module!$K$57/($Z$1+1)</f>
        <v>133.65759122654444</v>
      </c>
      <c r="AN241" s="101">
        <f>$Z$1*(25+Module!$I$6)</f>
        <v>50.5</v>
      </c>
      <c r="AO241" s="101">
        <f>(AM241*($Z$1+1)*0.002488974)/($Z$1+1)*Module!$I$5*Module!$I$7</f>
        <v>102.62345540579445</v>
      </c>
      <c r="AP241" s="101">
        <f>$P$120*Module!$I$7*X241*Module!$I$5</f>
        <v>83.548944666823914</v>
      </c>
      <c r="AQ241" s="151">
        <f t="shared" si="66"/>
        <v>1000000</v>
      </c>
      <c r="AS241" s="101">
        <f t="shared" si="73"/>
        <v>0</v>
      </c>
      <c r="AT241" s="101">
        <f>10+Module!$K$57/($AA$1+1)</f>
        <v>92.438394151029627</v>
      </c>
      <c r="AU241" s="101">
        <f>$AA$1*(25+Module!$I$6)</f>
        <v>101</v>
      </c>
      <c r="AV241" s="101">
        <f>(AT241*($Z$1+1)*0.002488974)/($Z$1+1)*Module!$I$5*Module!$I$7</f>
        <v>70.974999121916298</v>
      </c>
      <c r="AW241" s="101">
        <f>$P$120*Module!$I$7*X241*Module!$I$5</f>
        <v>83.548944666823914</v>
      </c>
      <c r="AX241" s="151">
        <f t="shared" si="67"/>
        <v>1000000</v>
      </c>
      <c r="AZ241" s="101">
        <f t="shared" si="74"/>
        <v>0</v>
      </c>
      <c r="BA241" s="101">
        <f>10+Module!$K$57/($AB$1+1)</f>
        <v>71.82879561327222</v>
      </c>
      <c r="BB241" s="101">
        <f>$AB$1*(25+Module!$I$6)</f>
        <v>151.5</v>
      </c>
      <c r="BC241" s="101">
        <f>(BA241*($AB$1+1)*0.002488974)/($AB$1+1)*Module!$I$5*Module!$I$7</f>
        <v>55.150770979977231</v>
      </c>
      <c r="BD241" s="101">
        <f>$P$120*Module!$I$7*X241*Module!$I$5</f>
        <v>83.548944666823914</v>
      </c>
      <c r="BE241" s="151">
        <f t="shared" si="68"/>
        <v>1000000</v>
      </c>
      <c r="BG241" s="101">
        <f t="shared" si="75"/>
        <v>0</v>
      </c>
      <c r="BH241" s="101">
        <f>10+Module!$K$57/($AC$1+1)</f>
        <v>59.463036490617775</v>
      </c>
      <c r="BI241" s="101">
        <f>$AC$1*(25+Module!$I$6)</f>
        <v>202</v>
      </c>
      <c r="BJ241" s="101">
        <f>(BH241*($AC$1+1)*0.002488974)/($AC$1+1)*Module!$I$5*Module!$I$7</f>
        <v>45.656234094813776</v>
      </c>
      <c r="BK241" s="101">
        <f>$P$120*Module!$I$7*X241*Module!$I$5</f>
        <v>83.548944666823914</v>
      </c>
      <c r="BL241" s="151">
        <f t="shared" si="69"/>
        <v>1000000</v>
      </c>
    </row>
    <row r="242" spans="23:64" ht="19.5" hidden="1" customHeight="1" thickBot="1">
      <c r="W242" s="777"/>
      <c r="X242" s="121">
        <f t="shared" si="70"/>
        <v>38</v>
      </c>
      <c r="Y242" s="122">
        <f>'calcul pneu pour calculateur'!P243</f>
        <v>164.59552040141568</v>
      </c>
      <c r="Z242" s="123">
        <f t="shared" si="76"/>
        <v>329.19104080283137</v>
      </c>
      <c r="AA242" s="123">
        <f t="shared" si="77"/>
        <v>493.78656120424705</v>
      </c>
      <c r="AB242" s="123">
        <f t="shared" si="78"/>
        <v>658.38208160566273</v>
      </c>
      <c r="AC242" s="123">
        <f t="shared" si="79"/>
        <v>822.97760200707842</v>
      </c>
      <c r="AK242" s="121">
        <f t="shared" si="71"/>
        <v>38</v>
      </c>
      <c r="AL242" s="101">
        <f t="shared" si="72"/>
        <v>0</v>
      </c>
      <c r="AM242" s="101">
        <f>10+Module!$K$57/($Z$1+1)</f>
        <v>133.65759122654444</v>
      </c>
      <c r="AN242" s="101">
        <f>$Z$1*(25+Module!$I$6)</f>
        <v>50.5</v>
      </c>
      <c r="AO242" s="101">
        <f>(AM242*($Z$1+1)*0.002488974)/($Z$1+1)*Module!$I$5*Module!$I$7</f>
        <v>102.62345540579445</v>
      </c>
      <c r="AP242" s="101">
        <f>$P$120*Module!$I$7*X242*Module!$I$5</f>
        <v>85.807024252413754</v>
      </c>
      <c r="AQ242" s="151">
        <f t="shared" si="66"/>
        <v>1000000</v>
      </c>
      <c r="AS242" s="101">
        <f t="shared" si="73"/>
        <v>0</v>
      </c>
      <c r="AT242" s="101">
        <f>10+Module!$K$57/($AA$1+1)</f>
        <v>92.438394151029627</v>
      </c>
      <c r="AU242" s="101">
        <f>$AA$1*(25+Module!$I$6)</f>
        <v>101</v>
      </c>
      <c r="AV242" s="101">
        <f>(AT242*($Z$1+1)*0.002488974)/($Z$1+1)*Module!$I$5*Module!$I$7</f>
        <v>70.974999121916298</v>
      </c>
      <c r="AW242" s="101">
        <f>$P$120*Module!$I$7*X242*Module!$I$5</f>
        <v>85.807024252413754</v>
      </c>
      <c r="AX242" s="151">
        <f t="shared" si="67"/>
        <v>1000000</v>
      </c>
      <c r="AZ242" s="101">
        <f t="shared" si="74"/>
        <v>0</v>
      </c>
      <c r="BA242" s="101">
        <f>10+Module!$K$57/($AB$1+1)</f>
        <v>71.82879561327222</v>
      </c>
      <c r="BB242" s="101">
        <f>$AB$1*(25+Module!$I$6)</f>
        <v>151.5</v>
      </c>
      <c r="BC242" s="101">
        <f>(BA242*($AB$1+1)*0.002488974)/($AB$1+1)*Module!$I$5*Module!$I$7</f>
        <v>55.150770979977231</v>
      </c>
      <c r="BD242" s="101">
        <f>$P$120*Module!$I$7*X242*Module!$I$5</f>
        <v>85.807024252413754</v>
      </c>
      <c r="BE242" s="151">
        <f t="shared" si="68"/>
        <v>1000000</v>
      </c>
      <c r="BG242" s="101">
        <f t="shared" si="75"/>
        <v>0</v>
      </c>
      <c r="BH242" s="101">
        <f>10+Module!$K$57/($AC$1+1)</f>
        <v>59.463036490617775</v>
      </c>
      <c r="BI242" s="101">
        <f>$AC$1*(25+Module!$I$6)</f>
        <v>202</v>
      </c>
      <c r="BJ242" s="101">
        <f>(BH242*($AC$1+1)*0.002488974)/($AC$1+1)*Module!$I$5*Module!$I$7</f>
        <v>45.656234094813776</v>
      </c>
      <c r="BK242" s="101">
        <f>$P$120*Module!$I$7*X242*Module!$I$5</f>
        <v>85.807024252413754</v>
      </c>
      <c r="BL242" s="151">
        <f t="shared" si="69"/>
        <v>1000000</v>
      </c>
    </row>
    <row r="243" spans="23:64" ht="19.5" hidden="1" customHeight="1" thickBot="1">
      <c r="W243" s="777"/>
      <c r="X243" s="121">
        <f t="shared" si="70"/>
        <v>39</v>
      </c>
      <c r="Y243" s="122">
        <f>'calcul pneu pour calculateur'!P244</f>
        <v>164.10882212417425</v>
      </c>
      <c r="Z243" s="123">
        <f t="shared" si="76"/>
        <v>328.21764424834851</v>
      </c>
      <c r="AA243" s="123">
        <f t="shared" si="77"/>
        <v>492.32646637252276</v>
      </c>
      <c r="AB243" s="123">
        <f t="shared" si="78"/>
        <v>656.43528849669701</v>
      </c>
      <c r="AC243" s="123">
        <f t="shared" si="79"/>
        <v>820.54411062087127</v>
      </c>
      <c r="AK243" s="121">
        <f t="shared" si="71"/>
        <v>39</v>
      </c>
      <c r="AL243" s="101">
        <f t="shared" si="72"/>
        <v>0</v>
      </c>
      <c r="AM243" s="101">
        <f>10+Module!$K$57/($Z$1+1)</f>
        <v>133.65759122654444</v>
      </c>
      <c r="AN243" s="101">
        <f>$Z$1*(25+Module!$I$6)</f>
        <v>50.5</v>
      </c>
      <c r="AO243" s="101">
        <f>(AM243*($Z$1+1)*0.002488974)/($Z$1+1)*Module!$I$5*Module!$I$7</f>
        <v>102.62345540579445</v>
      </c>
      <c r="AP243" s="101">
        <f>$P$120*Module!$I$7*X243*Module!$I$5</f>
        <v>88.06510383800358</v>
      </c>
      <c r="AQ243" s="151">
        <f t="shared" si="66"/>
        <v>1000000</v>
      </c>
      <c r="AS243" s="101">
        <f t="shared" si="73"/>
        <v>0</v>
      </c>
      <c r="AT243" s="101">
        <f>10+Module!$K$57/($AA$1+1)</f>
        <v>92.438394151029627</v>
      </c>
      <c r="AU243" s="101">
        <f>$AA$1*(25+Module!$I$6)</f>
        <v>101</v>
      </c>
      <c r="AV243" s="101">
        <f>(AT243*($Z$1+1)*0.002488974)/($Z$1+1)*Module!$I$5*Module!$I$7</f>
        <v>70.974999121916298</v>
      </c>
      <c r="AW243" s="101">
        <f>$P$120*Module!$I$7*X243*Module!$I$5</f>
        <v>88.06510383800358</v>
      </c>
      <c r="AX243" s="151">
        <f t="shared" si="67"/>
        <v>1000000</v>
      </c>
      <c r="AZ243" s="101">
        <f t="shared" si="74"/>
        <v>0</v>
      </c>
      <c r="BA243" s="101">
        <f>10+Module!$K$57/($AB$1+1)</f>
        <v>71.82879561327222</v>
      </c>
      <c r="BB243" s="101">
        <f>$AB$1*(25+Module!$I$6)</f>
        <v>151.5</v>
      </c>
      <c r="BC243" s="101">
        <f>(BA243*($AB$1+1)*0.002488974)/($AB$1+1)*Module!$I$5*Module!$I$7</f>
        <v>55.150770979977231</v>
      </c>
      <c r="BD243" s="101">
        <f>$P$120*Module!$I$7*X243*Module!$I$5</f>
        <v>88.06510383800358</v>
      </c>
      <c r="BE243" s="151">
        <f t="shared" si="68"/>
        <v>1000000</v>
      </c>
      <c r="BG243" s="101">
        <f t="shared" si="75"/>
        <v>0</v>
      </c>
      <c r="BH243" s="101">
        <f>10+Module!$K$57/($AC$1+1)</f>
        <v>59.463036490617775</v>
      </c>
      <c r="BI243" s="101">
        <f>$AC$1*(25+Module!$I$6)</f>
        <v>202</v>
      </c>
      <c r="BJ243" s="101">
        <f>(BH243*($AC$1+1)*0.002488974)/($AC$1+1)*Module!$I$5*Module!$I$7</f>
        <v>45.656234094813776</v>
      </c>
      <c r="BK243" s="101">
        <f>$P$120*Module!$I$7*X243*Module!$I$5</f>
        <v>88.06510383800358</v>
      </c>
      <c r="BL243" s="151">
        <f t="shared" si="69"/>
        <v>1000000</v>
      </c>
    </row>
    <row r="244" spans="23:64" ht="19.5" hidden="1" customHeight="1" thickBot="1">
      <c r="W244" s="777"/>
      <c r="X244" s="121">
        <f t="shared" si="70"/>
        <v>40</v>
      </c>
      <c r="Y244" s="122">
        <f>'calcul pneu pour calculateur'!P245</f>
        <v>163.62212384693282</v>
      </c>
      <c r="Z244" s="123">
        <f t="shared" si="76"/>
        <v>327.24424769386565</v>
      </c>
      <c r="AA244" s="123">
        <f t="shared" si="77"/>
        <v>490.86637154079847</v>
      </c>
      <c r="AB244" s="123">
        <f t="shared" si="78"/>
        <v>654.48849538773129</v>
      </c>
      <c r="AC244" s="123">
        <f t="shared" si="79"/>
        <v>818.11061923466411</v>
      </c>
      <c r="AK244" s="121">
        <f t="shared" si="71"/>
        <v>40</v>
      </c>
      <c r="AL244" s="101">
        <f t="shared" si="72"/>
        <v>0</v>
      </c>
      <c r="AM244" s="101">
        <f>10+Module!$K$57/($Z$1+1)</f>
        <v>133.65759122654444</v>
      </c>
      <c r="AN244" s="101">
        <f>$Z$1*(25+Module!$I$6)</f>
        <v>50.5</v>
      </c>
      <c r="AO244" s="101">
        <f>(AM244*($Z$1+1)*0.002488974)/($Z$1+1)*Module!$I$5*Module!$I$7</f>
        <v>102.62345540579445</v>
      </c>
      <c r="AP244" s="101">
        <f>$P$120*Module!$I$7*X244*Module!$I$5</f>
        <v>90.32318342359342</v>
      </c>
      <c r="AQ244" s="151">
        <f t="shared" si="66"/>
        <v>1000000</v>
      </c>
      <c r="AS244" s="101">
        <f t="shared" si="73"/>
        <v>0</v>
      </c>
      <c r="AT244" s="101">
        <f>10+Module!$K$57/($AA$1+1)</f>
        <v>92.438394151029627</v>
      </c>
      <c r="AU244" s="101">
        <f>$AA$1*(25+Module!$I$6)</f>
        <v>101</v>
      </c>
      <c r="AV244" s="101">
        <f>(AT244*($Z$1+1)*0.002488974)/($Z$1+1)*Module!$I$5*Module!$I$7</f>
        <v>70.974999121916298</v>
      </c>
      <c r="AW244" s="101">
        <f>$P$120*Module!$I$7*X244*Module!$I$5</f>
        <v>90.32318342359342</v>
      </c>
      <c r="AX244" s="151">
        <f t="shared" si="67"/>
        <v>1000000</v>
      </c>
      <c r="AZ244" s="101">
        <f t="shared" si="74"/>
        <v>0</v>
      </c>
      <c r="BA244" s="101">
        <f>10+Module!$K$57/($AB$1+1)</f>
        <v>71.82879561327222</v>
      </c>
      <c r="BB244" s="101">
        <f>$AB$1*(25+Module!$I$6)</f>
        <v>151.5</v>
      </c>
      <c r="BC244" s="101">
        <f>(BA244*($AB$1+1)*0.002488974)/($AB$1+1)*Module!$I$5*Module!$I$7</f>
        <v>55.150770979977231</v>
      </c>
      <c r="BD244" s="101">
        <f>$P$120*Module!$I$7*X244*Module!$I$5</f>
        <v>90.32318342359342</v>
      </c>
      <c r="BE244" s="151">
        <f t="shared" si="68"/>
        <v>1000000</v>
      </c>
      <c r="BG244" s="101">
        <f t="shared" si="75"/>
        <v>0</v>
      </c>
      <c r="BH244" s="101">
        <f>10+Module!$K$57/($AC$1+1)</f>
        <v>59.463036490617775</v>
      </c>
      <c r="BI244" s="101">
        <f>$AC$1*(25+Module!$I$6)</f>
        <v>202</v>
      </c>
      <c r="BJ244" s="101">
        <f>(BH244*($AC$1+1)*0.002488974)/($AC$1+1)*Module!$I$5*Module!$I$7</f>
        <v>45.656234094813776</v>
      </c>
      <c r="BK244" s="101">
        <f>$P$120*Module!$I$7*X244*Module!$I$5</f>
        <v>90.32318342359342</v>
      </c>
      <c r="BL244" s="151">
        <f t="shared" si="69"/>
        <v>1000000</v>
      </c>
    </row>
    <row r="245" spans="23:64" ht="19.5" hidden="1" customHeight="1" thickBot="1">
      <c r="W245" s="777"/>
      <c r="X245" s="121">
        <f t="shared" si="70"/>
        <v>41</v>
      </c>
      <c r="Y245" s="122">
        <f>'calcul pneu pour calculateur'!P246</f>
        <v>163.13542556969139</v>
      </c>
      <c r="Z245" s="123">
        <f t="shared" si="76"/>
        <v>326.27085113938278</v>
      </c>
      <c r="AA245" s="123">
        <f t="shared" si="77"/>
        <v>489.40627670907418</v>
      </c>
      <c r="AB245" s="123">
        <f t="shared" si="78"/>
        <v>652.54170227876557</v>
      </c>
      <c r="AC245" s="123">
        <f t="shared" si="79"/>
        <v>815.67712784845696</v>
      </c>
      <c r="AK245" s="121">
        <f t="shared" si="71"/>
        <v>41</v>
      </c>
      <c r="AL245" s="101">
        <f t="shared" si="72"/>
        <v>0</v>
      </c>
      <c r="AM245" s="101">
        <f>10+Module!$K$57/($Z$1+1)</f>
        <v>133.65759122654444</v>
      </c>
      <c r="AN245" s="101">
        <f>$Z$1*(25+Module!$I$6)</f>
        <v>50.5</v>
      </c>
      <c r="AO245" s="101">
        <f>(AM245*($Z$1+1)*0.002488974)/($Z$1+1)*Module!$I$5*Module!$I$7</f>
        <v>102.62345540579445</v>
      </c>
      <c r="AP245" s="101">
        <f>$P$120*Module!$I$7*X245*Module!$I$5</f>
        <v>92.581263009183246</v>
      </c>
      <c r="AQ245" s="151">
        <f t="shared" si="66"/>
        <v>1000000</v>
      </c>
      <c r="AS245" s="101">
        <f t="shared" si="73"/>
        <v>0</v>
      </c>
      <c r="AT245" s="101">
        <f>10+Module!$K$57/($AA$1+1)</f>
        <v>92.438394151029627</v>
      </c>
      <c r="AU245" s="101">
        <f>$AA$1*(25+Module!$I$6)</f>
        <v>101</v>
      </c>
      <c r="AV245" s="101">
        <f>(AT245*($Z$1+1)*0.002488974)/($Z$1+1)*Module!$I$5*Module!$I$7</f>
        <v>70.974999121916298</v>
      </c>
      <c r="AW245" s="101">
        <f>$P$120*Module!$I$7*X245*Module!$I$5</f>
        <v>92.581263009183246</v>
      </c>
      <c r="AX245" s="151">
        <f t="shared" si="67"/>
        <v>1000000</v>
      </c>
      <c r="AZ245" s="101">
        <f t="shared" si="74"/>
        <v>0</v>
      </c>
      <c r="BA245" s="101">
        <f>10+Module!$K$57/($AB$1+1)</f>
        <v>71.82879561327222</v>
      </c>
      <c r="BB245" s="101">
        <f>$AB$1*(25+Module!$I$6)</f>
        <v>151.5</v>
      </c>
      <c r="BC245" s="101">
        <f>(BA245*($AB$1+1)*0.002488974)/($AB$1+1)*Module!$I$5*Module!$I$7</f>
        <v>55.150770979977231</v>
      </c>
      <c r="BD245" s="101">
        <f>$P$120*Module!$I$7*X245*Module!$I$5</f>
        <v>92.581263009183246</v>
      </c>
      <c r="BE245" s="151">
        <f t="shared" si="68"/>
        <v>1000000</v>
      </c>
      <c r="BG245" s="101">
        <f t="shared" si="75"/>
        <v>0</v>
      </c>
      <c r="BH245" s="101">
        <f>10+Module!$K$57/($AC$1+1)</f>
        <v>59.463036490617775</v>
      </c>
      <c r="BI245" s="101">
        <f>$AC$1*(25+Module!$I$6)</f>
        <v>202</v>
      </c>
      <c r="BJ245" s="101">
        <f>(BH245*($AC$1+1)*0.002488974)/($AC$1+1)*Module!$I$5*Module!$I$7</f>
        <v>45.656234094813776</v>
      </c>
      <c r="BK245" s="101">
        <f>$P$120*Module!$I$7*X245*Module!$I$5</f>
        <v>92.581263009183246</v>
      </c>
      <c r="BL245" s="151">
        <f t="shared" si="69"/>
        <v>1000000</v>
      </c>
    </row>
    <row r="246" spans="23:64" ht="19.5" hidden="1" customHeight="1" thickBot="1">
      <c r="W246" s="777"/>
      <c r="X246" s="121">
        <f t="shared" si="70"/>
        <v>42</v>
      </c>
      <c r="Y246" s="122">
        <f>'calcul pneu pour calculateur'!P247</f>
        <v>162.64872729244993</v>
      </c>
      <c r="Z246" s="123">
        <f t="shared" si="76"/>
        <v>325.29745458489987</v>
      </c>
      <c r="AA246" s="123">
        <f t="shared" si="77"/>
        <v>487.94618187734977</v>
      </c>
      <c r="AB246" s="123">
        <f t="shared" si="78"/>
        <v>650.59490916979973</v>
      </c>
      <c r="AC246" s="123">
        <f t="shared" si="79"/>
        <v>813.2436364622497</v>
      </c>
      <c r="AK246" s="121">
        <f t="shared" si="71"/>
        <v>42</v>
      </c>
      <c r="AL246" s="101">
        <f t="shared" si="72"/>
        <v>0</v>
      </c>
      <c r="AM246" s="101">
        <f>10+Module!$K$57/($Z$1+1)</f>
        <v>133.65759122654444</v>
      </c>
      <c r="AN246" s="101">
        <f>$Z$1*(25+Module!$I$6)</f>
        <v>50.5</v>
      </c>
      <c r="AO246" s="101">
        <f>(AM246*($Z$1+1)*0.002488974)/($Z$1+1)*Module!$I$5*Module!$I$7</f>
        <v>102.62345540579445</v>
      </c>
      <c r="AP246" s="101">
        <f>$P$120*Module!$I$7*X246*Module!$I$5</f>
        <v>94.8393425947731</v>
      </c>
      <c r="AQ246" s="151">
        <f t="shared" si="66"/>
        <v>1000000</v>
      </c>
      <c r="AS246" s="101">
        <f t="shared" si="73"/>
        <v>0</v>
      </c>
      <c r="AT246" s="101">
        <f>10+Module!$K$57/($AA$1+1)</f>
        <v>92.438394151029627</v>
      </c>
      <c r="AU246" s="101">
        <f>$AA$1*(25+Module!$I$6)</f>
        <v>101</v>
      </c>
      <c r="AV246" s="101">
        <f>(AT246*($Z$1+1)*0.002488974)/($Z$1+1)*Module!$I$5*Module!$I$7</f>
        <v>70.974999121916298</v>
      </c>
      <c r="AW246" s="101">
        <f>$P$120*Module!$I$7*X246*Module!$I$5</f>
        <v>94.8393425947731</v>
      </c>
      <c r="AX246" s="151">
        <f t="shared" si="67"/>
        <v>1000000</v>
      </c>
      <c r="AZ246" s="101">
        <f t="shared" si="74"/>
        <v>0</v>
      </c>
      <c r="BA246" s="101">
        <f>10+Module!$K$57/($AB$1+1)</f>
        <v>71.82879561327222</v>
      </c>
      <c r="BB246" s="101">
        <f>$AB$1*(25+Module!$I$6)</f>
        <v>151.5</v>
      </c>
      <c r="BC246" s="101">
        <f>(BA246*($AB$1+1)*0.002488974)/($AB$1+1)*Module!$I$5*Module!$I$7</f>
        <v>55.150770979977231</v>
      </c>
      <c r="BD246" s="101">
        <f>$P$120*Module!$I$7*X246*Module!$I$5</f>
        <v>94.8393425947731</v>
      </c>
      <c r="BE246" s="151">
        <f t="shared" si="68"/>
        <v>1000000</v>
      </c>
      <c r="BG246" s="101">
        <f t="shared" si="75"/>
        <v>0</v>
      </c>
      <c r="BH246" s="101">
        <f>10+Module!$K$57/($AC$1+1)</f>
        <v>59.463036490617775</v>
      </c>
      <c r="BI246" s="101">
        <f>$AC$1*(25+Module!$I$6)</f>
        <v>202</v>
      </c>
      <c r="BJ246" s="101">
        <f>(BH246*($AC$1+1)*0.002488974)/($AC$1+1)*Module!$I$5*Module!$I$7</f>
        <v>45.656234094813776</v>
      </c>
      <c r="BK246" s="101">
        <f>$P$120*Module!$I$7*X246*Module!$I$5</f>
        <v>94.8393425947731</v>
      </c>
      <c r="BL246" s="151">
        <f t="shared" si="69"/>
        <v>1000000</v>
      </c>
    </row>
    <row r="247" spans="23:64" ht="19.5" hidden="1" customHeight="1" thickBot="1">
      <c r="W247" s="777"/>
      <c r="X247" s="121">
        <f t="shared" si="70"/>
        <v>43</v>
      </c>
      <c r="Y247" s="122">
        <f>'calcul pneu pour calculateur'!P248</f>
        <v>162.1620290152085</v>
      </c>
      <c r="Z247" s="123">
        <f t="shared" si="76"/>
        <v>324.32405803041701</v>
      </c>
      <c r="AA247" s="123">
        <f t="shared" si="77"/>
        <v>486.48608704562548</v>
      </c>
      <c r="AB247" s="123">
        <f t="shared" si="78"/>
        <v>648.64811606083401</v>
      </c>
      <c r="AC247" s="123">
        <f t="shared" si="79"/>
        <v>810.81014507604255</v>
      </c>
      <c r="AK247" s="121">
        <f t="shared" si="71"/>
        <v>43</v>
      </c>
      <c r="AL247" s="101">
        <f t="shared" si="72"/>
        <v>0</v>
      </c>
      <c r="AM247" s="101">
        <f>10+Module!$K$57/($Z$1+1)</f>
        <v>133.65759122654444</v>
      </c>
      <c r="AN247" s="101">
        <f>$Z$1*(25+Module!$I$6)</f>
        <v>50.5</v>
      </c>
      <c r="AO247" s="101">
        <f>(AM247*($Z$1+1)*0.002488974)/($Z$1+1)*Module!$I$5*Module!$I$7</f>
        <v>102.62345540579445</v>
      </c>
      <c r="AP247" s="101">
        <f>$P$120*Module!$I$7*X247*Module!$I$5</f>
        <v>97.097422180362926</v>
      </c>
      <c r="AQ247" s="151">
        <f t="shared" si="66"/>
        <v>1000000</v>
      </c>
      <c r="AS247" s="101">
        <f t="shared" si="73"/>
        <v>0</v>
      </c>
      <c r="AT247" s="101">
        <f>10+Module!$K$57/($AA$1+1)</f>
        <v>92.438394151029627</v>
      </c>
      <c r="AU247" s="101">
        <f>$AA$1*(25+Module!$I$6)</f>
        <v>101</v>
      </c>
      <c r="AV247" s="101">
        <f>(AT247*($Z$1+1)*0.002488974)/($Z$1+1)*Module!$I$5*Module!$I$7</f>
        <v>70.974999121916298</v>
      </c>
      <c r="AW247" s="101">
        <f>$P$120*Module!$I$7*X247*Module!$I$5</f>
        <v>97.097422180362926</v>
      </c>
      <c r="AX247" s="151">
        <f t="shared" si="67"/>
        <v>1000000</v>
      </c>
      <c r="AZ247" s="101">
        <f t="shared" si="74"/>
        <v>0</v>
      </c>
      <c r="BA247" s="101">
        <f>10+Module!$K$57/($AB$1+1)</f>
        <v>71.82879561327222</v>
      </c>
      <c r="BB247" s="101">
        <f>$AB$1*(25+Module!$I$6)</f>
        <v>151.5</v>
      </c>
      <c r="BC247" s="101">
        <f>(BA247*($AB$1+1)*0.002488974)/($AB$1+1)*Module!$I$5*Module!$I$7</f>
        <v>55.150770979977231</v>
      </c>
      <c r="BD247" s="101">
        <f>$P$120*Module!$I$7*X247*Module!$I$5</f>
        <v>97.097422180362926</v>
      </c>
      <c r="BE247" s="151">
        <f t="shared" si="68"/>
        <v>1000000</v>
      </c>
      <c r="BG247" s="101">
        <f t="shared" si="75"/>
        <v>0</v>
      </c>
      <c r="BH247" s="101">
        <f>10+Module!$K$57/($AC$1+1)</f>
        <v>59.463036490617775</v>
      </c>
      <c r="BI247" s="101">
        <f>$AC$1*(25+Module!$I$6)</f>
        <v>202</v>
      </c>
      <c r="BJ247" s="101">
        <f>(BH247*($AC$1+1)*0.002488974)/($AC$1+1)*Module!$I$5*Module!$I$7</f>
        <v>45.656234094813776</v>
      </c>
      <c r="BK247" s="101">
        <f>$P$120*Module!$I$7*X247*Module!$I$5</f>
        <v>97.097422180362926</v>
      </c>
      <c r="BL247" s="151">
        <f t="shared" si="69"/>
        <v>1000000</v>
      </c>
    </row>
    <row r="248" spans="23:64" ht="19.5" hidden="1" customHeight="1" thickBot="1">
      <c r="W248" s="777"/>
      <c r="X248" s="121">
        <f t="shared" si="70"/>
        <v>44</v>
      </c>
      <c r="Y248" s="122">
        <f>'calcul pneu pour calculateur'!P249</f>
        <v>161.67533073796707</v>
      </c>
      <c r="Z248" s="123">
        <f t="shared" si="76"/>
        <v>323.35066147593415</v>
      </c>
      <c r="AA248" s="123">
        <f t="shared" si="77"/>
        <v>485.02599221390119</v>
      </c>
      <c r="AB248" s="123">
        <f t="shared" si="78"/>
        <v>646.70132295186829</v>
      </c>
      <c r="AC248" s="123">
        <f t="shared" si="79"/>
        <v>808.37665368983539</v>
      </c>
      <c r="AK248" s="121">
        <f t="shared" si="71"/>
        <v>44</v>
      </c>
      <c r="AL248" s="101">
        <f t="shared" si="72"/>
        <v>0</v>
      </c>
      <c r="AM248" s="101">
        <f>10+Module!$K$57/($Z$1+1)</f>
        <v>133.65759122654444</v>
      </c>
      <c r="AN248" s="101">
        <f>$Z$1*(25+Module!$I$6)</f>
        <v>50.5</v>
      </c>
      <c r="AO248" s="101">
        <f>(AM248*($Z$1+1)*0.002488974)/($Z$1+1)*Module!$I$5*Module!$I$7</f>
        <v>102.62345540579445</v>
      </c>
      <c r="AP248" s="101">
        <f>$P$120*Module!$I$7*X248*Module!$I$5</f>
        <v>99.355501765952766</v>
      </c>
      <c r="AQ248" s="151">
        <f t="shared" si="66"/>
        <v>1000000</v>
      </c>
      <c r="AS248" s="101">
        <f t="shared" si="73"/>
        <v>0</v>
      </c>
      <c r="AT248" s="101">
        <f>10+Module!$K$57/($AA$1+1)</f>
        <v>92.438394151029627</v>
      </c>
      <c r="AU248" s="101">
        <f>$AA$1*(25+Module!$I$6)</f>
        <v>101</v>
      </c>
      <c r="AV248" s="101">
        <f>(AT248*($Z$1+1)*0.002488974)/($Z$1+1)*Module!$I$5*Module!$I$7</f>
        <v>70.974999121916298</v>
      </c>
      <c r="AW248" s="101">
        <f>$P$120*Module!$I$7*X248*Module!$I$5</f>
        <v>99.355501765952766</v>
      </c>
      <c r="AX248" s="151">
        <f t="shared" si="67"/>
        <v>1000000</v>
      </c>
      <c r="AZ248" s="101">
        <f t="shared" si="74"/>
        <v>0</v>
      </c>
      <c r="BA248" s="101">
        <f>10+Module!$K$57/($AB$1+1)</f>
        <v>71.82879561327222</v>
      </c>
      <c r="BB248" s="101">
        <f>$AB$1*(25+Module!$I$6)</f>
        <v>151.5</v>
      </c>
      <c r="BC248" s="101">
        <f>(BA248*($AB$1+1)*0.002488974)/($AB$1+1)*Module!$I$5*Module!$I$7</f>
        <v>55.150770979977231</v>
      </c>
      <c r="BD248" s="101">
        <f>$P$120*Module!$I$7*X248*Module!$I$5</f>
        <v>99.355501765952766</v>
      </c>
      <c r="BE248" s="151">
        <f t="shared" si="68"/>
        <v>1000000</v>
      </c>
      <c r="BG248" s="101">
        <f t="shared" si="75"/>
        <v>0</v>
      </c>
      <c r="BH248" s="101">
        <f>10+Module!$K$57/($AC$1+1)</f>
        <v>59.463036490617775</v>
      </c>
      <c r="BI248" s="101">
        <f>$AC$1*(25+Module!$I$6)</f>
        <v>202</v>
      </c>
      <c r="BJ248" s="101">
        <f>(BH248*($AC$1+1)*0.002488974)/($AC$1+1)*Module!$I$5*Module!$I$7</f>
        <v>45.656234094813776</v>
      </c>
      <c r="BK248" s="101">
        <f>$P$120*Module!$I$7*X248*Module!$I$5</f>
        <v>99.355501765952766</v>
      </c>
      <c r="BL248" s="151">
        <f t="shared" si="69"/>
        <v>1000000</v>
      </c>
    </row>
    <row r="249" spans="23:64" ht="19.5" hidden="1" customHeight="1" thickBot="1">
      <c r="W249" s="777"/>
      <c r="X249" s="121">
        <f t="shared" si="70"/>
        <v>45</v>
      </c>
      <c r="Y249" s="122">
        <f>'calcul pneu pour calculateur'!P250</f>
        <v>161.18863246072561</v>
      </c>
      <c r="Z249" s="123">
        <f t="shared" si="76"/>
        <v>322.37726492145123</v>
      </c>
      <c r="AA249" s="123">
        <f t="shared" si="77"/>
        <v>483.56589738217684</v>
      </c>
      <c r="AB249" s="123">
        <f t="shared" si="78"/>
        <v>644.75452984290246</v>
      </c>
      <c r="AC249" s="123">
        <f t="shared" si="79"/>
        <v>805.94316230362801</v>
      </c>
      <c r="AK249" s="121">
        <f t="shared" si="71"/>
        <v>45</v>
      </c>
      <c r="AL249" s="101">
        <f t="shared" si="72"/>
        <v>0</v>
      </c>
      <c r="AM249" s="101">
        <f>10+Module!$K$57/($Z$1+1)</f>
        <v>133.65759122654444</v>
      </c>
      <c r="AN249" s="101">
        <f>$Z$1*(25+Module!$I$6)</f>
        <v>50.5</v>
      </c>
      <c r="AO249" s="101">
        <f>(AM249*($Z$1+1)*0.002488974)/($Z$1+1)*Module!$I$5*Module!$I$7</f>
        <v>102.62345540579445</v>
      </c>
      <c r="AP249" s="101">
        <f>$P$120*Module!$I$7*X249*Module!$I$5</f>
        <v>101.61358135154259</v>
      </c>
      <c r="AQ249" s="151">
        <f t="shared" si="66"/>
        <v>1000000</v>
      </c>
      <c r="AS249" s="101">
        <f t="shared" si="73"/>
        <v>0</v>
      </c>
      <c r="AT249" s="101">
        <f>10+Module!$K$57/($AA$1+1)</f>
        <v>92.438394151029627</v>
      </c>
      <c r="AU249" s="101">
        <f>$AA$1*(25+Module!$I$6)</f>
        <v>101</v>
      </c>
      <c r="AV249" s="101">
        <f>(AT249*($Z$1+1)*0.002488974)/($Z$1+1)*Module!$I$5*Module!$I$7</f>
        <v>70.974999121916298</v>
      </c>
      <c r="AW249" s="101">
        <f>$P$120*Module!$I$7*X249*Module!$I$5</f>
        <v>101.61358135154259</v>
      </c>
      <c r="AX249" s="151">
        <f t="shared" si="67"/>
        <v>1000000</v>
      </c>
      <c r="AZ249" s="101">
        <f t="shared" si="74"/>
        <v>0</v>
      </c>
      <c r="BA249" s="101">
        <f>10+Module!$K$57/($AB$1+1)</f>
        <v>71.82879561327222</v>
      </c>
      <c r="BB249" s="101">
        <f>$AB$1*(25+Module!$I$6)</f>
        <v>151.5</v>
      </c>
      <c r="BC249" s="101">
        <f>(BA249*($AB$1+1)*0.002488974)/($AB$1+1)*Module!$I$5*Module!$I$7</f>
        <v>55.150770979977231</v>
      </c>
      <c r="BD249" s="101">
        <f>$P$120*Module!$I$7*X249*Module!$I$5</f>
        <v>101.61358135154259</v>
      </c>
      <c r="BE249" s="151">
        <f t="shared" si="68"/>
        <v>1000000</v>
      </c>
      <c r="BG249" s="101">
        <f t="shared" si="75"/>
        <v>0</v>
      </c>
      <c r="BH249" s="101">
        <f>10+Module!$K$57/($AC$1+1)</f>
        <v>59.463036490617775</v>
      </c>
      <c r="BI249" s="101">
        <f>$AC$1*(25+Module!$I$6)</f>
        <v>202</v>
      </c>
      <c r="BJ249" s="101">
        <f>(BH249*($AC$1+1)*0.002488974)/($AC$1+1)*Module!$I$5*Module!$I$7</f>
        <v>45.656234094813776</v>
      </c>
      <c r="BK249" s="101">
        <f>$P$120*Module!$I$7*X249*Module!$I$5</f>
        <v>101.61358135154259</v>
      </c>
      <c r="BL249" s="151">
        <f t="shared" si="69"/>
        <v>1000000</v>
      </c>
    </row>
    <row r="250" spans="23:64" ht="19.5" hidden="1" customHeight="1" thickBot="1">
      <c r="W250" s="777"/>
      <c r="X250" s="121">
        <f t="shared" si="70"/>
        <v>46</v>
      </c>
      <c r="Y250" s="122">
        <f>'calcul pneu pour calculateur'!P251</f>
        <v>160.70193418348418</v>
      </c>
      <c r="Z250" s="123">
        <f t="shared" si="76"/>
        <v>321.40386836696837</v>
      </c>
      <c r="AA250" s="123">
        <f t="shared" si="77"/>
        <v>482.10580255045255</v>
      </c>
      <c r="AB250" s="123">
        <f t="shared" si="78"/>
        <v>642.80773673393674</v>
      </c>
      <c r="AC250" s="123">
        <f t="shared" si="79"/>
        <v>803.50967091742086</v>
      </c>
      <c r="AK250" s="121">
        <f t="shared" si="71"/>
        <v>46</v>
      </c>
      <c r="AL250" s="101">
        <f t="shared" si="72"/>
        <v>0</v>
      </c>
      <c r="AM250" s="101">
        <f>10+Module!$K$57/($Z$1+1)</f>
        <v>133.65759122654444</v>
      </c>
      <c r="AN250" s="101">
        <f>$Z$1*(25+Module!$I$6)</f>
        <v>50.5</v>
      </c>
      <c r="AO250" s="101">
        <f>(AM250*($Z$1+1)*0.002488974)/($Z$1+1)*Module!$I$5*Module!$I$7</f>
        <v>102.62345540579445</v>
      </c>
      <c r="AP250" s="101">
        <f>$P$120*Module!$I$7*X250*Module!$I$5</f>
        <v>103.87166093713243</v>
      </c>
      <c r="AQ250" s="151">
        <f t="shared" si="66"/>
        <v>1000000</v>
      </c>
      <c r="AS250" s="101">
        <f t="shared" si="73"/>
        <v>0</v>
      </c>
      <c r="AT250" s="101">
        <f>10+Module!$K$57/($AA$1+1)</f>
        <v>92.438394151029627</v>
      </c>
      <c r="AU250" s="101">
        <f>$AA$1*(25+Module!$I$6)</f>
        <v>101</v>
      </c>
      <c r="AV250" s="101">
        <f>(AT250*($Z$1+1)*0.002488974)/($Z$1+1)*Module!$I$5*Module!$I$7</f>
        <v>70.974999121916298</v>
      </c>
      <c r="AW250" s="101">
        <f>$P$120*Module!$I$7*X250*Module!$I$5</f>
        <v>103.87166093713243</v>
      </c>
      <c r="AX250" s="151">
        <f t="shared" si="67"/>
        <v>1000000</v>
      </c>
      <c r="AZ250" s="101">
        <f t="shared" si="74"/>
        <v>0</v>
      </c>
      <c r="BA250" s="101">
        <f>10+Module!$K$57/($AB$1+1)</f>
        <v>71.82879561327222</v>
      </c>
      <c r="BB250" s="101">
        <f>$AB$1*(25+Module!$I$6)</f>
        <v>151.5</v>
      </c>
      <c r="BC250" s="101">
        <f>(BA250*($AB$1+1)*0.002488974)/($AB$1+1)*Module!$I$5*Module!$I$7</f>
        <v>55.150770979977231</v>
      </c>
      <c r="BD250" s="101">
        <f>$P$120*Module!$I$7*X250*Module!$I$5</f>
        <v>103.87166093713243</v>
      </c>
      <c r="BE250" s="151">
        <f t="shared" si="68"/>
        <v>1000000</v>
      </c>
      <c r="BG250" s="101">
        <f t="shared" si="75"/>
        <v>0</v>
      </c>
      <c r="BH250" s="101">
        <f>10+Module!$K$57/($AC$1+1)</f>
        <v>59.463036490617775</v>
      </c>
      <c r="BI250" s="101">
        <f>$AC$1*(25+Module!$I$6)</f>
        <v>202</v>
      </c>
      <c r="BJ250" s="101">
        <f>(BH250*($AC$1+1)*0.002488974)/($AC$1+1)*Module!$I$5*Module!$I$7</f>
        <v>45.656234094813776</v>
      </c>
      <c r="BK250" s="101">
        <f>$P$120*Module!$I$7*X250*Module!$I$5</f>
        <v>103.87166093713243</v>
      </c>
      <c r="BL250" s="151">
        <f t="shared" si="69"/>
        <v>1000000</v>
      </c>
    </row>
    <row r="251" spans="23:64" ht="19.5" hidden="1" customHeight="1" thickBot="1">
      <c r="W251" s="777"/>
      <c r="X251" s="121">
        <f t="shared" si="70"/>
        <v>47</v>
      </c>
      <c r="Y251" s="122">
        <f>'calcul pneu pour calculateur'!P252</f>
        <v>160.21523590624275</v>
      </c>
      <c r="Z251" s="123">
        <f t="shared" si="76"/>
        <v>320.43047181248551</v>
      </c>
      <c r="AA251" s="123">
        <f t="shared" si="77"/>
        <v>480.64570771872826</v>
      </c>
      <c r="AB251" s="123">
        <f t="shared" si="78"/>
        <v>640.86094362497101</v>
      </c>
      <c r="AC251" s="123">
        <f t="shared" si="79"/>
        <v>801.07617953121371</v>
      </c>
      <c r="AK251" s="121">
        <f t="shared" si="71"/>
        <v>47</v>
      </c>
      <c r="AL251" s="101">
        <f t="shared" si="72"/>
        <v>0</v>
      </c>
      <c r="AM251" s="101">
        <f>10+Module!$K$57/($Z$1+1)</f>
        <v>133.65759122654444</v>
      </c>
      <c r="AN251" s="101">
        <f>$Z$1*(25+Module!$I$6)</f>
        <v>50.5</v>
      </c>
      <c r="AO251" s="101">
        <f>(AM251*($Z$1+1)*0.002488974)/($Z$1+1)*Module!$I$5*Module!$I$7</f>
        <v>102.62345540579445</v>
      </c>
      <c r="AP251" s="101">
        <f>$P$120*Module!$I$7*X251*Module!$I$5</f>
        <v>106.12974052272226</v>
      </c>
      <c r="AQ251" s="151">
        <f t="shared" si="66"/>
        <v>1000000</v>
      </c>
      <c r="AS251" s="101">
        <f t="shared" si="73"/>
        <v>0</v>
      </c>
      <c r="AT251" s="101">
        <f>10+Module!$K$57/($AA$1+1)</f>
        <v>92.438394151029627</v>
      </c>
      <c r="AU251" s="101">
        <f>$AA$1*(25+Module!$I$6)</f>
        <v>101</v>
      </c>
      <c r="AV251" s="101">
        <f>(AT251*($Z$1+1)*0.002488974)/($Z$1+1)*Module!$I$5*Module!$I$7</f>
        <v>70.974999121916298</v>
      </c>
      <c r="AW251" s="101">
        <f>$P$120*Module!$I$7*X251*Module!$I$5</f>
        <v>106.12974052272226</v>
      </c>
      <c r="AX251" s="151">
        <f t="shared" si="67"/>
        <v>1000000</v>
      </c>
      <c r="AZ251" s="101">
        <f t="shared" si="74"/>
        <v>0</v>
      </c>
      <c r="BA251" s="101">
        <f>10+Module!$K$57/($AB$1+1)</f>
        <v>71.82879561327222</v>
      </c>
      <c r="BB251" s="101">
        <f>$AB$1*(25+Module!$I$6)</f>
        <v>151.5</v>
      </c>
      <c r="BC251" s="101">
        <f>(BA251*($AB$1+1)*0.002488974)/($AB$1+1)*Module!$I$5*Module!$I$7</f>
        <v>55.150770979977231</v>
      </c>
      <c r="BD251" s="101">
        <f>$P$120*Module!$I$7*X251*Module!$I$5</f>
        <v>106.12974052272226</v>
      </c>
      <c r="BE251" s="151">
        <f t="shared" si="68"/>
        <v>1000000</v>
      </c>
      <c r="BG251" s="101">
        <f t="shared" si="75"/>
        <v>0</v>
      </c>
      <c r="BH251" s="101">
        <f>10+Module!$K$57/($AC$1+1)</f>
        <v>59.463036490617775</v>
      </c>
      <c r="BI251" s="101">
        <f>$AC$1*(25+Module!$I$6)</f>
        <v>202</v>
      </c>
      <c r="BJ251" s="101">
        <f>(BH251*($AC$1+1)*0.002488974)/($AC$1+1)*Module!$I$5*Module!$I$7</f>
        <v>45.656234094813776</v>
      </c>
      <c r="BK251" s="101">
        <f>$P$120*Module!$I$7*X251*Module!$I$5</f>
        <v>106.12974052272226</v>
      </c>
      <c r="BL251" s="151">
        <f t="shared" si="69"/>
        <v>1000000</v>
      </c>
    </row>
    <row r="252" spans="23:64" ht="19.5" hidden="1" customHeight="1" thickBot="1">
      <c r="W252" s="777"/>
      <c r="X252" s="121">
        <f t="shared" si="70"/>
        <v>48</v>
      </c>
      <c r="Y252" s="122">
        <f>'calcul pneu pour calculateur'!P253</f>
        <v>159.72853762900132</v>
      </c>
      <c r="Z252" s="123">
        <f t="shared" si="76"/>
        <v>319.45707525800265</v>
      </c>
      <c r="AA252" s="123">
        <f t="shared" si="77"/>
        <v>479.18561288700397</v>
      </c>
      <c r="AB252" s="123">
        <f t="shared" si="78"/>
        <v>638.91415051600529</v>
      </c>
      <c r="AC252" s="123">
        <f t="shared" si="79"/>
        <v>798.64268814500656</v>
      </c>
      <c r="AK252" s="121">
        <f t="shared" si="71"/>
        <v>48</v>
      </c>
      <c r="AL252" s="101">
        <f t="shared" si="72"/>
        <v>0</v>
      </c>
      <c r="AM252" s="101">
        <f>10+Module!$K$57/($Z$1+1)</f>
        <v>133.65759122654444</v>
      </c>
      <c r="AN252" s="101">
        <f>$Z$1*(25+Module!$I$6)</f>
        <v>50.5</v>
      </c>
      <c r="AO252" s="101">
        <f>(AM252*($Z$1+1)*0.002488974)/($Z$1+1)*Module!$I$5*Module!$I$7</f>
        <v>102.62345540579445</v>
      </c>
      <c r="AP252" s="101">
        <f>$P$120*Module!$I$7*X252*Module!$I$5</f>
        <v>108.38782010831211</v>
      </c>
      <c r="AQ252" s="151">
        <f t="shared" si="66"/>
        <v>1000000</v>
      </c>
      <c r="AS252" s="101">
        <f t="shared" si="73"/>
        <v>0</v>
      </c>
      <c r="AT252" s="101">
        <f>10+Module!$K$57/($AA$1+1)</f>
        <v>92.438394151029627</v>
      </c>
      <c r="AU252" s="101">
        <f>$AA$1*(25+Module!$I$6)</f>
        <v>101</v>
      </c>
      <c r="AV252" s="101">
        <f>(AT252*($Z$1+1)*0.002488974)/($Z$1+1)*Module!$I$5*Module!$I$7</f>
        <v>70.974999121916298</v>
      </c>
      <c r="AW252" s="101">
        <f>$P$120*Module!$I$7*X252*Module!$I$5</f>
        <v>108.38782010831211</v>
      </c>
      <c r="AX252" s="151">
        <f t="shared" si="67"/>
        <v>1000000</v>
      </c>
      <c r="AZ252" s="101">
        <f t="shared" si="74"/>
        <v>0</v>
      </c>
      <c r="BA252" s="101">
        <f>10+Module!$K$57/($AB$1+1)</f>
        <v>71.82879561327222</v>
      </c>
      <c r="BB252" s="101">
        <f>$AB$1*(25+Module!$I$6)</f>
        <v>151.5</v>
      </c>
      <c r="BC252" s="101">
        <f>(BA252*($AB$1+1)*0.002488974)/($AB$1+1)*Module!$I$5*Module!$I$7</f>
        <v>55.150770979977231</v>
      </c>
      <c r="BD252" s="101">
        <f>$P$120*Module!$I$7*X252*Module!$I$5</f>
        <v>108.38782010831211</v>
      </c>
      <c r="BE252" s="151">
        <f t="shared" si="68"/>
        <v>1000000</v>
      </c>
      <c r="BG252" s="101">
        <f t="shared" si="75"/>
        <v>0</v>
      </c>
      <c r="BH252" s="101">
        <f>10+Module!$K$57/($AC$1+1)</f>
        <v>59.463036490617775</v>
      </c>
      <c r="BI252" s="101">
        <f>$AC$1*(25+Module!$I$6)</f>
        <v>202</v>
      </c>
      <c r="BJ252" s="101">
        <f>(BH252*($AC$1+1)*0.002488974)/($AC$1+1)*Module!$I$5*Module!$I$7</f>
        <v>45.656234094813776</v>
      </c>
      <c r="BK252" s="101">
        <f>$P$120*Module!$I$7*X252*Module!$I$5</f>
        <v>108.38782010831211</v>
      </c>
      <c r="BL252" s="151">
        <f t="shared" si="69"/>
        <v>1000000</v>
      </c>
    </row>
    <row r="253" spans="23:64" ht="19.5" hidden="1" customHeight="1" thickBot="1">
      <c r="W253" s="777"/>
      <c r="X253" s="121">
        <f t="shared" si="70"/>
        <v>49</v>
      </c>
      <c r="Y253" s="122">
        <f>'calcul pneu pour calculateur'!P254</f>
        <v>159.24183935175989</v>
      </c>
      <c r="Z253" s="123">
        <f t="shared" si="76"/>
        <v>318.48367870351979</v>
      </c>
      <c r="AA253" s="123">
        <f t="shared" si="77"/>
        <v>477.72551805527968</v>
      </c>
      <c r="AB253" s="123">
        <f t="shared" si="78"/>
        <v>636.96735740703957</v>
      </c>
      <c r="AC253" s="123">
        <f t="shared" si="79"/>
        <v>796.20919675879941</v>
      </c>
      <c r="AK253" s="121">
        <f t="shared" si="71"/>
        <v>49</v>
      </c>
      <c r="AL253" s="101">
        <f t="shared" si="72"/>
        <v>0</v>
      </c>
      <c r="AM253" s="101">
        <f>10+Module!$K$57/($Z$1+1)</f>
        <v>133.65759122654444</v>
      </c>
      <c r="AN253" s="101">
        <f>$Z$1*(25+Module!$I$6)</f>
        <v>50.5</v>
      </c>
      <c r="AO253" s="101">
        <f>(AM253*($Z$1+1)*0.002488974)/($Z$1+1)*Module!$I$5*Module!$I$7</f>
        <v>102.62345540579445</v>
      </c>
      <c r="AP253" s="101">
        <f>$P$120*Module!$I$7*X253*Module!$I$5</f>
        <v>110.64589969390194</v>
      </c>
      <c r="AQ253" s="151">
        <f t="shared" si="66"/>
        <v>1000000</v>
      </c>
      <c r="AS253" s="101">
        <f t="shared" si="73"/>
        <v>0</v>
      </c>
      <c r="AT253" s="101">
        <f>10+Module!$K$57/($AA$1+1)</f>
        <v>92.438394151029627</v>
      </c>
      <c r="AU253" s="101">
        <f>$AA$1*(25+Module!$I$6)</f>
        <v>101</v>
      </c>
      <c r="AV253" s="101">
        <f>(AT253*($Z$1+1)*0.002488974)/($Z$1+1)*Module!$I$5*Module!$I$7</f>
        <v>70.974999121916298</v>
      </c>
      <c r="AW253" s="101">
        <f>$P$120*Module!$I$7*X253*Module!$I$5</f>
        <v>110.64589969390194</v>
      </c>
      <c r="AX253" s="151">
        <f t="shared" si="67"/>
        <v>1000000</v>
      </c>
      <c r="AZ253" s="101">
        <f t="shared" si="74"/>
        <v>0</v>
      </c>
      <c r="BA253" s="101">
        <f>10+Module!$K$57/($AB$1+1)</f>
        <v>71.82879561327222</v>
      </c>
      <c r="BB253" s="101">
        <f>$AB$1*(25+Module!$I$6)</f>
        <v>151.5</v>
      </c>
      <c r="BC253" s="101">
        <f>(BA253*($AB$1+1)*0.002488974)/($AB$1+1)*Module!$I$5*Module!$I$7</f>
        <v>55.150770979977231</v>
      </c>
      <c r="BD253" s="101">
        <f>$P$120*Module!$I$7*X253*Module!$I$5</f>
        <v>110.64589969390194</v>
      </c>
      <c r="BE253" s="151">
        <f t="shared" si="68"/>
        <v>1000000</v>
      </c>
      <c r="BG253" s="101">
        <f t="shared" si="75"/>
        <v>0</v>
      </c>
      <c r="BH253" s="101">
        <f>10+Module!$K$57/($AC$1+1)</f>
        <v>59.463036490617775</v>
      </c>
      <c r="BI253" s="101">
        <f>$AC$1*(25+Module!$I$6)</f>
        <v>202</v>
      </c>
      <c r="BJ253" s="101">
        <f>(BH253*($AC$1+1)*0.002488974)/($AC$1+1)*Module!$I$5*Module!$I$7</f>
        <v>45.656234094813776</v>
      </c>
      <c r="BK253" s="101">
        <f>$P$120*Module!$I$7*X253*Module!$I$5</f>
        <v>110.64589969390194</v>
      </c>
      <c r="BL253" s="151">
        <f t="shared" si="69"/>
        <v>1000000</v>
      </c>
    </row>
    <row r="254" spans="23:64" ht="19.5" hidden="1" customHeight="1" thickBot="1">
      <c r="W254" s="777"/>
      <c r="X254" s="121">
        <f t="shared" si="70"/>
        <v>50</v>
      </c>
      <c r="Y254" s="122">
        <f>'calcul pneu pour calculateur'!P255</f>
        <v>158.75514107451843</v>
      </c>
      <c r="Z254" s="123">
        <f t="shared" si="76"/>
        <v>317.51028214903687</v>
      </c>
      <c r="AA254" s="123">
        <f t="shared" si="77"/>
        <v>476.26542322355533</v>
      </c>
      <c r="AB254" s="123">
        <f t="shared" si="78"/>
        <v>635.02056429807374</v>
      </c>
      <c r="AC254" s="123">
        <f t="shared" si="79"/>
        <v>793.77570537259214</v>
      </c>
      <c r="AK254" s="121">
        <f t="shared" si="71"/>
        <v>50</v>
      </c>
      <c r="AL254" s="101">
        <f t="shared" si="72"/>
        <v>0</v>
      </c>
      <c r="AM254" s="101">
        <f>10+Module!$K$57/($Z$1+1)</f>
        <v>133.65759122654444</v>
      </c>
      <c r="AN254" s="101">
        <f>$Z$1*(25+Module!$I$6)</f>
        <v>50.5</v>
      </c>
      <c r="AO254" s="101">
        <f>(AM254*($Z$1+1)*0.002488974)/($Z$1+1)*Module!$I$5*Module!$I$7</f>
        <v>102.62345540579445</v>
      </c>
      <c r="AP254" s="101">
        <f>$P$120*Module!$I$7*X254*Module!$I$5</f>
        <v>112.90397927949178</v>
      </c>
      <c r="AQ254" s="151">
        <f t="shared" si="66"/>
        <v>1000000</v>
      </c>
      <c r="AS254" s="101">
        <f t="shared" si="73"/>
        <v>0</v>
      </c>
      <c r="AT254" s="101">
        <f>10+Module!$K$57/($AA$1+1)</f>
        <v>92.438394151029627</v>
      </c>
      <c r="AU254" s="101">
        <f>$AA$1*(25+Module!$I$6)</f>
        <v>101</v>
      </c>
      <c r="AV254" s="101">
        <f>(AT254*($Z$1+1)*0.002488974)/($Z$1+1)*Module!$I$5*Module!$I$7</f>
        <v>70.974999121916298</v>
      </c>
      <c r="AW254" s="101">
        <f>$P$120*Module!$I$7*X254*Module!$I$5</f>
        <v>112.90397927949178</v>
      </c>
      <c r="AX254" s="151">
        <f t="shared" si="67"/>
        <v>1000000</v>
      </c>
      <c r="AZ254" s="101">
        <f t="shared" si="74"/>
        <v>0</v>
      </c>
      <c r="BA254" s="101">
        <f>10+Module!$K$57/($AB$1+1)</f>
        <v>71.82879561327222</v>
      </c>
      <c r="BB254" s="101">
        <f>$AB$1*(25+Module!$I$6)</f>
        <v>151.5</v>
      </c>
      <c r="BC254" s="101">
        <f>(BA254*($AB$1+1)*0.002488974)/($AB$1+1)*Module!$I$5*Module!$I$7</f>
        <v>55.150770979977231</v>
      </c>
      <c r="BD254" s="101">
        <f>$P$120*Module!$I$7*X254*Module!$I$5</f>
        <v>112.90397927949178</v>
      </c>
      <c r="BE254" s="151">
        <f t="shared" si="68"/>
        <v>1000000</v>
      </c>
      <c r="BG254" s="101">
        <f t="shared" si="75"/>
        <v>0</v>
      </c>
      <c r="BH254" s="101">
        <f>10+Module!$K$57/($AC$1+1)</f>
        <v>59.463036490617775</v>
      </c>
      <c r="BI254" s="101">
        <f>$AC$1*(25+Module!$I$6)</f>
        <v>202</v>
      </c>
      <c r="BJ254" s="101">
        <f>(BH254*($AC$1+1)*0.002488974)/($AC$1+1)*Module!$I$5*Module!$I$7</f>
        <v>45.656234094813776</v>
      </c>
      <c r="BK254" s="101">
        <f>$P$120*Module!$I$7*X254*Module!$I$5</f>
        <v>112.90397927949178</v>
      </c>
      <c r="BL254" s="151">
        <f t="shared" si="69"/>
        <v>1000000</v>
      </c>
    </row>
    <row r="255" spans="23:64" ht="19.5" hidden="1" customHeight="1" thickBot="1">
      <c r="W255" s="777"/>
      <c r="X255" s="121">
        <f t="shared" si="70"/>
        <v>51</v>
      </c>
      <c r="Y255" s="122">
        <f>'calcul pneu pour calculateur'!P256</f>
        <v>158.26844279727698</v>
      </c>
      <c r="Z255" s="123">
        <f t="shared" si="76"/>
        <v>316.53688559455395</v>
      </c>
      <c r="AA255" s="123">
        <f t="shared" si="77"/>
        <v>474.80532839183093</v>
      </c>
      <c r="AB255" s="123">
        <f t="shared" si="78"/>
        <v>633.0737711891079</v>
      </c>
      <c r="AC255" s="123">
        <f t="shared" si="79"/>
        <v>791.34221398638488</v>
      </c>
      <c r="AK255" s="121">
        <f t="shared" si="71"/>
        <v>51</v>
      </c>
      <c r="AL255" s="101">
        <f t="shared" si="72"/>
        <v>0</v>
      </c>
      <c r="AM255" s="101">
        <f>10+Module!$K$57/($Z$1+1)</f>
        <v>133.65759122654444</v>
      </c>
      <c r="AN255" s="101">
        <f>$Z$1*(25+Module!$I$6)</f>
        <v>50.5</v>
      </c>
      <c r="AO255" s="101">
        <f>(AM255*($Z$1+1)*0.002488974)/($Z$1+1)*Module!$I$5*Module!$I$7</f>
        <v>102.62345540579445</v>
      </c>
      <c r="AP255" s="101">
        <f>$P$120*Module!$I$7*X255*Module!$I$5</f>
        <v>115.1620588650816</v>
      </c>
      <c r="AQ255" s="151">
        <f t="shared" si="66"/>
        <v>1000000</v>
      </c>
      <c r="AS255" s="101">
        <f t="shared" si="73"/>
        <v>0</v>
      </c>
      <c r="AT255" s="101">
        <f>10+Module!$K$57/($AA$1+1)</f>
        <v>92.438394151029627</v>
      </c>
      <c r="AU255" s="101">
        <f>$AA$1*(25+Module!$I$6)</f>
        <v>101</v>
      </c>
      <c r="AV255" s="101">
        <f>(AT255*($Z$1+1)*0.002488974)/($Z$1+1)*Module!$I$5*Module!$I$7</f>
        <v>70.974999121916298</v>
      </c>
      <c r="AW255" s="101">
        <f>$P$120*Module!$I$7*X255*Module!$I$5</f>
        <v>115.1620588650816</v>
      </c>
      <c r="AX255" s="151">
        <f t="shared" si="67"/>
        <v>1000000</v>
      </c>
      <c r="AZ255" s="101">
        <f t="shared" si="74"/>
        <v>0</v>
      </c>
      <c r="BA255" s="101">
        <f>10+Module!$K$57/($AB$1+1)</f>
        <v>71.82879561327222</v>
      </c>
      <c r="BB255" s="101">
        <f>$AB$1*(25+Module!$I$6)</f>
        <v>151.5</v>
      </c>
      <c r="BC255" s="101">
        <f>(BA255*($AB$1+1)*0.002488974)/($AB$1+1)*Module!$I$5*Module!$I$7</f>
        <v>55.150770979977231</v>
      </c>
      <c r="BD255" s="101">
        <f>$P$120*Module!$I$7*X255*Module!$I$5</f>
        <v>115.1620588650816</v>
      </c>
      <c r="BE255" s="151">
        <f t="shared" si="68"/>
        <v>1000000</v>
      </c>
      <c r="BG255" s="101">
        <f t="shared" si="75"/>
        <v>0</v>
      </c>
      <c r="BH255" s="101">
        <f>10+Module!$K$57/($AC$1+1)</f>
        <v>59.463036490617775</v>
      </c>
      <c r="BI255" s="101">
        <f>$AC$1*(25+Module!$I$6)</f>
        <v>202</v>
      </c>
      <c r="BJ255" s="101">
        <f>(BH255*($AC$1+1)*0.002488974)/($AC$1+1)*Module!$I$5*Module!$I$7</f>
        <v>45.656234094813776</v>
      </c>
      <c r="BK255" s="101">
        <f>$P$120*Module!$I$7*X255*Module!$I$5</f>
        <v>115.1620588650816</v>
      </c>
      <c r="BL255" s="151">
        <f t="shared" si="69"/>
        <v>1000000</v>
      </c>
    </row>
    <row r="256" spans="23:64" ht="19.5" hidden="1" customHeight="1" thickBot="1">
      <c r="W256" s="777"/>
      <c r="X256" s="121">
        <f t="shared" si="70"/>
        <v>52</v>
      </c>
      <c r="Y256" s="122">
        <f>'calcul pneu pour calculateur'!P257</f>
        <v>157.78174452003555</v>
      </c>
      <c r="Z256" s="123">
        <f t="shared" si="76"/>
        <v>315.56348904007109</v>
      </c>
      <c r="AA256" s="123">
        <f t="shared" si="77"/>
        <v>473.34523356010664</v>
      </c>
      <c r="AB256" s="123">
        <f t="shared" si="78"/>
        <v>631.12697808014218</v>
      </c>
      <c r="AC256" s="123">
        <f t="shared" si="79"/>
        <v>788.90872260017773</v>
      </c>
      <c r="AK256" s="121">
        <f t="shared" si="71"/>
        <v>52</v>
      </c>
      <c r="AL256" s="101">
        <f t="shared" si="72"/>
        <v>0</v>
      </c>
      <c r="AM256" s="101">
        <f>10+Module!$K$57/($Z$1+1)</f>
        <v>133.65759122654444</v>
      </c>
      <c r="AN256" s="101">
        <f>$Z$1*(25+Module!$I$6)</f>
        <v>50.5</v>
      </c>
      <c r="AO256" s="101">
        <f>(AM256*($Z$1+1)*0.002488974)/($Z$1+1)*Module!$I$5*Module!$I$7</f>
        <v>102.62345540579445</v>
      </c>
      <c r="AP256" s="101">
        <f>$P$120*Module!$I$7*X256*Module!$I$5</f>
        <v>117.42013845067144</v>
      </c>
      <c r="AQ256" s="151">
        <f t="shared" si="66"/>
        <v>1000000</v>
      </c>
      <c r="AS256" s="101">
        <f t="shared" si="73"/>
        <v>0</v>
      </c>
      <c r="AT256" s="101">
        <f>10+Module!$K$57/($AA$1+1)</f>
        <v>92.438394151029627</v>
      </c>
      <c r="AU256" s="101">
        <f>$AA$1*(25+Module!$I$6)</f>
        <v>101</v>
      </c>
      <c r="AV256" s="101">
        <f>(AT256*($Z$1+1)*0.002488974)/($Z$1+1)*Module!$I$5*Module!$I$7</f>
        <v>70.974999121916298</v>
      </c>
      <c r="AW256" s="101">
        <f>$P$120*Module!$I$7*X256*Module!$I$5</f>
        <v>117.42013845067144</v>
      </c>
      <c r="AX256" s="151">
        <f t="shared" si="67"/>
        <v>1000000</v>
      </c>
      <c r="AZ256" s="101">
        <f t="shared" si="74"/>
        <v>0</v>
      </c>
      <c r="BA256" s="101">
        <f>10+Module!$K$57/($AB$1+1)</f>
        <v>71.82879561327222</v>
      </c>
      <c r="BB256" s="101">
        <f>$AB$1*(25+Module!$I$6)</f>
        <v>151.5</v>
      </c>
      <c r="BC256" s="101">
        <f>(BA256*($AB$1+1)*0.002488974)/($AB$1+1)*Module!$I$5*Module!$I$7</f>
        <v>55.150770979977231</v>
      </c>
      <c r="BD256" s="101">
        <f>$P$120*Module!$I$7*X256*Module!$I$5</f>
        <v>117.42013845067144</v>
      </c>
      <c r="BE256" s="151">
        <f t="shared" si="68"/>
        <v>1000000</v>
      </c>
      <c r="BG256" s="101">
        <f t="shared" si="75"/>
        <v>0</v>
      </c>
      <c r="BH256" s="101">
        <f>10+Module!$K$57/($AC$1+1)</f>
        <v>59.463036490617775</v>
      </c>
      <c r="BI256" s="101">
        <f>$AC$1*(25+Module!$I$6)</f>
        <v>202</v>
      </c>
      <c r="BJ256" s="101">
        <f>(BH256*($AC$1+1)*0.002488974)/($AC$1+1)*Module!$I$5*Module!$I$7</f>
        <v>45.656234094813776</v>
      </c>
      <c r="BK256" s="101">
        <f>$P$120*Module!$I$7*X256*Module!$I$5</f>
        <v>117.42013845067144</v>
      </c>
      <c r="BL256" s="151">
        <f t="shared" si="69"/>
        <v>1000000</v>
      </c>
    </row>
    <row r="257" spans="23:64" ht="19.5" hidden="1" customHeight="1" thickBot="1">
      <c r="W257" s="777"/>
      <c r="X257" s="121">
        <f t="shared" si="70"/>
        <v>53</v>
      </c>
      <c r="Y257" s="122">
        <f>'calcul pneu pour calculateur'!P258</f>
        <v>157.29504624279411</v>
      </c>
      <c r="Z257" s="123">
        <f t="shared" si="76"/>
        <v>314.59009248558823</v>
      </c>
      <c r="AA257" s="123">
        <f t="shared" si="77"/>
        <v>471.88513872838234</v>
      </c>
      <c r="AB257" s="123">
        <f t="shared" si="78"/>
        <v>629.18018497117646</v>
      </c>
      <c r="AC257" s="123">
        <f t="shared" si="79"/>
        <v>786.47523121397057</v>
      </c>
      <c r="AK257" s="121">
        <f t="shared" si="71"/>
        <v>53</v>
      </c>
      <c r="AL257" s="101">
        <f t="shared" si="72"/>
        <v>0</v>
      </c>
      <c r="AM257" s="101">
        <f>10+Module!$K$57/($Z$1+1)</f>
        <v>133.65759122654444</v>
      </c>
      <c r="AN257" s="101">
        <f>$Z$1*(25+Module!$I$6)</f>
        <v>50.5</v>
      </c>
      <c r="AO257" s="101">
        <f>(AM257*($Z$1+1)*0.002488974)/($Z$1+1)*Module!$I$5*Module!$I$7</f>
        <v>102.62345540579445</v>
      </c>
      <c r="AP257" s="101">
        <f>$P$120*Module!$I$7*X257*Module!$I$5</f>
        <v>119.67821803626127</v>
      </c>
      <c r="AQ257" s="151">
        <f t="shared" si="66"/>
        <v>1000000</v>
      </c>
      <c r="AS257" s="101">
        <f t="shared" si="73"/>
        <v>0</v>
      </c>
      <c r="AT257" s="101">
        <f>10+Module!$K$57/($AA$1+1)</f>
        <v>92.438394151029627</v>
      </c>
      <c r="AU257" s="101">
        <f>$AA$1*(25+Module!$I$6)</f>
        <v>101</v>
      </c>
      <c r="AV257" s="101">
        <f>(AT257*($Z$1+1)*0.002488974)/($Z$1+1)*Module!$I$5*Module!$I$7</f>
        <v>70.974999121916298</v>
      </c>
      <c r="AW257" s="101">
        <f>$P$120*Module!$I$7*X257*Module!$I$5</f>
        <v>119.67821803626127</v>
      </c>
      <c r="AX257" s="151">
        <f t="shared" si="67"/>
        <v>1000000</v>
      </c>
      <c r="AZ257" s="101">
        <f t="shared" si="74"/>
        <v>0</v>
      </c>
      <c r="BA257" s="101">
        <f>10+Module!$K$57/($AB$1+1)</f>
        <v>71.82879561327222</v>
      </c>
      <c r="BB257" s="101">
        <f>$AB$1*(25+Module!$I$6)</f>
        <v>151.5</v>
      </c>
      <c r="BC257" s="101">
        <f>(BA257*($AB$1+1)*0.002488974)/($AB$1+1)*Module!$I$5*Module!$I$7</f>
        <v>55.150770979977231</v>
      </c>
      <c r="BD257" s="101">
        <f>$P$120*Module!$I$7*X257*Module!$I$5</f>
        <v>119.67821803626127</v>
      </c>
      <c r="BE257" s="151">
        <f t="shared" si="68"/>
        <v>1000000</v>
      </c>
      <c r="BG257" s="101">
        <f t="shared" si="75"/>
        <v>0</v>
      </c>
      <c r="BH257" s="101">
        <f>10+Module!$K$57/($AC$1+1)</f>
        <v>59.463036490617775</v>
      </c>
      <c r="BI257" s="101">
        <f>$AC$1*(25+Module!$I$6)</f>
        <v>202</v>
      </c>
      <c r="BJ257" s="101">
        <f>(BH257*($AC$1+1)*0.002488974)/($AC$1+1)*Module!$I$5*Module!$I$7</f>
        <v>45.656234094813776</v>
      </c>
      <c r="BK257" s="101">
        <f>$P$120*Module!$I$7*X257*Module!$I$5</f>
        <v>119.67821803626127</v>
      </c>
      <c r="BL257" s="151">
        <f t="shared" si="69"/>
        <v>1000000</v>
      </c>
    </row>
    <row r="258" spans="23:64" ht="19.5" hidden="1" customHeight="1" thickBot="1">
      <c r="W258" s="777"/>
      <c r="X258" s="121">
        <f t="shared" si="70"/>
        <v>54</v>
      </c>
      <c r="Y258" s="122">
        <f>'calcul pneu pour calculateur'!P259</f>
        <v>156.80834796555268</v>
      </c>
      <c r="Z258" s="123">
        <f t="shared" si="76"/>
        <v>313.61669593110537</v>
      </c>
      <c r="AA258" s="123">
        <f t="shared" si="77"/>
        <v>470.42504389665805</v>
      </c>
      <c r="AB258" s="123">
        <f t="shared" si="78"/>
        <v>627.23339186221074</v>
      </c>
      <c r="AC258" s="123">
        <f t="shared" si="79"/>
        <v>784.04173982776342</v>
      </c>
      <c r="AK258" s="121">
        <f t="shared" si="71"/>
        <v>54</v>
      </c>
      <c r="AL258" s="101">
        <f t="shared" si="72"/>
        <v>0</v>
      </c>
      <c r="AM258" s="101">
        <f>10+Module!$K$57/($Z$1+1)</f>
        <v>133.65759122654444</v>
      </c>
      <c r="AN258" s="101">
        <f>$Z$1*(25+Module!$I$6)</f>
        <v>50.5</v>
      </c>
      <c r="AO258" s="101">
        <f>(AM258*($Z$1+1)*0.002488974)/($Z$1+1)*Module!$I$5*Module!$I$7</f>
        <v>102.62345540579445</v>
      </c>
      <c r="AP258" s="101">
        <f>$P$120*Module!$I$7*X258*Module!$I$5</f>
        <v>121.93629762185111</v>
      </c>
      <c r="AQ258" s="151">
        <f t="shared" si="66"/>
        <v>1000000</v>
      </c>
      <c r="AS258" s="101">
        <f t="shared" si="73"/>
        <v>0</v>
      </c>
      <c r="AT258" s="101">
        <f>10+Module!$K$57/($AA$1+1)</f>
        <v>92.438394151029627</v>
      </c>
      <c r="AU258" s="101">
        <f>$AA$1*(25+Module!$I$6)</f>
        <v>101</v>
      </c>
      <c r="AV258" s="101">
        <f>(AT258*($Z$1+1)*0.002488974)/($Z$1+1)*Module!$I$5*Module!$I$7</f>
        <v>70.974999121916298</v>
      </c>
      <c r="AW258" s="101">
        <f>$P$120*Module!$I$7*X258*Module!$I$5</f>
        <v>121.93629762185111</v>
      </c>
      <c r="AX258" s="151">
        <f t="shared" si="67"/>
        <v>1000000</v>
      </c>
      <c r="AZ258" s="101">
        <f t="shared" si="74"/>
        <v>0</v>
      </c>
      <c r="BA258" s="101">
        <f>10+Module!$K$57/($AB$1+1)</f>
        <v>71.82879561327222</v>
      </c>
      <c r="BB258" s="101">
        <f>$AB$1*(25+Module!$I$6)</f>
        <v>151.5</v>
      </c>
      <c r="BC258" s="101">
        <f>(BA258*($AB$1+1)*0.002488974)/($AB$1+1)*Module!$I$5*Module!$I$7</f>
        <v>55.150770979977231</v>
      </c>
      <c r="BD258" s="101">
        <f>$P$120*Module!$I$7*X258*Module!$I$5</f>
        <v>121.93629762185111</v>
      </c>
      <c r="BE258" s="151">
        <f t="shared" si="68"/>
        <v>1000000</v>
      </c>
      <c r="BG258" s="101">
        <f t="shared" si="75"/>
        <v>0</v>
      </c>
      <c r="BH258" s="101">
        <f>10+Module!$K$57/($AC$1+1)</f>
        <v>59.463036490617775</v>
      </c>
      <c r="BI258" s="101">
        <f>$AC$1*(25+Module!$I$6)</f>
        <v>202</v>
      </c>
      <c r="BJ258" s="101">
        <f>(BH258*($AC$1+1)*0.002488974)/($AC$1+1)*Module!$I$5*Module!$I$7</f>
        <v>45.656234094813776</v>
      </c>
      <c r="BK258" s="101">
        <f>$P$120*Module!$I$7*X258*Module!$I$5</f>
        <v>121.93629762185111</v>
      </c>
      <c r="BL258" s="151">
        <f t="shared" si="69"/>
        <v>1000000</v>
      </c>
    </row>
    <row r="259" spans="23:64" ht="19.5" hidden="1" customHeight="1" thickBot="1">
      <c r="W259" s="777"/>
      <c r="X259" s="121">
        <f t="shared" si="70"/>
        <v>55</v>
      </c>
      <c r="Y259" s="122">
        <f>'calcul pneu pour calculateur'!P260</f>
        <v>156.32164968831123</v>
      </c>
      <c r="Z259" s="123">
        <f t="shared" si="76"/>
        <v>312.64329937662245</v>
      </c>
      <c r="AA259" s="123">
        <f t="shared" si="77"/>
        <v>468.96494906493365</v>
      </c>
      <c r="AB259" s="123">
        <f t="shared" si="78"/>
        <v>625.2865987532449</v>
      </c>
      <c r="AC259" s="123">
        <f t="shared" si="79"/>
        <v>781.60824844155616</v>
      </c>
      <c r="AK259" s="121">
        <f t="shared" si="71"/>
        <v>55</v>
      </c>
      <c r="AL259" s="101">
        <f t="shared" si="72"/>
        <v>0</v>
      </c>
      <c r="AM259" s="101">
        <f>10+Module!$K$57/($Z$1+1)</f>
        <v>133.65759122654444</v>
      </c>
      <c r="AN259" s="101">
        <f>$Z$1*(25+Module!$I$6)</f>
        <v>50.5</v>
      </c>
      <c r="AO259" s="101">
        <f>(AM259*($Z$1+1)*0.002488974)/($Z$1+1)*Module!$I$5*Module!$I$7</f>
        <v>102.62345540579445</v>
      </c>
      <c r="AP259" s="101">
        <f>$P$120*Module!$I$7*X259*Module!$I$5</f>
        <v>124.19437720744094</v>
      </c>
      <c r="AQ259" s="151">
        <f t="shared" ref="AQ259:AQ322" si="80">IF(AK259 &gt;$AJ$17,1000000,AL259+AN259+AO259-AP259)</f>
        <v>1000000</v>
      </c>
      <c r="AS259" s="101">
        <f t="shared" si="73"/>
        <v>0</v>
      </c>
      <c r="AT259" s="101">
        <f>10+Module!$K$57/($AA$1+1)</f>
        <v>92.438394151029627</v>
      </c>
      <c r="AU259" s="101">
        <f>$AA$1*(25+Module!$I$6)</f>
        <v>101</v>
      </c>
      <c r="AV259" s="101">
        <f>(AT259*($Z$1+1)*0.002488974)/($Z$1+1)*Module!$I$5*Module!$I$7</f>
        <v>70.974999121916298</v>
      </c>
      <c r="AW259" s="101">
        <f>$P$120*Module!$I$7*X259*Module!$I$5</f>
        <v>124.19437720744094</v>
      </c>
      <c r="AX259" s="151">
        <f t="shared" ref="AX259:AX322" si="81">IF(AK259 &gt;$AJ$17,1000000,AS259+AU259+AV259-AW259)</f>
        <v>1000000</v>
      </c>
      <c r="AZ259" s="101">
        <f t="shared" si="74"/>
        <v>0</v>
      </c>
      <c r="BA259" s="101">
        <f>10+Module!$K$57/($AB$1+1)</f>
        <v>71.82879561327222</v>
      </c>
      <c r="BB259" s="101">
        <f>$AB$1*(25+Module!$I$6)</f>
        <v>151.5</v>
      </c>
      <c r="BC259" s="101">
        <f>(BA259*($AB$1+1)*0.002488974)/($AB$1+1)*Module!$I$5*Module!$I$7</f>
        <v>55.150770979977231</v>
      </c>
      <c r="BD259" s="101">
        <f>$P$120*Module!$I$7*X259*Module!$I$5</f>
        <v>124.19437720744094</v>
      </c>
      <c r="BE259" s="151">
        <f t="shared" ref="BE259:BE322" si="82">IF(AK259 &gt;$AJ$17,1000000,AZ259+BB259+BC259-BD259)</f>
        <v>1000000</v>
      </c>
      <c r="BG259" s="101">
        <f t="shared" si="75"/>
        <v>0</v>
      </c>
      <c r="BH259" s="101">
        <f>10+Module!$K$57/($AC$1+1)</f>
        <v>59.463036490617775</v>
      </c>
      <c r="BI259" s="101">
        <f>$AC$1*(25+Module!$I$6)</f>
        <v>202</v>
      </c>
      <c r="BJ259" s="101">
        <f>(BH259*($AC$1+1)*0.002488974)/($AC$1+1)*Module!$I$5*Module!$I$7</f>
        <v>45.656234094813776</v>
      </c>
      <c r="BK259" s="101">
        <f>$P$120*Module!$I$7*X259*Module!$I$5</f>
        <v>124.19437720744094</v>
      </c>
      <c r="BL259" s="151">
        <f t="shared" ref="BL259:BL322" si="83">IF(AK259 &gt;$AJ$17,1000000,BG259+BI259+BJ259-BK259)</f>
        <v>1000000</v>
      </c>
    </row>
    <row r="260" spans="23:64" ht="19.5" hidden="1" customHeight="1" thickBot="1">
      <c r="W260" s="777"/>
      <c r="X260" s="121">
        <f t="shared" ref="X260:X323" si="84">X259+1</f>
        <v>56</v>
      </c>
      <c r="Y260" s="122">
        <f>'calcul pneu pour calculateur'!P261</f>
        <v>155.8349514110698</v>
      </c>
      <c r="Z260" s="123">
        <f t="shared" si="76"/>
        <v>311.66990282213959</v>
      </c>
      <c r="AA260" s="123">
        <f t="shared" si="77"/>
        <v>467.50485423320936</v>
      </c>
      <c r="AB260" s="123">
        <f t="shared" si="78"/>
        <v>623.33980564427918</v>
      </c>
      <c r="AC260" s="123">
        <f t="shared" si="79"/>
        <v>779.174757055349</v>
      </c>
      <c r="AK260" s="121">
        <f t="shared" ref="AK260:AK323" si="85">AK259+1</f>
        <v>56</v>
      </c>
      <c r="AL260" s="101">
        <f t="shared" si="72"/>
        <v>0</v>
      </c>
      <c r="AM260" s="101">
        <f>10+Module!$K$57/($Z$1+1)</f>
        <v>133.65759122654444</v>
      </c>
      <c r="AN260" s="101">
        <f>$Z$1*(25+Module!$I$6)</f>
        <v>50.5</v>
      </c>
      <c r="AO260" s="101">
        <f>(AM260*($Z$1+1)*0.002488974)/($Z$1+1)*Module!$I$5*Module!$I$7</f>
        <v>102.62345540579445</v>
      </c>
      <c r="AP260" s="101">
        <f>$P$120*Module!$I$7*X260*Module!$I$5</f>
        <v>126.45245679303078</v>
      </c>
      <c r="AQ260" s="151">
        <f t="shared" si="80"/>
        <v>1000000</v>
      </c>
      <c r="AS260" s="101">
        <f t="shared" si="73"/>
        <v>0</v>
      </c>
      <c r="AT260" s="101">
        <f>10+Module!$K$57/($AA$1+1)</f>
        <v>92.438394151029627</v>
      </c>
      <c r="AU260" s="101">
        <f>$AA$1*(25+Module!$I$6)</f>
        <v>101</v>
      </c>
      <c r="AV260" s="101">
        <f>(AT260*($Z$1+1)*0.002488974)/($Z$1+1)*Module!$I$5*Module!$I$7</f>
        <v>70.974999121916298</v>
      </c>
      <c r="AW260" s="101">
        <f>$P$120*Module!$I$7*X260*Module!$I$5</f>
        <v>126.45245679303078</v>
      </c>
      <c r="AX260" s="151">
        <f t="shared" si="81"/>
        <v>1000000</v>
      </c>
      <c r="AZ260" s="101">
        <f t="shared" si="74"/>
        <v>0</v>
      </c>
      <c r="BA260" s="101">
        <f>10+Module!$K$57/($AB$1+1)</f>
        <v>71.82879561327222</v>
      </c>
      <c r="BB260" s="101">
        <f>$AB$1*(25+Module!$I$6)</f>
        <v>151.5</v>
      </c>
      <c r="BC260" s="101">
        <f>(BA260*($AB$1+1)*0.002488974)/($AB$1+1)*Module!$I$5*Module!$I$7</f>
        <v>55.150770979977231</v>
      </c>
      <c r="BD260" s="101">
        <f>$P$120*Module!$I$7*X260*Module!$I$5</f>
        <v>126.45245679303078</v>
      </c>
      <c r="BE260" s="151">
        <f t="shared" si="82"/>
        <v>1000000</v>
      </c>
      <c r="BG260" s="101">
        <f t="shared" si="75"/>
        <v>0</v>
      </c>
      <c r="BH260" s="101">
        <f>10+Module!$K$57/($AC$1+1)</f>
        <v>59.463036490617775</v>
      </c>
      <c r="BI260" s="101">
        <f>$AC$1*(25+Module!$I$6)</f>
        <v>202</v>
      </c>
      <c r="BJ260" s="101">
        <f>(BH260*($AC$1+1)*0.002488974)/($AC$1+1)*Module!$I$5*Module!$I$7</f>
        <v>45.656234094813776</v>
      </c>
      <c r="BK260" s="101">
        <f>$P$120*Module!$I$7*X260*Module!$I$5</f>
        <v>126.45245679303078</v>
      </c>
      <c r="BL260" s="151">
        <f t="shared" si="83"/>
        <v>1000000</v>
      </c>
    </row>
    <row r="261" spans="23:64" ht="19.5" hidden="1" customHeight="1" thickBot="1">
      <c r="W261" s="777"/>
      <c r="X261" s="121">
        <f t="shared" si="84"/>
        <v>57</v>
      </c>
      <c r="Y261" s="122">
        <f>'calcul pneu pour calculateur'!P262</f>
        <v>155.34825313382836</v>
      </c>
      <c r="Z261" s="123">
        <f t="shared" si="76"/>
        <v>310.69650626765673</v>
      </c>
      <c r="AA261" s="123">
        <f t="shared" si="77"/>
        <v>466.04475940148507</v>
      </c>
      <c r="AB261" s="123">
        <f t="shared" si="78"/>
        <v>621.39301253531346</v>
      </c>
      <c r="AC261" s="123">
        <f t="shared" si="79"/>
        <v>776.74126566914185</v>
      </c>
      <c r="AK261" s="121">
        <f t="shared" si="85"/>
        <v>57</v>
      </c>
      <c r="AL261" s="101">
        <f t="shared" si="72"/>
        <v>0</v>
      </c>
      <c r="AM261" s="101">
        <f>10+Module!$K$57/($Z$1+1)</f>
        <v>133.65759122654444</v>
      </c>
      <c r="AN261" s="101">
        <f>$Z$1*(25+Module!$I$6)</f>
        <v>50.5</v>
      </c>
      <c r="AO261" s="101">
        <f>(AM261*($Z$1+1)*0.002488974)/($Z$1+1)*Module!$I$5*Module!$I$7</f>
        <v>102.62345540579445</v>
      </c>
      <c r="AP261" s="101">
        <f>$P$120*Module!$I$7*X261*Module!$I$5</f>
        <v>128.71053637862062</v>
      </c>
      <c r="AQ261" s="151">
        <f t="shared" si="80"/>
        <v>1000000</v>
      </c>
      <c r="AS261" s="101">
        <f t="shared" si="73"/>
        <v>0</v>
      </c>
      <c r="AT261" s="101">
        <f>10+Module!$K$57/($AA$1+1)</f>
        <v>92.438394151029627</v>
      </c>
      <c r="AU261" s="101">
        <f>$AA$1*(25+Module!$I$6)</f>
        <v>101</v>
      </c>
      <c r="AV261" s="101">
        <f>(AT261*($Z$1+1)*0.002488974)/($Z$1+1)*Module!$I$5*Module!$I$7</f>
        <v>70.974999121916298</v>
      </c>
      <c r="AW261" s="101">
        <f>$P$120*Module!$I$7*X261*Module!$I$5</f>
        <v>128.71053637862062</v>
      </c>
      <c r="AX261" s="151">
        <f t="shared" si="81"/>
        <v>1000000</v>
      </c>
      <c r="AZ261" s="101">
        <f t="shared" si="74"/>
        <v>0</v>
      </c>
      <c r="BA261" s="101">
        <f>10+Module!$K$57/($AB$1+1)</f>
        <v>71.82879561327222</v>
      </c>
      <c r="BB261" s="101">
        <f>$AB$1*(25+Module!$I$6)</f>
        <v>151.5</v>
      </c>
      <c r="BC261" s="101">
        <f>(BA261*($AB$1+1)*0.002488974)/($AB$1+1)*Module!$I$5*Module!$I$7</f>
        <v>55.150770979977231</v>
      </c>
      <c r="BD261" s="101">
        <f>$P$120*Module!$I$7*X261*Module!$I$5</f>
        <v>128.71053637862062</v>
      </c>
      <c r="BE261" s="151">
        <f t="shared" si="82"/>
        <v>1000000</v>
      </c>
      <c r="BG261" s="101">
        <f t="shared" si="75"/>
        <v>0</v>
      </c>
      <c r="BH261" s="101">
        <f>10+Module!$K$57/($AC$1+1)</f>
        <v>59.463036490617775</v>
      </c>
      <c r="BI261" s="101">
        <f>$AC$1*(25+Module!$I$6)</f>
        <v>202</v>
      </c>
      <c r="BJ261" s="101">
        <f>(BH261*($AC$1+1)*0.002488974)/($AC$1+1)*Module!$I$5*Module!$I$7</f>
        <v>45.656234094813776</v>
      </c>
      <c r="BK261" s="101">
        <f>$P$120*Module!$I$7*X261*Module!$I$5</f>
        <v>128.71053637862062</v>
      </c>
      <c r="BL261" s="151">
        <f t="shared" si="83"/>
        <v>1000000</v>
      </c>
    </row>
    <row r="262" spans="23:64" ht="19.5" hidden="1" customHeight="1" thickBot="1">
      <c r="W262" s="777"/>
      <c r="X262" s="121">
        <f t="shared" si="84"/>
        <v>58</v>
      </c>
      <c r="Y262" s="122">
        <f>'calcul pneu pour calculateur'!P263</f>
        <v>154.86155485658691</v>
      </c>
      <c r="Z262" s="123">
        <f t="shared" si="76"/>
        <v>309.72310971317381</v>
      </c>
      <c r="AA262" s="123">
        <f t="shared" si="77"/>
        <v>464.58466456976072</v>
      </c>
      <c r="AB262" s="123">
        <f t="shared" si="78"/>
        <v>619.44621942634762</v>
      </c>
      <c r="AC262" s="123">
        <f t="shared" si="79"/>
        <v>774.30777428293459</v>
      </c>
      <c r="AK262" s="121">
        <f t="shared" si="85"/>
        <v>58</v>
      </c>
      <c r="AL262" s="101">
        <f t="shared" si="72"/>
        <v>0</v>
      </c>
      <c r="AM262" s="101">
        <f>10+Module!$K$57/($Z$1+1)</f>
        <v>133.65759122654444</v>
      </c>
      <c r="AN262" s="101">
        <f>$Z$1*(25+Module!$I$6)</f>
        <v>50.5</v>
      </c>
      <c r="AO262" s="101">
        <f>(AM262*($Z$1+1)*0.002488974)/($Z$1+1)*Module!$I$5*Module!$I$7</f>
        <v>102.62345540579445</v>
      </c>
      <c r="AP262" s="101">
        <f>$P$120*Module!$I$7*X262*Module!$I$5</f>
        <v>130.96861596421047</v>
      </c>
      <c r="AQ262" s="151">
        <f t="shared" si="80"/>
        <v>1000000</v>
      </c>
      <c r="AS262" s="101">
        <f t="shared" si="73"/>
        <v>0</v>
      </c>
      <c r="AT262" s="101">
        <f>10+Module!$K$57/($AA$1+1)</f>
        <v>92.438394151029627</v>
      </c>
      <c r="AU262" s="101">
        <f>$AA$1*(25+Module!$I$6)</f>
        <v>101</v>
      </c>
      <c r="AV262" s="101">
        <f>(AT262*($Z$1+1)*0.002488974)/($Z$1+1)*Module!$I$5*Module!$I$7</f>
        <v>70.974999121916298</v>
      </c>
      <c r="AW262" s="101">
        <f>$P$120*Module!$I$7*X262*Module!$I$5</f>
        <v>130.96861596421047</v>
      </c>
      <c r="AX262" s="151">
        <f t="shared" si="81"/>
        <v>1000000</v>
      </c>
      <c r="AZ262" s="101">
        <f t="shared" si="74"/>
        <v>0</v>
      </c>
      <c r="BA262" s="101">
        <f>10+Module!$K$57/($AB$1+1)</f>
        <v>71.82879561327222</v>
      </c>
      <c r="BB262" s="101">
        <f>$AB$1*(25+Module!$I$6)</f>
        <v>151.5</v>
      </c>
      <c r="BC262" s="101">
        <f>(BA262*($AB$1+1)*0.002488974)/($AB$1+1)*Module!$I$5*Module!$I$7</f>
        <v>55.150770979977231</v>
      </c>
      <c r="BD262" s="101">
        <f>$P$120*Module!$I$7*X262*Module!$I$5</f>
        <v>130.96861596421047</v>
      </c>
      <c r="BE262" s="151">
        <f t="shared" si="82"/>
        <v>1000000</v>
      </c>
      <c r="BG262" s="101">
        <f t="shared" si="75"/>
        <v>0</v>
      </c>
      <c r="BH262" s="101">
        <f>10+Module!$K$57/($AC$1+1)</f>
        <v>59.463036490617775</v>
      </c>
      <c r="BI262" s="101">
        <f>$AC$1*(25+Module!$I$6)</f>
        <v>202</v>
      </c>
      <c r="BJ262" s="101">
        <f>(BH262*($AC$1+1)*0.002488974)/($AC$1+1)*Module!$I$5*Module!$I$7</f>
        <v>45.656234094813776</v>
      </c>
      <c r="BK262" s="101">
        <f>$P$120*Module!$I$7*X262*Module!$I$5</f>
        <v>130.96861596421047</v>
      </c>
      <c r="BL262" s="151">
        <f t="shared" si="83"/>
        <v>1000000</v>
      </c>
    </row>
    <row r="263" spans="23:64" ht="19.5" hidden="1" customHeight="1" thickBot="1">
      <c r="W263" s="777"/>
      <c r="X263" s="121">
        <f t="shared" si="84"/>
        <v>59</v>
      </c>
      <c r="Y263" s="122">
        <f>'calcul pneu pour calculateur'!P264</f>
        <v>154.37485657934548</v>
      </c>
      <c r="Z263" s="123">
        <f t="shared" si="76"/>
        <v>308.74971315869095</v>
      </c>
      <c r="AA263" s="123">
        <f t="shared" si="77"/>
        <v>463.12456973803643</v>
      </c>
      <c r="AB263" s="123">
        <f t="shared" si="78"/>
        <v>617.4994263173819</v>
      </c>
      <c r="AC263" s="123">
        <f t="shared" si="79"/>
        <v>771.87428289672744</v>
      </c>
      <c r="AK263" s="121">
        <f t="shared" si="85"/>
        <v>59</v>
      </c>
      <c r="AL263" s="101">
        <f t="shared" si="72"/>
        <v>0</v>
      </c>
      <c r="AM263" s="101">
        <f>10+Module!$K$57/($Z$1+1)</f>
        <v>133.65759122654444</v>
      </c>
      <c r="AN263" s="101">
        <f>$Z$1*(25+Module!$I$6)</f>
        <v>50.5</v>
      </c>
      <c r="AO263" s="101">
        <f>(AM263*($Z$1+1)*0.002488974)/($Z$1+1)*Module!$I$5*Module!$I$7</f>
        <v>102.62345540579445</v>
      </c>
      <c r="AP263" s="101">
        <f>$P$120*Module!$I$7*X263*Module!$I$5</f>
        <v>133.2266955498003</v>
      </c>
      <c r="AQ263" s="151">
        <f t="shared" si="80"/>
        <v>1000000</v>
      </c>
      <c r="AS263" s="101">
        <f t="shared" si="73"/>
        <v>0</v>
      </c>
      <c r="AT263" s="101">
        <f>10+Module!$K$57/($AA$1+1)</f>
        <v>92.438394151029627</v>
      </c>
      <c r="AU263" s="101">
        <f>$AA$1*(25+Module!$I$6)</f>
        <v>101</v>
      </c>
      <c r="AV263" s="101">
        <f>(AT263*($Z$1+1)*0.002488974)/($Z$1+1)*Module!$I$5*Module!$I$7</f>
        <v>70.974999121916298</v>
      </c>
      <c r="AW263" s="101">
        <f>$P$120*Module!$I$7*X263*Module!$I$5</f>
        <v>133.2266955498003</v>
      </c>
      <c r="AX263" s="151">
        <f t="shared" si="81"/>
        <v>1000000</v>
      </c>
      <c r="AZ263" s="101">
        <f t="shared" si="74"/>
        <v>0</v>
      </c>
      <c r="BA263" s="101">
        <f>10+Module!$K$57/($AB$1+1)</f>
        <v>71.82879561327222</v>
      </c>
      <c r="BB263" s="101">
        <f>$AB$1*(25+Module!$I$6)</f>
        <v>151.5</v>
      </c>
      <c r="BC263" s="101">
        <f>(BA263*($AB$1+1)*0.002488974)/($AB$1+1)*Module!$I$5*Module!$I$7</f>
        <v>55.150770979977231</v>
      </c>
      <c r="BD263" s="101">
        <f>$P$120*Module!$I$7*X263*Module!$I$5</f>
        <v>133.2266955498003</v>
      </c>
      <c r="BE263" s="151">
        <f t="shared" si="82"/>
        <v>1000000</v>
      </c>
      <c r="BG263" s="101">
        <f t="shared" si="75"/>
        <v>0</v>
      </c>
      <c r="BH263" s="101">
        <f>10+Module!$K$57/($AC$1+1)</f>
        <v>59.463036490617775</v>
      </c>
      <c r="BI263" s="101">
        <f>$AC$1*(25+Module!$I$6)</f>
        <v>202</v>
      </c>
      <c r="BJ263" s="101">
        <f>(BH263*($AC$1+1)*0.002488974)/($AC$1+1)*Module!$I$5*Module!$I$7</f>
        <v>45.656234094813776</v>
      </c>
      <c r="BK263" s="101">
        <f>$P$120*Module!$I$7*X263*Module!$I$5</f>
        <v>133.2266955498003</v>
      </c>
      <c r="BL263" s="151">
        <f t="shared" si="83"/>
        <v>1000000</v>
      </c>
    </row>
    <row r="264" spans="23:64" ht="19.5" hidden="1" customHeight="1" thickBot="1">
      <c r="W264" s="777"/>
      <c r="X264" s="121">
        <f t="shared" si="84"/>
        <v>60</v>
      </c>
      <c r="Y264" s="122">
        <f>'calcul pneu pour calculateur'!P265</f>
        <v>153.88815830210405</v>
      </c>
      <c r="Z264" s="123">
        <f t="shared" si="76"/>
        <v>307.77631660420809</v>
      </c>
      <c r="AA264" s="123">
        <f t="shared" si="77"/>
        <v>461.66447490631214</v>
      </c>
      <c r="AB264" s="123">
        <f t="shared" si="78"/>
        <v>615.55263320841618</v>
      </c>
      <c r="AC264" s="123">
        <f t="shared" si="79"/>
        <v>769.44079151052028</v>
      </c>
      <c r="AK264" s="121">
        <f t="shared" si="85"/>
        <v>60</v>
      </c>
      <c r="AL264" s="101">
        <f t="shared" si="72"/>
        <v>0</v>
      </c>
      <c r="AM264" s="101">
        <f>10+Module!$K$57/($Z$1+1)</f>
        <v>133.65759122654444</v>
      </c>
      <c r="AN264" s="101">
        <f>$Z$1*(25+Module!$I$6)</f>
        <v>50.5</v>
      </c>
      <c r="AO264" s="101">
        <f>(AM264*($Z$1+1)*0.002488974)/($Z$1+1)*Module!$I$5*Module!$I$7</f>
        <v>102.62345540579445</v>
      </c>
      <c r="AP264" s="101">
        <f>$P$120*Module!$I$7*X264*Module!$I$5</f>
        <v>135.48477513539012</v>
      </c>
      <c r="AQ264" s="151">
        <f t="shared" si="80"/>
        <v>1000000</v>
      </c>
      <c r="AS264" s="101">
        <f t="shared" si="73"/>
        <v>0</v>
      </c>
      <c r="AT264" s="101">
        <f>10+Module!$K$57/($AA$1+1)</f>
        <v>92.438394151029627</v>
      </c>
      <c r="AU264" s="101">
        <f>$AA$1*(25+Module!$I$6)</f>
        <v>101</v>
      </c>
      <c r="AV264" s="101">
        <f>(AT264*($Z$1+1)*0.002488974)/($Z$1+1)*Module!$I$5*Module!$I$7</f>
        <v>70.974999121916298</v>
      </c>
      <c r="AW264" s="101">
        <f>$P$120*Module!$I$7*X264*Module!$I$5</f>
        <v>135.48477513539012</v>
      </c>
      <c r="AX264" s="151">
        <f t="shared" si="81"/>
        <v>1000000</v>
      </c>
      <c r="AZ264" s="101">
        <f t="shared" si="74"/>
        <v>0</v>
      </c>
      <c r="BA264" s="101">
        <f>10+Module!$K$57/($AB$1+1)</f>
        <v>71.82879561327222</v>
      </c>
      <c r="BB264" s="101">
        <f>$AB$1*(25+Module!$I$6)</f>
        <v>151.5</v>
      </c>
      <c r="BC264" s="101">
        <f>(BA264*($AB$1+1)*0.002488974)/($AB$1+1)*Module!$I$5*Module!$I$7</f>
        <v>55.150770979977231</v>
      </c>
      <c r="BD264" s="101">
        <f>$P$120*Module!$I$7*X264*Module!$I$5</f>
        <v>135.48477513539012</v>
      </c>
      <c r="BE264" s="151">
        <f t="shared" si="82"/>
        <v>1000000</v>
      </c>
      <c r="BG264" s="101">
        <f t="shared" si="75"/>
        <v>0</v>
      </c>
      <c r="BH264" s="101">
        <f>10+Module!$K$57/($AC$1+1)</f>
        <v>59.463036490617775</v>
      </c>
      <c r="BI264" s="101">
        <f>$AC$1*(25+Module!$I$6)</f>
        <v>202</v>
      </c>
      <c r="BJ264" s="101">
        <f>(BH264*($AC$1+1)*0.002488974)/($AC$1+1)*Module!$I$5*Module!$I$7</f>
        <v>45.656234094813776</v>
      </c>
      <c r="BK264" s="101">
        <f>$P$120*Module!$I$7*X264*Module!$I$5</f>
        <v>135.48477513539012</v>
      </c>
      <c r="BL264" s="151">
        <f t="shared" si="83"/>
        <v>1000000</v>
      </c>
    </row>
    <row r="265" spans="23:64" ht="19.5" hidden="1" customHeight="1" thickBot="1">
      <c r="W265" s="777"/>
      <c r="X265" s="121">
        <f t="shared" si="84"/>
        <v>61</v>
      </c>
      <c r="Y265" s="122">
        <f>'calcul pneu pour calculateur'!P266</f>
        <v>153.40146002486262</v>
      </c>
      <c r="Z265" s="123">
        <f t="shared" si="76"/>
        <v>306.80292004972523</v>
      </c>
      <c r="AA265" s="123">
        <f t="shared" si="77"/>
        <v>460.20438007458785</v>
      </c>
      <c r="AB265" s="123">
        <f t="shared" si="78"/>
        <v>613.60584009945046</v>
      </c>
      <c r="AC265" s="123">
        <f t="shared" si="79"/>
        <v>767.00730012431313</v>
      </c>
      <c r="AK265" s="121">
        <f t="shared" si="85"/>
        <v>61</v>
      </c>
      <c r="AL265" s="101">
        <f t="shared" si="72"/>
        <v>0</v>
      </c>
      <c r="AM265" s="101">
        <f>10+Module!$K$57/($Z$1+1)</f>
        <v>133.65759122654444</v>
      </c>
      <c r="AN265" s="101">
        <f>$Z$1*(25+Module!$I$6)</f>
        <v>50.5</v>
      </c>
      <c r="AO265" s="101">
        <f>(AM265*($Z$1+1)*0.002488974)/($Z$1+1)*Module!$I$5*Module!$I$7</f>
        <v>102.62345540579445</v>
      </c>
      <c r="AP265" s="101">
        <f>$P$120*Module!$I$7*X265*Module!$I$5</f>
        <v>137.74285472097998</v>
      </c>
      <c r="AQ265" s="151">
        <f t="shared" si="80"/>
        <v>1000000</v>
      </c>
      <c r="AS265" s="101">
        <f t="shared" si="73"/>
        <v>0</v>
      </c>
      <c r="AT265" s="101">
        <f>10+Module!$K$57/($AA$1+1)</f>
        <v>92.438394151029627</v>
      </c>
      <c r="AU265" s="101">
        <f>$AA$1*(25+Module!$I$6)</f>
        <v>101</v>
      </c>
      <c r="AV265" s="101">
        <f>(AT265*($Z$1+1)*0.002488974)/($Z$1+1)*Module!$I$5*Module!$I$7</f>
        <v>70.974999121916298</v>
      </c>
      <c r="AW265" s="101">
        <f>$P$120*Module!$I$7*X265*Module!$I$5</f>
        <v>137.74285472097998</v>
      </c>
      <c r="AX265" s="151">
        <f t="shared" si="81"/>
        <v>1000000</v>
      </c>
      <c r="AZ265" s="101">
        <f t="shared" si="74"/>
        <v>0</v>
      </c>
      <c r="BA265" s="101">
        <f>10+Module!$K$57/($AB$1+1)</f>
        <v>71.82879561327222</v>
      </c>
      <c r="BB265" s="101">
        <f>$AB$1*(25+Module!$I$6)</f>
        <v>151.5</v>
      </c>
      <c r="BC265" s="101">
        <f>(BA265*($AB$1+1)*0.002488974)/($AB$1+1)*Module!$I$5*Module!$I$7</f>
        <v>55.150770979977231</v>
      </c>
      <c r="BD265" s="101">
        <f>$P$120*Module!$I$7*X265*Module!$I$5</f>
        <v>137.74285472097998</v>
      </c>
      <c r="BE265" s="151">
        <f t="shared" si="82"/>
        <v>1000000</v>
      </c>
      <c r="BG265" s="101">
        <f t="shared" si="75"/>
        <v>0</v>
      </c>
      <c r="BH265" s="101">
        <f>10+Module!$K$57/($AC$1+1)</f>
        <v>59.463036490617775</v>
      </c>
      <c r="BI265" s="101">
        <f>$AC$1*(25+Module!$I$6)</f>
        <v>202</v>
      </c>
      <c r="BJ265" s="101">
        <f>(BH265*($AC$1+1)*0.002488974)/($AC$1+1)*Module!$I$5*Module!$I$7</f>
        <v>45.656234094813776</v>
      </c>
      <c r="BK265" s="101">
        <f>$P$120*Module!$I$7*X265*Module!$I$5</f>
        <v>137.74285472097998</v>
      </c>
      <c r="BL265" s="151">
        <f t="shared" si="83"/>
        <v>1000000</v>
      </c>
    </row>
    <row r="266" spans="23:64" ht="19.5" hidden="1" customHeight="1" thickBot="1">
      <c r="W266" s="777"/>
      <c r="X266" s="121">
        <f t="shared" si="84"/>
        <v>62</v>
      </c>
      <c r="Y266" s="122">
        <f>'calcul pneu pour calculateur'!P267</f>
        <v>152.91476174762118</v>
      </c>
      <c r="Z266" s="123">
        <f t="shared" si="76"/>
        <v>305.82952349524237</v>
      </c>
      <c r="AA266" s="123">
        <f t="shared" si="77"/>
        <v>458.74428524286355</v>
      </c>
      <c r="AB266" s="123">
        <f t="shared" si="78"/>
        <v>611.65904699048474</v>
      </c>
      <c r="AC266" s="123">
        <f t="shared" si="79"/>
        <v>764.57380873810598</v>
      </c>
      <c r="AK266" s="121">
        <f t="shared" si="85"/>
        <v>62</v>
      </c>
      <c r="AL266" s="101">
        <f t="shared" si="72"/>
        <v>0</v>
      </c>
      <c r="AM266" s="101">
        <f>10+Module!$K$57/($Z$1+1)</f>
        <v>133.65759122654444</v>
      </c>
      <c r="AN266" s="101">
        <f>$Z$1*(25+Module!$I$6)</f>
        <v>50.5</v>
      </c>
      <c r="AO266" s="101">
        <f>(AM266*($Z$1+1)*0.002488974)/($Z$1+1)*Module!$I$5*Module!$I$7</f>
        <v>102.62345540579445</v>
      </c>
      <c r="AP266" s="101">
        <f>$P$120*Module!$I$7*X266*Module!$I$5</f>
        <v>140.0009343065698</v>
      </c>
      <c r="AQ266" s="151">
        <f t="shared" si="80"/>
        <v>1000000</v>
      </c>
      <c r="AS266" s="101">
        <f t="shared" si="73"/>
        <v>0</v>
      </c>
      <c r="AT266" s="101">
        <f>10+Module!$K$57/($AA$1+1)</f>
        <v>92.438394151029627</v>
      </c>
      <c r="AU266" s="101">
        <f>$AA$1*(25+Module!$I$6)</f>
        <v>101</v>
      </c>
      <c r="AV266" s="101">
        <f>(AT266*($Z$1+1)*0.002488974)/($Z$1+1)*Module!$I$5*Module!$I$7</f>
        <v>70.974999121916298</v>
      </c>
      <c r="AW266" s="101">
        <f>$P$120*Module!$I$7*X266*Module!$I$5</f>
        <v>140.0009343065698</v>
      </c>
      <c r="AX266" s="151">
        <f t="shared" si="81"/>
        <v>1000000</v>
      </c>
      <c r="AZ266" s="101">
        <f t="shared" si="74"/>
        <v>0</v>
      </c>
      <c r="BA266" s="101">
        <f>10+Module!$K$57/($AB$1+1)</f>
        <v>71.82879561327222</v>
      </c>
      <c r="BB266" s="101">
        <f>$AB$1*(25+Module!$I$6)</f>
        <v>151.5</v>
      </c>
      <c r="BC266" s="101">
        <f>(BA266*($AB$1+1)*0.002488974)/($AB$1+1)*Module!$I$5*Module!$I$7</f>
        <v>55.150770979977231</v>
      </c>
      <c r="BD266" s="101">
        <f>$P$120*Module!$I$7*X266*Module!$I$5</f>
        <v>140.0009343065698</v>
      </c>
      <c r="BE266" s="151">
        <f t="shared" si="82"/>
        <v>1000000</v>
      </c>
      <c r="BG266" s="101">
        <f t="shared" si="75"/>
        <v>0</v>
      </c>
      <c r="BH266" s="101">
        <f>10+Module!$K$57/($AC$1+1)</f>
        <v>59.463036490617775</v>
      </c>
      <c r="BI266" s="101">
        <f>$AC$1*(25+Module!$I$6)</f>
        <v>202</v>
      </c>
      <c r="BJ266" s="101">
        <f>(BH266*($AC$1+1)*0.002488974)/($AC$1+1)*Module!$I$5*Module!$I$7</f>
        <v>45.656234094813776</v>
      </c>
      <c r="BK266" s="101">
        <f>$P$120*Module!$I$7*X266*Module!$I$5</f>
        <v>140.0009343065698</v>
      </c>
      <c r="BL266" s="151">
        <f t="shared" si="83"/>
        <v>1000000</v>
      </c>
    </row>
    <row r="267" spans="23:64" ht="19.5" hidden="1" customHeight="1" thickBot="1">
      <c r="W267" s="777"/>
      <c r="X267" s="121">
        <f t="shared" si="84"/>
        <v>63</v>
      </c>
      <c r="Y267" s="122">
        <f>'calcul pneu pour calculateur'!P268</f>
        <v>152.42806347037973</v>
      </c>
      <c r="Z267" s="123">
        <f t="shared" si="76"/>
        <v>304.85612694075945</v>
      </c>
      <c r="AA267" s="123">
        <f t="shared" si="77"/>
        <v>457.28419041113921</v>
      </c>
      <c r="AB267" s="123">
        <f t="shared" si="78"/>
        <v>609.7122538815189</v>
      </c>
      <c r="AC267" s="123">
        <f t="shared" si="79"/>
        <v>762.1403173518986</v>
      </c>
      <c r="AK267" s="121">
        <f t="shared" si="85"/>
        <v>63</v>
      </c>
      <c r="AL267" s="101">
        <f t="shared" si="72"/>
        <v>0</v>
      </c>
      <c r="AM267" s="101">
        <f>10+Module!$K$57/($Z$1+1)</f>
        <v>133.65759122654444</v>
      </c>
      <c r="AN267" s="101">
        <f>$Z$1*(25+Module!$I$6)</f>
        <v>50.5</v>
      </c>
      <c r="AO267" s="101">
        <f>(AM267*($Z$1+1)*0.002488974)/($Z$1+1)*Module!$I$5*Module!$I$7</f>
        <v>102.62345540579445</v>
      </c>
      <c r="AP267" s="101">
        <f>$P$120*Module!$I$7*X267*Module!$I$5</f>
        <v>142.25901389215963</v>
      </c>
      <c r="AQ267" s="151">
        <f t="shared" si="80"/>
        <v>1000000</v>
      </c>
      <c r="AS267" s="101">
        <f t="shared" si="73"/>
        <v>0</v>
      </c>
      <c r="AT267" s="101">
        <f>10+Module!$K$57/($AA$1+1)</f>
        <v>92.438394151029627</v>
      </c>
      <c r="AU267" s="101">
        <f>$AA$1*(25+Module!$I$6)</f>
        <v>101</v>
      </c>
      <c r="AV267" s="101">
        <f>(AT267*($Z$1+1)*0.002488974)/($Z$1+1)*Module!$I$5*Module!$I$7</f>
        <v>70.974999121916298</v>
      </c>
      <c r="AW267" s="101">
        <f>$P$120*Module!$I$7*X267*Module!$I$5</f>
        <v>142.25901389215963</v>
      </c>
      <c r="AX267" s="151">
        <f t="shared" si="81"/>
        <v>1000000</v>
      </c>
      <c r="AZ267" s="101">
        <f t="shared" si="74"/>
        <v>0</v>
      </c>
      <c r="BA267" s="101">
        <f>10+Module!$K$57/($AB$1+1)</f>
        <v>71.82879561327222</v>
      </c>
      <c r="BB267" s="101">
        <f>$AB$1*(25+Module!$I$6)</f>
        <v>151.5</v>
      </c>
      <c r="BC267" s="101">
        <f>(BA267*($AB$1+1)*0.002488974)/($AB$1+1)*Module!$I$5*Module!$I$7</f>
        <v>55.150770979977231</v>
      </c>
      <c r="BD267" s="101">
        <f>$P$120*Module!$I$7*X267*Module!$I$5</f>
        <v>142.25901389215963</v>
      </c>
      <c r="BE267" s="151">
        <f t="shared" si="82"/>
        <v>1000000</v>
      </c>
      <c r="BG267" s="101">
        <f t="shared" si="75"/>
        <v>0</v>
      </c>
      <c r="BH267" s="101">
        <f>10+Module!$K$57/($AC$1+1)</f>
        <v>59.463036490617775</v>
      </c>
      <c r="BI267" s="101">
        <f>$AC$1*(25+Module!$I$6)</f>
        <v>202</v>
      </c>
      <c r="BJ267" s="101">
        <f>(BH267*($AC$1+1)*0.002488974)/($AC$1+1)*Module!$I$5*Module!$I$7</f>
        <v>45.656234094813776</v>
      </c>
      <c r="BK267" s="101">
        <f>$P$120*Module!$I$7*X267*Module!$I$5</f>
        <v>142.25901389215963</v>
      </c>
      <c r="BL267" s="151">
        <f t="shared" si="83"/>
        <v>1000000</v>
      </c>
    </row>
    <row r="268" spans="23:64" ht="19.5" hidden="1" customHeight="1" thickBot="1">
      <c r="W268" s="777"/>
      <c r="X268" s="121">
        <f t="shared" si="84"/>
        <v>64</v>
      </c>
      <c r="Y268" s="122">
        <f>'calcul pneu pour calculateur'!P269</f>
        <v>151.9413651931383</v>
      </c>
      <c r="Z268" s="123">
        <f t="shared" si="76"/>
        <v>303.88273038627659</v>
      </c>
      <c r="AA268" s="123">
        <f t="shared" si="77"/>
        <v>455.82409557941492</v>
      </c>
      <c r="AB268" s="123">
        <f t="shared" si="78"/>
        <v>607.76546077255318</v>
      </c>
      <c r="AC268" s="123">
        <f t="shared" si="79"/>
        <v>759.70682596569145</v>
      </c>
      <c r="AK268" s="121">
        <f t="shared" si="85"/>
        <v>64</v>
      </c>
      <c r="AL268" s="101">
        <f t="shared" si="72"/>
        <v>0</v>
      </c>
      <c r="AM268" s="101">
        <f>10+Module!$K$57/($Z$1+1)</f>
        <v>133.65759122654444</v>
      </c>
      <c r="AN268" s="101">
        <f>$Z$1*(25+Module!$I$6)</f>
        <v>50.5</v>
      </c>
      <c r="AO268" s="101">
        <f>(AM268*($Z$1+1)*0.002488974)/($Z$1+1)*Module!$I$5*Module!$I$7</f>
        <v>102.62345540579445</v>
      </c>
      <c r="AP268" s="101">
        <f>$P$120*Module!$I$7*X268*Module!$I$5</f>
        <v>144.51709347774946</v>
      </c>
      <c r="AQ268" s="151">
        <f t="shared" si="80"/>
        <v>1000000</v>
      </c>
      <c r="AS268" s="101">
        <f t="shared" si="73"/>
        <v>0</v>
      </c>
      <c r="AT268" s="101">
        <f>10+Module!$K$57/($AA$1+1)</f>
        <v>92.438394151029627</v>
      </c>
      <c r="AU268" s="101">
        <f>$AA$1*(25+Module!$I$6)</f>
        <v>101</v>
      </c>
      <c r="AV268" s="101">
        <f>(AT268*($Z$1+1)*0.002488974)/($Z$1+1)*Module!$I$5*Module!$I$7</f>
        <v>70.974999121916298</v>
      </c>
      <c r="AW268" s="101">
        <f>$P$120*Module!$I$7*X268*Module!$I$5</f>
        <v>144.51709347774946</v>
      </c>
      <c r="AX268" s="151">
        <f t="shared" si="81"/>
        <v>1000000</v>
      </c>
      <c r="AZ268" s="101">
        <f t="shared" si="74"/>
        <v>0</v>
      </c>
      <c r="BA268" s="101">
        <f>10+Module!$K$57/($AB$1+1)</f>
        <v>71.82879561327222</v>
      </c>
      <c r="BB268" s="101">
        <f>$AB$1*(25+Module!$I$6)</f>
        <v>151.5</v>
      </c>
      <c r="BC268" s="101">
        <f>(BA268*($AB$1+1)*0.002488974)/($AB$1+1)*Module!$I$5*Module!$I$7</f>
        <v>55.150770979977231</v>
      </c>
      <c r="BD268" s="101">
        <f>$P$120*Module!$I$7*X268*Module!$I$5</f>
        <v>144.51709347774946</v>
      </c>
      <c r="BE268" s="151">
        <f t="shared" si="82"/>
        <v>1000000</v>
      </c>
      <c r="BG268" s="101">
        <f t="shared" si="75"/>
        <v>0</v>
      </c>
      <c r="BH268" s="101">
        <f>10+Module!$K$57/($AC$1+1)</f>
        <v>59.463036490617775</v>
      </c>
      <c r="BI268" s="101">
        <f>$AC$1*(25+Module!$I$6)</f>
        <v>202</v>
      </c>
      <c r="BJ268" s="101">
        <f>(BH268*($AC$1+1)*0.002488974)/($AC$1+1)*Module!$I$5*Module!$I$7</f>
        <v>45.656234094813776</v>
      </c>
      <c r="BK268" s="101">
        <f>$P$120*Module!$I$7*X268*Module!$I$5</f>
        <v>144.51709347774946</v>
      </c>
      <c r="BL268" s="151">
        <f t="shared" si="83"/>
        <v>1000000</v>
      </c>
    </row>
    <row r="269" spans="23:64" ht="19.5" hidden="1" customHeight="1" thickBot="1">
      <c r="W269" s="777"/>
      <c r="X269" s="121">
        <f t="shared" si="84"/>
        <v>65</v>
      </c>
      <c r="Y269" s="122">
        <f>'calcul pneu pour calculateur'!P270</f>
        <v>151.45466691589684</v>
      </c>
      <c r="Z269" s="123">
        <f t="shared" si="76"/>
        <v>302.90933383179367</v>
      </c>
      <c r="AA269" s="123">
        <f t="shared" si="77"/>
        <v>454.36400074769051</v>
      </c>
      <c r="AB269" s="123">
        <f t="shared" si="78"/>
        <v>605.81866766358735</v>
      </c>
      <c r="AC269" s="123">
        <f t="shared" si="79"/>
        <v>757.27333457948419</v>
      </c>
      <c r="AK269" s="121">
        <f t="shared" si="85"/>
        <v>65</v>
      </c>
      <c r="AL269" s="101">
        <f t="shared" ref="AL269:AL304" si="86">$H$63</f>
        <v>0</v>
      </c>
      <c r="AM269" s="101">
        <f>10+Module!$K$57/($Z$1+1)</f>
        <v>133.65759122654444</v>
      </c>
      <c r="AN269" s="101">
        <f>$Z$1*(25+Module!$I$6)</f>
        <v>50.5</v>
      </c>
      <c r="AO269" s="101">
        <f>(AM269*($Z$1+1)*0.002488974)/($Z$1+1)*Module!$I$5*Module!$I$7</f>
        <v>102.62345540579445</v>
      </c>
      <c r="AP269" s="101">
        <f>$P$120*Module!$I$7*X269*Module!$I$5</f>
        <v>146.77517306333931</v>
      </c>
      <c r="AQ269" s="151">
        <f t="shared" si="80"/>
        <v>1000000</v>
      </c>
      <c r="AS269" s="101">
        <f t="shared" ref="AS269:AS304" si="87">$H$63</f>
        <v>0</v>
      </c>
      <c r="AT269" s="101">
        <f>10+Module!$K$57/($AA$1+1)</f>
        <v>92.438394151029627</v>
      </c>
      <c r="AU269" s="101">
        <f>$AA$1*(25+Module!$I$6)</f>
        <v>101</v>
      </c>
      <c r="AV269" s="101">
        <f>(AT269*($Z$1+1)*0.002488974)/($Z$1+1)*Module!$I$5*Module!$I$7</f>
        <v>70.974999121916298</v>
      </c>
      <c r="AW269" s="101">
        <f>$P$120*Module!$I$7*X269*Module!$I$5</f>
        <v>146.77517306333931</v>
      </c>
      <c r="AX269" s="151">
        <f t="shared" si="81"/>
        <v>1000000</v>
      </c>
      <c r="AZ269" s="101">
        <f t="shared" ref="AZ269:AZ304" si="88">$H$63</f>
        <v>0</v>
      </c>
      <c r="BA269" s="101">
        <f>10+Module!$K$57/($AB$1+1)</f>
        <v>71.82879561327222</v>
      </c>
      <c r="BB269" s="101">
        <f>$AB$1*(25+Module!$I$6)</f>
        <v>151.5</v>
      </c>
      <c r="BC269" s="101">
        <f>(BA269*($AB$1+1)*0.002488974)/($AB$1+1)*Module!$I$5*Module!$I$7</f>
        <v>55.150770979977231</v>
      </c>
      <c r="BD269" s="101">
        <f>$P$120*Module!$I$7*X269*Module!$I$5</f>
        <v>146.77517306333931</v>
      </c>
      <c r="BE269" s="151">
        <f t="shared" si="82"/>
        <v>1000000</v>
      </c>
      <c r="BG269" s="101">
        <f t="shared" ref="BG269:BG304" si="89">$H$63</f>
        <v>0</v>
      </c>
      <c r="BH269" s="101">
        <f>10+Module!$K$57/($AC$1+1)</f>
        <v>59.463036490617775</v>
      </c>
      <c r="BI269" s="101">
        <f>$AC$1*(25+Module!$I$6)</f>
        <v>202</v>
      </c>
      <c r="BJ269" s="101">
        <f>(BH269*($AC$1+1)*0.002488974)/($AC$1+1)*Module!$I$5*Module!$I$7</f>
        <v>45.656234094813776</v>
      </c>
      <c r="BK269" s="101">
        <f>$P$120*Module!$I$7*X269*Module!$I$5</f>
        <v>146.77517306333931</v>
      </c>
      <c r="BL269" s="151">
        <f t="shared" si="83"/>
        <v>1000000</v>
      </c>
    </row>
    <row r="270" spans="23:64" ht="19.5" hidden="1" customHeight="1" thickBot="1">
      <c r="W270" s="777"/>
      <c r="X270" s="121">
        <f t="shared" si="84"/>
        <v>66</v>
      </c>
      <c r="Y270" s="122">
        <f>'calcul pneu pour calculateur'!P271</f>
        <v>150.96796863865541</v>
      </c>
      <c r="Z270" s="123">
        <f t="shared" si="76"/>
        <v>301.93593727731081</v>
      </c>
      <c r="AA270" s="123">
        <f t="shared" si="77"/>
        <v>452.90390591596622</v>
      </c>
      <c r="AB270" s="123">
        <f t="shared" si="78"/>
        <v>603.87187455462163</v>
      </c>
      <c r="AC270" s="123">
        <f t="shared" si="79"/>
        <v>754.83984319327703</v>
      </c>
      <c r="AK270" s="121">
        <f t="shared" si="85"/>
        <v>66</v>
      </c>
      <c r="AL270" s="101">
        <f t="shared" si="86"/>
        <v>0</v>
      </c>
      <c r="AM270" s="101">
        <f>10+Module!$K$57/($Z$1+1)</f>
        <v>133.65759122654444</v>
      </c>
      <c r="AN270" s="101">
        <f>$Z$1*(25+Module!$I$6)</f>
        <v>50.5</v>
      </c>
      <c r="AO270" s="101">
        <f>(AM270*($Z$1+1)*0.002488974)/($Z$1+1)*Module!$I$5*Module!$I$7</f>
        <v>102.62345540579445</v>
      </c>
      <c r="AP270" s="101">
        <f>$P$120*Module!$I$7*X270*Module!$I$5</f>
        <v>149.03325264892914</v>
      </c>
      <c r="AQ270" s="151">
        <f t="shared" si="80"/>
        <v>1000000</v>
      </c>
      <c r="AS270" s="101">
        <f t="shared" si="87"/>
        <v>0</v>
      </c>
      <c r="AT270" s="101">
        <f>10+Module!$K$57/($AA$1+1)</f>
        <v>92.438394151029627</v>
      </c>
      <c r="AU270" s="101">
        <f>$AA$1*(25+Module!$I$6)</f>
        <v>101</v>
      </c>
      <c r="AV270" s="101">
        <f>(AT270*($Z$1+1)*0.002488974)/($Z$1+1)*Module!$I$5*Module!$I$7</f>
        <v>70.974999121916298</v>
      </c>
      <c r="AW270" s="101">
        <f>$P$120*Module!$I$7*X270*Module!$I$5</f>
        <v>149.03325264892914</v>
      </c>
      <c r="AX270" s="151">
        <f t="shared" si="81"/>
        <v>1000000</v>
      </c>
      <c r="AZ270" s="101">
        <f t="shared" si="88"/>
        <v>0</v>
      </c>
      <c r="BA270" s="101">
        <f>10+Module!$K$57/($AB$1+1)</f>
        <v>71.82879561327222</v>
      </c>
      <c r="BB270" s="101">
        <f>$AB$1*(25+Module!$I$6)</f>
        <v>151.5</v>
      </c>
      <c r="BC270" s="101">
        <f>(BA270*($AB$1+1)*0.002488974)/($AB$1+1)*Module!$I$5*Module!$I$7</f>
        <v>55.150770979977231</v>
      </c>
      <c r="BD270" s="101">
        <f>$P$120*Module!$I$7*X270*Module!$I$5</f>
        <v>149.03325264892914</v>
      </c>
      <c r="BE270" s="151">
        <f t="shared" si="82"/>
        <v>1000000</v>
      </c>
      <c r="BG270" s="101">
        <f t="shared" si="89"/>
        <v>0</v>
      </c>
      <c r="BH270" s="101">
        <f>10+Module!$K$57/($AC$1+1)</f>
        <v>59.463036490617775</v>
      </c>
      <c r="BI270" s="101">
        <f>$AC$1*(25+Module!$I$6)</f>
        <v>202</v>
      </c>
      <c r="BJ270" s="101">
        <f>(BH270*($AC$1+1)*0.002488974)/($AC$1+1)*Module!$I$5*Module!$I$7</f>
        <v>45.656234094813776</v>
      </c>
      <c r="BK270" s="101">
        <f>$P$120*Module!$I$7*X270*Module!$I$5</f>
        <v>149.03325264892914</v>
      </c>
      <c r="BL270" s="151">
        <f t="shared" si="83"/>
        <v>1000000</v>
      </c>
    </row>
    <row r="271" spans="23:64" ht="19.5" hidden="1" customHeight="1" thickBot="1">
      <c r="W271" s="777"/>
      <c r="X271" s="121">
        <f t="shared" si="84"/>
        <v>67</v>
      </c>
      <c r="Y271" s="122">
        <f>'calcul pneu pour calculateur'!P272</f>
        <v>150.48127036141398</v>
      </c>
      <c r="Z271" s="123">
        <f t="shared" si="76"/>
        <v>300.96254072282795</v>
      </c>
      <c r="AA271" s="123">
        <f t="shared" si="77"/>
        <v>451.44381108424193</v>
      </c>
      <c r="AB271" s="123">
        <f t="shared" si="78"/>
        <v>601.92508144565591</v>
      </c>
      <c r="AC271" s="123">
        <f t="shared" si="79"/>
        <v>752.40635180706988</v>
      </c>
      <c r="AK271" s="121">
        <f t="shared" si="85"/>
        <v>67</v>
      </c>
      <c r="AL271" s="101">
        <f t="shared" si="86"/>
        <v>0</v>
      </c>
      <c r="AM271" s="101">
        <f>10+Module!$K$57/($Z$1+1)</f>
        <v>133.65759122654444</v>
      </c>
      <c r="AN271" s="101">
        <f>$Z$1*(25+Module!$I$6)</f>
        <v>50.5</v>
      </c>
      <c r="AO271" s="101">
        <f>(AM271*($Z$1+1)*0.002488974)/($Z$1+1)*Module!$I$5*Module!$I$7</f>
        <v>102.62345540579445</v>
      </c>
      <c r="AP271" s="101">
        <f>$P$120*Module!$I$7*X271*Module!$I$5</f>
        <v>151.29133223451896</v>
      </c>
      <c r="AQ271" s="151">
        <f t="shared" si="80"/>
        <v>1000000</v>
      </c>
      <c r="AS271" s="101">
        <f t="shared" si="87"/>
        <v>0</v>
      </c>
      <c r="AT271" s="101">
        <f>10+Module!$K$57/($AA$1+1)</f>
        <v>92.438394151029627</v>
      </c>
      <c r="AU271" s="101">
        <f>$AA$1*(25+Module!$I$6)</f>
        <v>101</v>
      </c>
      <c r="AV271" s="101">
        <f>(AT271*($Z$1+1)*0.002488974)/($Z$1+1)*Module!$I$5*Module!$I$7</f>
        <v>70.974999121916298</v>
      </c>
      <c r="AW271" s="101">
        <f>$P$120*Module!$I$7*X271*Module!$I$5</f>
        <v>151.29133223451896</v>
      </c>
      <c r="AX271" s="151">
        <f t="shared" si="81"/>
        <v>1000000</v>
      </c>
      <c r="AZ271" s="101">
        <f t="shared" si="88"/>
        <v>0</v>
      </c>
      <c r="BA271" s="101">
        <f>10+Module!$K$57/($AB$1+1)</f>
        <v>71.82879561327222</v>
      </c>
      <c r="BB271" s="101">
        <f>$AB$1*(25+Module!$I$6)</f>
        <v>151.5</v>
      </c>
      <c r="BC271" s="101">
        <f>(BA271*($AB$1+1)*0.002488974)/($AB$1+1)*Module!$I$5*Module!$I$7</f>
        <v>55.150770979977231</v>
      </c>
      <c r="BD271" s="101">
        <f>$P$120*Module!$I$7*X271*Module!$I$5</f>
        <v>151.29133223451896</v>
      </c>
      <c r="BE271" s="151">
        <f t="shared" si="82"/>
        <v>1000000</v>
      </c>
      <c r="BG271" s="101">
        <f t="shared" si="89"/>
        <v>0</v>
      </c>
      <c r="BH271" s="101">
        <f>10+Module!$K$57/($AC$1+1)</f>
        <v>59.463036490617775</v>
      </c>
      <c r="BI271" s="101">
        <f>$AC$1*(25+Module!$I$6)</f>
        <v>202</v>
      </c>
      <c r="BJ271" s="101">
        <f>(BH271*($AC$1+1)*0.002488974)/($AC$1+1)*Module!$I$5*Module!$I$7</f>
        <v>45.656234094813776</v>
      </c>
      <c r="BK271" s="101">
        <f>$P$120*Module!$I$7*X271*Module!$I$5</f>
        <v>151.29133223451896</v>
      </c>
      <c r="BL271" s="151">
        <f t="shared" si="83"/>
        <v>1000000</v>
      </c>
    </row>
    <row r="272" spans="23:64" ht="19.5" hidden="1" customHeight="1" thickBot="1">
      <c r="W272" s="777"/>
      <c r="X272" s="121">
        <f t="shared" si="84"/>
        <v>68</v>
      </c>
      <c r="Y272" s="122">
        <f>'calcul pneu pour calculateur'!P273</f>
        <v>149.99457208417252</v>
      </c>
      <c r="Z272" s="123">
        <f t="shared" si="76"/>
        <v>299.98914416834504</v>
      </c>
      <c r="AA272" s="123">
        <f t="shared" si="77"/>
        <v>449.98371625251752</v>
      </c>
      <c r="AB272" s="123">
        <f t="shared" si="78"/>
        <v>599.97828833669007</v>
      </c>
      <c r="AC272" s="123">
        <f t="shared" si="79"/>
        <v>749.97286042086262</v>
      </c>
      <c r="AK272" s="121">
        <f t="shared" si="85"/>
        <v>68</v>
      </c>
      <c r="AL272" s="101">
        <f t="shared" si="86"/>
        <v>0</v>
      </c>
      <c r="AM272" s="101">
        <f>10+Module!$K$57/($Z$1+1)</f>
        <v>133.65759122654444</v>
      </c>
      <c r="AN272" s="101">
        <f>$Z$1*(25+Module!$I$6)</f>
        <v>50.5</v>
      </c>
      <c r="AO272" s="101">
        <f>(AM272*($Z$1+1)*0.002488974)/($Z$1+1)*Module!$I$5*Module!$I$7</f>
        <v>102.62345540579445</v>
      </c>
      <c r="AP272" s="101">
        <f>$P$120*Module!$I$7*X272*Module!$I$5</f>
        <v>153.54941182010882</v>
      </c>
      <c r="AQ272" s="151">
        <f t="shared" si="80"/>
        <v>1000000</v>
      </c>
      <c r="AS272" s="101">
        <f t="shared" si="87"/>
        <v>0</v>
      </c>
      <c r="AT272" s="101">
        <f>10+Module!$K$57/($AA$1+1)</f>
        <v>92.438394151029627</v>
      </c>
      <c r="AU272" s="101">
        <f>$AA$1*(25+Module!$I$6)</f>
        <v>101</v>
      </c>
      <c r="AV272" s="101">
        <f>(AT272*($Z$1+1)*0.002488974)/($Z$1+1)*Module!$I$5*Module!$I$7</f>
        <v>70.974999121916298</v>
      </c>
      <c r="AW272" s="101">
        <f>$P$120*Module!$I$7*X272*Module!$I$5</f>
        <v>153.54941182010882</v>
      </c>
      <c r="AX272" s="151">
        <f t="shared" si="81"/>
        <v>1000000</v>
      </c>
      <c r="AZ272" s="101">
        <f t="shared" si="88"/>
        <v>0</v>
      </c>
      <c r="BA272" s="101">
        <f>10+Module!$K$57/($AB$1+1)</f>
        <v>71.82879561327222</v>
      </c>
      <c r="BB272" s="101">
        <f>$AB$1*(25+Module!$I$6)</f>
        <v>151.5</v>
      </c>
      <c r="BC272" s="101">
        <f>(BA272*($AB$1+1)*0.002488974)/($AB$1+1)*Module!$I$5*Module!$I$7</f>
        <v>55.150770979977231</v>
      </c>
      <c r="BD272" s="101">
        <f>$P$120*Module!$I$7*X272*Module!$I$5</f>
        <v>153.54941182010882</v>
      </c>
      <c r="BE272" s="151">
        <f t="shared" si="82"/>
        <v>1000000</v>
      </c>
      <c r="BG272" s="101">
        <f t="shared" si="89"/>
        <v>0</v>
      </c>
      <c r="BH272" s="101">
        <f>10+Module!$K$57/($AC$1+1)</f>
        <v>59.463036490617775</v>
      </c>
      <c r="BI272" s="101">
        <f>$AC$1*(25+Module!$I$6)</f>
        <v>202</v>
      </c>
      <c r="BJ272" s="101">
        <f>(BH272*($AC$1+1)*0.002488974)/($AC$1+1)*Module!$I$5*Module!$I$7</f>
        <v>45.656234094813776</v>
      </c>
      <c r="BK272" s="101">
        <f>$P$120*Module!$I$7*X272*Module!$I$5</f>
        <v>153.54941182010882</v>
      </c>
      <c r="BL272" s="151">
        <f t="shared" si="83"/>
        <v>1000000</v>
      </c>
    </row>
    <row r="273" spans="23:64" ht="19.5" hidden="1" customHeight="1" thickBot="1">
      <c r="W273" s="777"/>
      <c r="X273" s="121">
        <f t="shared" si="84"/>
        <v>69</v>
      </c>
      <c r="Y273" s="122">
        <f>'calcul pneu pour calculateur'!P274</f>
        <v>149.50787380693109</v>
      </c>
      <c r="Z273" s="123">
        <f t="shared" si="76"/>
        <v>299.01574761386217</v>
      </c>
      <c r="AA273" s="123">
        <f t="shared" si="77"/>
        <v>448.52362142079323</v>
      </c>
      <c r="AB273" s="123">
        <f t="shared" si="78"/>
        <v>598.03149522772435</v>
      </c>
      <c r="AC273" s="123">
        <f t="shared" si="79"/>
        <v>747.53936903465546</v>
      </c>
      <c r="AK273" s="121">
        <f t="shared" si="85"/>
        <v>69</v>
      </c>
      <c r="AL273" s="101">
        <f t="shared" si="86"/>
        <v>0</v>
      </c>
      <c r="AM273" s="101">
        <f>10+Module!$K$57/($Z$1+1)</f>
        <v>133.65759122654444</v>
      </c>
      <c r="AN273" s="101">
        <f>$Z$1*(25+Module!$I$6)</f>
        <v>50.5</v>
      </c>
      <c r="AO273" s="101">
        <f>(AM273*($Z$1+1)*0.002488974)/($Z$1+1)*Module!$I$5*Module!$I$7</f>
        <v>102.62345540579445</v>
      </c>
      <c r="AP273" s="101">
        <f>$P$120*Module!$I$7*X273*Module!$I$5</f>
        <v>155.80749140569864</v>
      </c>
      <c r="AQ273" s="151">
        <f t="shared" si="80"/>
        <v>1000000</v>
      </c>
      <c r="AS273" s="101">
        <f t="shared" si="87"/>
        <v>0</v>
      </c>
      <c r="AT273" s="101">
        <f>10+Module!$K$57/($AA$1+1)</f>
        <v>92.438394151029627</v>
      </c>
      <c r="AU273" s="101">
        <f>$AA$1*(25+Module!$I$6)</f>
        <v>101</v>
      </c>
      <c r="AV273" s="101">
        <f>(AT273*($Z$1+1)*0.002488974)/($Z$1+1)*Module!$I$5*Module!$I$7</f>
        <v>70.974999121916298</v>
      </c>
      <c r="AW273" s="101">
        <f>$P$120*Module!$I$7*X273*Module!$I$5</f>
        <v>155.80749140569864</v>
      </c>
      <c r="AX273" s="151">
        <f t="shared" si="81"/>
        <v>1000000</v>
      </c>
      <c r="AZ273" s="101">
        <f t="shared" si="88"/>
        <v>0</v>
      </c>
      <c r="BA273" s="101">
        <f>10+Module!$K$57/($AB$1+1)</f>
        <v>71.82879561327222</v>
      </c>
      <c r="BB273" s="101">
        <f>$AB$1*(25+Module!$I$6)</f>
        <v>151.5</v>
      </c>
      <c r="BC273" s="101">
        <f>(BA273*($AB$1+1)*0.002488974)/($AB$1+1)*Module!$I$5*Module!$I$7</f>
        <v>55.150770979977231</v>
      </c>
      <c r="BD273" s="101">
        <f>$P$120*Module!$I$7*X273*Module!$I$5</f>
        <v>155.80749140569864</v>
      </c>
      <c r="BE273" s="151">
        <f t="shared" si="82"/>
        <v>1000000</v>
      </c>
      <c r="BG273" s="101">
        <f t="shared" si="89"/>
        <v>0</v>
      </c>
      <c r="BH273" s="101">
        <f>10+Module!$K$57/($AC$1+1)</f>
        <v>59.463036490617775</v>
      </c>
      <c r="BI273" s="101">
        <f>$AC$1*(25+Module!$I$6)</f>
        <v>202</v>
      </c>
      <c r="BJ273" s="101">
        <f>(BH273*($AC$1+1)*0.002488974)/($AC$1+1)*Module!$I$5*Module!$I$7</f>
        <v>45.656234094813776</v>
      </c>
      <c r="BK273" s="101">
        <f>$P$120*Module!$I$7*X273*Module!$I$5</f>
        <v>155.80749140569864</v>
      </c>
      <c r="BL273" s="151">
        <f t="shared" si="83"/>
        <v>1000000</v>
      </c>
    </row>
    <row r="274" spans="23:64" ht="19.5" hidden="1" customHeight="1" thickBot="1">
      <c r="W274" s="777"/>
      <c r="X274" s="121">
        <f t="shared" si="84"/>
        <v>70</v>
      </c>
      <c r="Y274" s="122">
        <f>'calcul pneu pour calculateur'!P275</f>
        <v>149.02117552968966</v>
      </c>
      <c r="Z274" s="123">
        <f t="shared" si="76"/>
        <v>298.04235105937931</v>
      </c>
      <c r="AA274" s="123">
        <f t="shared" si="77"/>
        <v>447.06352658906894</v>
      </c>
      <c r="AB274" s="123">
        <f t="shared" si="78"/>
        <v>596.08470211875863</v>
      </c>
      <c r="AC274" s="123">
        <f t="shared" si="79"/>
        <v>745.10587764844831</v>
      </c>
      <c r="AK274" s="121">
        <f t="shared" si="85"/>
        <v>70</v>
      </c>
      <c r="AL274" s="101">
        <f t="shared" si="86"/>
        <v>0</v>
      </c>
      <c r="AM274" s="101">
        <f>10+Module!$K$57/($Z$1+1)</f>
        <v>133.65759122654444</v>
      </c>
      <c r="AN274" s="101">
        <f>$Z$1*(25+Module!$I$6)</f>
        <v>50.5</v>
      </c>
      <c r="AO274" s="101">
        <f>(AM274*($Z$1+1)*0.002488974)/($Z$1+1)*Module!$I$5*Module!$I$7</f>
        <v>102.62345540579445</v>
      </c>
      <c r="AP274" s="101">
        <f>$P$120*Module!$I$7*X274*Module!$I$5</f>
        <v>158.06557099128847</v>
      </c>
      <c r="AQ274" s="151">
        <f t="shared" si="80"/>
        <v>1000000</v>
      </c>
      <c r="AS274" s="101">
        <f t="shared" si="87"/>
        <v>0</v>
      </c>
      <c r="AT274" s="101">
        <f>10+Module!$K$57/($AA$1+1)</f>
        <v>92.438394151029627</v>
      </c>
      <c r="AU274" s="101">
        <f>$AA$1*(25+Module!$I$6)</f>
        <v>101</v>
      </c>
      <c r="AV274" s="101">
        <f>(AT274*($Z$1+1)*0.002488974)/($Z$1+1)*Module!$I$5*Module!$I$7</f>
        <v>70.974999121916298</v>
      </c>
      <c r="AW274" s="101">
        <f>$P$120*Module!$I$7*X274*Module!$I$5</f>
        <v>158.06557099128847</v>
      </c>
      <c r="AX274" s="151">
        <f t="shared" si="81"/>
        <v>1000000</v>
      </c>
      <c r="AZ274" s="101">
        <f t="shared" si="88"/>
        <v>0</v>
      </c>
      <c r="BA274" s="101">
        <f>10+Module!$K$57/($AB$1+1)</f>
        <v>71.82879561327222</v>
      </c>
      <c r="BB274" s="101">
        <f>$AB$1*(25+Module!$I$6)</f>
        <v>151.5</v>
      </c>
      <c r="BC274" s="101">
        <f>(BA274*($AB$1+1)*0.002488974)/($AB$1+1)*Module!$I$5*Module!$I$7</f>
        <v>55.150770979977231</v>
      </c>
      <c r="BD274" s="101">
        <f>$P$120*Module!$I$7*X274*Module!$I$5</f>
        <v>158.06557099128847</v>
      </c>
      <c r="BE274" s="151">
        <f t="shared" si="82"/>
        <v>1000000</v>
      </c>
      <c r="BG274" s="101">
        <f t="shared" si="89"/>
        <v>0</v>
      </c>
      <c r="BH274" s="101">
        <f>10+Module!$K$57/($AC$1+1)</f>
        <v>59.463036490617775</v>
      </c>
      <c r="BI274" s="101">
        <f>$AC$1*(25+Module!$I$6)</f>
        <v>202</v>
      </c>
      <c r="BJ274" s="101">
        <f>(BH274*($AC$1+1)*0.002488974)/($AC$1+1)*Module!$I$5*Module!$I$7</f>
        <v>45.656234094813776</v>
      </c>
      <c r="BK274" s="101">
        <f>$P$120*Module!$I$7*X274*Module!$I$5</f>
        <v>158.06557099128847</v>
      </c>
      <c r="BL274" s="151">
        <f t="shared" si="83"/>
        <v>1000000</v>
      </c>
    </row>
    <row r="275" spans="23:64" ht="19.5" hidden="1" customHeight="1" thickBot="1">
      <c r="W275" s="777"/>
      <c r="X275" s="121">
        <f t="shared" si="84"/>
        <v>71</v>
      </c>
      <c r="Y275" s="122">
        <f>'calcul pneu pour calculateur'!P276</f>
        <v>148.53447725244823</v>
      </c>
      <c r="Z275" s="123">
        <f t="shared" si="76"/>
        <v>297.06895450489645</v>
      </c>
      <c r="AA275" s="123">
        <f t="shared" si="77"/>
        <v>445.60343175734465</v>
      </c>
      <c r="AB275" s="123">
        <f t="shared" si="78"/>
        <v>594.13790900979291</v>
      </c>
      <c r="AC275" s="123">
        <f t="shared" si="79"/>
        <v>742.67238626224116</v>
      </c>
      <c r="AK275" s="121">
        <f t="shared" si="85"/>
        <v>71</v>
      </c>
      <c r="AL275" s="101">
        <f t="shared" si="86"/>
        <v>0</v>
      </c>
      <c r="AM275" s="101">
        <f>10+Module!$K$57/($Z$1+1)</f>
        <v>133.65759122654444</v>
      </c>
      <c r="AN275" s="101">
        <f>$Z$1*(25+Module!$I$6)</f>
        <v>50.5</v>
      </c>
      <c r="AO275" s="101">
        <f>(AM275*($Z$1+1)*0.002488974)/($Z$1+1)*Module!$I$5*Module!$I$7</f>
        <v>102.62345540579445</v>
      </c>
      <c r="AP275" s="101">
        <f>$P$120*Module!$I$7*X275*Module!$I$5</f>
        <v>160.32365057687832</v>
      </c>
      <c r="AQ275" s="151">
        <f t="shared" si="80"/>
        <v>1000000</v>
      </c>
      <c r="AS275" s="101">
        <f t="shared" si="87"/>
        <v>0</v>
      </c>
      <c r="AT275" s="101">
        <f>10+Module!$K$57/($AA$1+1)</f>
        <v>92.438394151029627</v>
      </c>
      <c r="AU275" s="101">
        <f>$AA$1*(25+Module!$I$6)</f>
        <v>101</v>
      </c>
      <c r="AV275" s="101">
        <f>(AT275*($Z$1+1)*0.002488974)/($Z$1+1)*Module!$I$5*Module!$I$7</f>
        <v>70.974999121916298</v>
      </c>
      <c r="AW275" s="101">
        <f>$P$120*Module!$I$7*X275*Module!$I$5</f>
        <v>160.32365057687832</v>
      </c>
      <c r="AX275" s="151">
        <f t="shared" si="81"/>
        <v>1000000</v>
      </c>
      <c r="AZ275" s="101">
        <f t="shared" si="88"/>
        <v>0</v>
      </c>
      <c r="BA275" s="101">
        <f>10+Module!$K$57/($AB$1+1)</f>
        <v>71.82879561327222</v>
      </c>
      <c r="BB275" s="101">
        <f>$AB$1*(25+Module!$I$6)</f>
        <v>151.5</v>
      </c>
      <c r="BC275" s="101">
        <f>(BA275*($AB$1+1)*0.002488974)/($AB$1+1)*Module!$I$5*Module!$I$7</f>
        <v>55.150770979977231</v>
      </c>
      <c r="BD275" s="101">
        <f>$P$120*Module!$I$7*X275*Module!$I$5</f>
        <v>160.32365057687832</v>
      </c>
      <c r="BE275" s="151">
        <f t="shared" si="82"/>
        <v>1000000</v>
      </c>
      <c r="BG275" s="101">
        <f t="shared" si="89"/>
        <v>0</v>
      </c>
      <c r="BH275" s="101">
        <f>10+Module!$K$57/($AC$1+1)</f>
        <v>59.463036490617775</v>
      </c>
      <c r="BI275" s="101">
        <f>$AC$1*(25+Module!$I$6)</f>
        <v>202</v>
      </c>
      <c r="BJ275" s="101">
        <f>(BH275*($AC$1+1)*0.002488974)/($AC$1+1)*Module!$I$5*Module!$I$7</f>
        <v>45.656234094813776</v>
      </c>
      <c r="BK275" s="101">
        <f>$P$120*Module!$I$7*X275*Module!$I$5</f>
        <v>160.32365057687832</v>
      </c>
      <c r="BL275" s="151">
        <f t="shared" si="83"/>
        <v>1000000</v>
      </c>
    </row>
    <row r="276" spans="23:64" ht="19.5" hidden="1" customHeight="1" thickBot="1">
      <c r="W276" s="777"/>
      <c r="X276" s="121">
        <f t="shared" si="84"/>
        <v>72</v>
      </c>
      <c r="Y276" s="122">
        <f>'calcul pneu pour calculateur'!P277</f>
        <v>148.04777897520677</v>
      </c>
      <c r="Z276" s="123">
        <f t="shared" si="76"/>
        <v>296.09555795041354</v>
      </c>
      <c r="AA276" s="123">
        <f t="shared" si="77"/>
        <v>444.1433369256203</v>
      </c>
      <c r="AB276" s="123">
        <f t="shared" si="78"/>
        <v>592.19111590082707</v>
      </c>
      <c r="AC276" s="123">
        <f t="shared" si="79"/>
        <v>740.23889487603378</v>
      </c>
      <c r="AK276" s="121">
        <f t="shared" si="85"/>
        <v>72</v>
      </c>
      <c r="AL276" s="101">
        <f t="shared" si="86"/>
        <v>0</v>
      </c>
      <c r="AM276" s="101">
        <f>10+Module!$K$57/($Z$1+1)</f>
        <v>133.65759122654444</v>
      </c>
      <c r="AN276" s="101">
        <f>$Z$1*(25+Module!$I$6)</f>
        <v>50.5</v>
      </c>
      <c r="AO276" s="101">
        <f>(AM276*($Z$1+1)*0.002488974)/($Z$1+1)*Module!$I$5*Module!$I$7</f>
        <v>102.62345540579445</v>
      </c>
      <c r="AP276" s="101">
        <f>$P$120*Module!$I$7*X276*Module!$I$5</f>
        <v>162.58173016246815</v>
      </c>
      <c r="AQ276" s="151">
        <f t="shared" si="80"/>
        <v>1000000</v>
      </c>
      <c r="AS276" s="101">
        <f t="shared" si="87"/>
        <v>0</v>
      </c>
      <c r="AT276" s="101">
        <f>10+Module!$K$57/($AA$1+1)</f>
        <v>92.438394151029627</v>
      </c>
      <c r="AU276" s="101">
        <f>$AA$1*(25+Module!$I$6)</f>
        <v>101</v>
      </c>
      <c r="AV276" s="101">
        <f>(AT276*($Z$1+1)*0.002488974)/($Z$1+1)*Module!$I$5*Module!$I$7</f>
        <v>70.974999121916298</v>
      </c>
      <c r="AW276" s="101">
        <f>$P$120*Module!$I$7*X276*Module!$I$5</f>
        <v>162.58173016246815</v>
      </c>
      <c r="AX276" s="151">
        <f t="shared" si="81"/>
        <v>1000000</v>
      </c>
      <c r="AZ276" s="101">
        <f t="shared" si="88"/>
        <v>0</v>
      </c>
      <c r="BA276" s="101">
        <f>10+Module!$K$57/($AB$1+1)</f>
        <v>71.82879561327222</v>
      </c>
      <c r="BB276" s="101">
        <f>$AB$1*(25+Module!$I$6)</f>
        <v>151.5</v>
      </c>
      <c r="BC276" s="101">
        <f>(BA276*($AB$1+1)*0.002488974)/($AB$1+1)*Module!$I$5*Module!$I$7</f>
        <v>55.150770979977231</v>
      </c>
      <c r="BD276" s="101">
        <f>$P$120*Module!$I$7*X276*Module!$I$5</f>
        <v>162.58173016246815</v>
      </c>
      <c r="BE276" s="151">
        <f t="shared" si="82"/>
        <v>1000000</v>
      </c>
      <c r="BG276" s="101">
        <f t="shared" si="89"/>
        <v>0</v>
      </c>
      <c r="BH276" s="101">
        <f>10+Module!$K$57/($AC$1+1)</f>
        <v>59.463036490617775</v>
      </c>
      <c r="BI276" s="101">
        <f>$AC$1*(25+Module!$I$6)</f>
        <v>202</v>
      </c>
      <c r="BJ276" s="101">
        <f>(BH276*($AC$1+1)*0.002488974)/($AC$1+1)*Module!$I$5*Module!$I$7</f>
        <v>45.656234094813776</v>
      </c>
      <c r="BK276" s="101">
        <f>$P$120*Module!$I$7*X276*Module!$I$5</f>
        <v>162.58173016246815</v>
      </c>
      <c r="BL276" s="151">
        <f t="shared" si="83"/>
        <v>1000000</v>
      </c>
    </row>
    <row r="277" spans="23:64" ht="19.5" hidden="1" customHeight="1" thickBot="1">
      <c r="W277" s="777"/>
      <c r="X277" s="121">
        <f t="shared" si="84"/>
        <v>73</v>
      </c>
      <c r="Y277" s="122">
        <f>'calcul pneu pour calculateur'!P278</f>
        <v>147.56108069796534</v>
      </c>
      <c r="Z277" s="123">
        <f t="shared" si="76"/>
        <v>295.12216139593068</v>
      </c>
      <c r="AA277" s="123">
        <f t="shared" si="77"/>
        <v>442.68324209389601</v>
      </c>
      <c r="AB277" s="123">
        <f t="shared" si="78"/>
        <v>590.24432279186135</v>
      </c>
      <c r="AC277" s="123">
        <f t="shared" si="79"/>
        <v>737.80540348982663</v>
      </c>
      <c r="AK277" s="121">
        <f t="shared" si="85"/>
        <v>73</v>
      </c>
      <c r="AL277" s="101">
        <f t="shared" si="86"/>
        <v>0</v>
      </c>
      <c r="AM277" s="101">
        <f>10+Module!$K$57/($Z$1+1)</f>
        <v>133.65759122654444</v>
      </c>
      <c r="AN277" s="101">
        <f>$Z$1*(25+Module!$I$6)</f>
        <v>50.5</v>
      </c>
      <c r="AO277" s="101">
        <f>(AM277*($Z$1+1)*0.002488974)/($Z$1+1)*Module!$I$5*Module!$I$7</f>
        <v>102.62345540579445</v>
      </c>
      <c r="AP277" s="101">
        <f>$P$120*Module!$I$7*X277*Module!$I$5</f>
        <v>164.839809748058</v>
      </c>
      <c r="AQ277" s="151">
        <f t="shared" si="80"/>
        <v>1000000</v>
      </c>
      <c r="AS277" s="101">
        <f t="shared" si="87"/>
        <v>0</v>
      </c>
      <c r="AT277" s="101">
        <f>10+Module!$K$57/($AA$1+1)</f>
        <v>92.438394151029627</v>
      </c>
      <c r="AU277" s="101">
        <f>$AA$1*(25+Module!$I$6)</f>
        <v>101</v>
      </c>
      <c r="AV277" s="101">
        <f>(AT277*($Z$1+1)*0.002488974)/($Z$1+1)*Module!$I$5*Module!$I$7</f>
        <v>70.974999121916298</v>
      </c>
      <c r="AW277" s="101">
        <f>$P$120*Module!$I$7*X277*Module!$I$5</f>
        <v>164.839809748058</v>
      </c>
      <c r="AX277" s="151">
        <f t="shared" si="81"/>
        <v>1000000</v>
      </c>
      <c r="AZ277" s="101">
        <f t="shared" si="88"/>
        <v>0</v>
      </c>
      <c r="BA277" s="101">
        <f>10+Module!$K$57/($AB$1+1)</f>
        <v>71.82879561327222</v>
      </c>
      <c r="BB277" s="101">
        <f>$AB$1*(25+Module!$I$6)</f>
        <v>151.5</v>
      </c>
      <c r="BC277" s="101">
        <f>(BA277*($AB$1+1)*0.002488974)/($AB$1+1)*Module!$I$5*Module!$I$7</f>
        <v>55.150770979977231</v>
      </c>
      <c r="BD277" s="101">
        <f>$P$120*Module!$I$7*X277*Module!$I$5</f>
        <v>164.839809748058</v>
      </c>
      <c r="BE277" s="151">
        <f t="shared" si="82"/>
        <v>1000000</v>
      </c>
      <c r="BG277" s="101">
        <f t="shared" si="89"/>
        <v>0</v>
      </c>
      <c r="BH277" s="101">
        <f>10+Module!$K$57/($AC$1+1)</f>
        <v>59.463036490617775</v>
      </c>
      <c r="BI277" s="101">
        <f>$AC$1*(25+Module!$I$6)</f>
        <v>202</v>
      </c>
      <c r="BJ277" s="101">
        <f>(BH277*($AC$1+1)*0.002488974)/($AC$1+1)*Module!$I$5*Module!$I$7</f>
        <v>45.656234094813776</v>
      </c>
      <c r="BK277" s="101">
        <f>$P$120*Module!$I$7*X277*Module!$I$5</f>
        <v>164.839809748058</v>
      </c>
      <c r="BL277" s="151">
        <f t="shared" si="83"/>
        <v>1000000</v>
      </c>
    </row>
    <row r="278" spans="23:64" ht="19.5" hidden="1" customHeight="1" thickBot="1">
      <c r="W278" s="777"/>
      <c r="X278" s="121">
        <f t="shared" si="84"/>
        <v>74</v>
      </c>
      <c r="Y278" s="122">
        <f>'calcul pneu pour calculateur'!P279</f>
        <v>147.07438242072391</v>
      </c>
      <c r="Z278" s="123">
        <f t="shared" si="76"/>
        <v>294.14876484144781</v>
      </c>
      <c r="AA278" s="123">
        <f t="shared" si="77"/>
        <v>441.22314726217172</v>
      </c>
      <c r="AB278" s="123">
        <f t="shared" si="78"/>
        <v>588.29752968289563</v>
      </c>
      <c r="AC278" s="123">
        <f t="shared" si="79"/>
        <v>735.37191210361948</v>
      </c>
      <c r="AK278" s="121">
        <f t="shared" si="85"/>
        <v>74</v>
      </c>
      <c r="AL278" s="101">
        <f t="shared" si="86"/>
        <v>0</v>
      </c>
      <c r="AM278" s="101">
        <f>10+Module!$K$57/($Z$1+1)</f>
        <v>133.65759122654444</v>
      </c>
      <c r="AN278" s="101">
        <f>$Z$1*(25+Module!$I$6)</f>
        <v>50.5</v>
      </c>
      <c r="AO278" s="101">
        <f>(AM278*($Z$1+1)*0.002488974)/($Z$1+1)*Module!$I$5*Module!$I$7</f>
        <v>102.62345540579445</v>
      </c>
      <c r="AP278" s="101">
        <f>$P$120*Module!$I$7*X278*Module!$I$5</f>
        <v>167.09788933364783</v>
      </c>
      <c r="AQ278" s="151">
        <f t="shared" si="80"/>
        <v>1000000</v>
      </c>
      <c r="AS278" s="101">
        <f t="shared" si="87"/>
        <v>0</v>
      </c>
      <c r="AT278" s="101">
        <f>10+Module!$K$57/($AA$1+1)</f>
        <v>92.438394151029627</v>
      </c>
      <c r="AU278" s="101">
        <f>$AA$1*(25+Module!$I$6)</f>
        <v>101</v>
      </c>
      <c r="AV278" s="101">
        <f>(AT278*($Z$1+1)*0.002488974)/($Z$1+1)*Module!$I$5*Module!$I$7</f>
        <v>70.974999121916298</v>
      </c>
      <c r="AW278" s="101">
        <f>$P$120*Module!$I$7*X278*Module!$I$5</f>
        <v>167.09788933364783</v>
      </c>
      <c r="AX278" s="151">
        <f t="shared" si="81"/>
        <v>1000000</v>
      </c>
      <c r="AZ278" s="101">
        <f t="shared" si="88"/>
        <v>0</v>
      </c>
      <c r="BA278" s="101">
        <f>10+Module!$K$57/($AB$1+1)</f>
        <v>71.82879561327222</v>
      </c>
      <c r="BB278" s="101">
        <f>$AB$1*(25+Module!$I$6)</f>
        <v>151.5</v>
      </c>
      <c r="BC278" s="101">
        <f>(BA278*($AB$1+1)*0.002488974)/($AB$1+1)*Module!$I$5*Module!$I$7</f>
        <v>55.150770979977231</v>
      </c>
      <c r="BD278" s="101">
        <f>$P$120*Module!$I$7*X278*Module!$I$5</f>
        <v>167.09788933364783</v>
      </c>
      <c r="BE278" s="151">
        <f t="shared" si="82"/>
        <v>1000000</v>
      </c>
      <c r="BG278" s="101">
        <f t="shared" si="89"/>
        <v>0</v>
      </c>
      <c r="BH278" s="101">
        <f>10+Module!$K$57/($AC$1+1)</f>
        <v>59.463036490617775</v>
      </c>
      <c r="BI278" s="101">
        <f>$AC$1*(25+Module!$I$6)</f>
        <v>202</v>
      </c>
      <c r="BJ278" s="101">
        <f>(BH278*($AC$1+1)*0.002488974)/($AC$1+1)*Module!$I$5*Module!$I$7</f>
        <v>45.656234094813776</v>
      </c>
      <c r="BK278" s="101">
        <f>$P$120*Module!$I$7*X278*Module!$I$5</f>
        <v>167.09788933364783</v>
      </c>
      <c r="BL278" s="151">
        <f t="shared" si="83"/>
        <v>1000000</v>
      </c>
    </row>
    <row r="279" spans="23:64" ht="19.5" hidden="1" customHeight="1" thickBot="1">
      <c r="W279" s="777"/>
      <c r="X279" s="121">
        <f t="shared" si="84"/>
        <v>75</v>
      </c>
      <c r="Y279" s="122">
        <f>'calcul pneu pour calculateur'!P280</f>
        <v>146.58768414348248</v>
      </c>
      <c r="Z279" s="123">
        <f t="shared" si="76"/>
        <v>293.17536828696495</v>
      </c>
      <c r="AA279" s="123">
        <f t="shared" si="77"/>
        <v>439.76305243044743</v>
      </c>
      <c r="AB279" s="123">
        <f t="shared" si="78"/>
        <v>586.35073657392991</v>
      </c>
      <c r="AC279" s="123">
        <f t="shared" si="79"/>
        <v>732.93842071741233</v>
      </c>
      <c r="AK279" s="121">
        <f t="shared" si="85"/>
        <v>75</v>
      </c>
      <c r="AL279" s="101">
        <f t="shared" si="86"/>
        <v>0</v>
      </c>
      <c r="AM279" s="101">
        <f>10+Module!$K$57/($Z$1+1)</f>
        <v>133.65759122654444</v>
      </c>
      <c r="AN279" s="101">
        <f>$Z$1*(25+Module!$I$6)</f>
        <v>50.5</v>
      </c>
      <c r="AO279" s="101">
        <f>(AM279*($Z$1+1)*0.002488974)/($Z$1+1)*Module!$I$5*Module!$I$7</f>
        <v>102.62345540579445</v>
      </c>
      <c r="AP279" s="101">
        <f>$P$120*Module!$I$7*X279*Module!$I$5</f>
        <v>169.35596891923765</v>
      </c>
      <c r="AQ279" s="151">
        <f t="shared" si="80"/>
        <v>1000000</v>
      </c>
      <c r="AS279" s="101">
        <f t="shared" si="87"/>
        <v>0</v>
      </c>
      <c r="AT279" s="101">
        <f>10+Module!$K$57/($AA$1+1)</f>
        <v>92.438394151029627</v>
      </c>
      <c r="AU279" s="101">
        <f>$AA$1*(25+Module!$I$6)</f>
        <v>101</v>
      </c>
      <c r="AV279" s="101">
        <f>(AT279*($Z$1+1)*0.002488974)/($Z$1+1)*Module!$I$5*Module!$I$7</f>
        <v>70.974999121916298</v>
      </c>
      <c r="AW279" s="101">
        <f>$P$120*Module!$I$7*X279*Module!$I$5</f>
        <v>169.35596891923765</v>
      </c>
      <c r="AX279" s="151">
        <f t="shared" si="81"/>
        <v>1000000</v>
      </c>
      <c r="AZ279" s="101">
        <f t="shared" si="88"/>
        <v>0</v>
      </c>
      <c r="BA279" s="101">
        <f>10+Module!$K$57/($AB$1+1)</f>
        <v>71.82879561327222</v>
      </c>
      <c r="BB279" s="101">
        <f>$AB$1*(25+Module!$I$6)</f>
        <v>151.5</v>
      </c>
      <c r="BC279" s="101">
        <f>(BA279*($AB$1+1)*0.002488974)/($AB$1+1)*Module!$I$5*Module!$I$7</f>
        <v>55.150770979977231</v>
      </c>
      <c r="BD279" s="101">
        <f>$P$120*Module!$I$7*X279*Module!$I$5</f>
        <v>169.35596891923765</v>
      </c>
      <c r="BE279" s="151">
        <f t="shared" si="82"/>
        <v>1000000</v>
      </c>
      <c r="BG279" s="101">
        <f t="shared" si="89"/>
        <v>0</v>
      </c>
      <c r="BH279" s="101">
        <f>10+Module!$K$57/($AC$1+1)</f>
        <v>59.463036490617775</v>
      </c>
      <c r="BI279" s="101">
        <f>$AC$1*(25+Module!$I$6)</f>
        <v>202</v>
      </c>
      <c r="BJ279" s="101">
        <f>(BH279*($AC$1+1)*0.002488974)/($AC$1+1)*Module!$I$5*Module!$I$7</f>
        <v>45.656234094813776</v>
      </c>
      <c r="BK279" s="101">
        <f>$P$120*Module!$I$7*X279*Module!$I$5</f>
        <v>169.35596891923765</v>
      </c>
      <c r="BL279" s="151">
        <f t="shared" si="83"/>
        <v>1000000</v>
      </c>
    </row>
    <row r="280" spans="23:64" ht="19.5" hidden="1" customHeight="1" thickBot="1">
      <c r="W280" s="777"/>
      <c r="X280" s="121">
        <f t="shared" si="84"/>
        <v>76</v>
      </c>
      <c r="Y280" s="122">
        <f>'calcul pneu pour calculateur'!P281</f>
        <v>146.10098586624102</v>
      </c>
      <c r="Z280" s="123">
        <f t="shared" si="76"/>
        <v>292.20197173248204</v>
      </c>
      <c r="AA280" s="123">
        <f t="shared" si="77"/>
        <v>438.30295759872308</v>
      </c>
      <c r="AB280" s="123">
        <f t="shared" si="78"/>
        <v>584.40394346496407</v>
      </c>
      <c r="AC280" s="123">
        <f t="shared" si="79"/>
        <v>730.50492933120506</v>
      </c>
      <c r="AK280" s="121">
        <f t="shared" si="85"/>
        <v>76</v>
      </c>
      <c r="AL280" s="101">
        <f t="shared" si="86"/>
        <v>0</v>
      </c>
      <c r="AM280" s="101">
        <f>10+Module!$K$57/($Z$1+1)</f>
        <v>133.65759122654444</v>
      </c>
      <c r="AN280" s="101">
        <f>$Z$1*(25+Module!$I$6)</f>
        <v>50.5</v>
      </c>
      <c r="AO280" s="101">
        <f>(AM280*($Z$1+1)*0.002488974)/($Z$1+1)*Module!$I$5*Module!$I$7</f>
        <v>102.62345540579445</v>
      </c>
      <c r="AP280" s="101">
        <f>$P$120*Module!$I$7*X280*Module!$I$5</f>
        <v>171.61404850482751</v>
      </c>
      <c r="AQ280" s="151">
        <f t="shared" si="80"/>
        <v>1000000</v>
      </c>
      <c r="AS280" s="101">
        <f t="shared" si="87"/>
        <v>0</v>
      </c>
      <c r="AT280" s="101">
        <f>10+Module!$K$57/($AA$1+1)</f>
        <v>92.438394151029627</v>
      </c>
      <c r="AU280" s="101">
        <f>$AA$1*(25+Module!$I$6)</f>
        <v>101</v>
      </c>
      <c r="AV280" s="101">
        <f>(AT280*($Z$1+1)*0.002488974)/($Z$1+1)*Module!$I$5*Module!$I$7</f>
        <v>70.974999121916298</v>
      </c>
      <c r="AW280" s="101">
        <f>$P$120*Module!$I$7*X280*Module!$I$5</f>
        <v>171.61404850482751</v>
      </c>
      <c r="AX280" s="151">
        <f t="shared" si="81"/>
        <v>1000000</v>
      </c>
      <c r="AZ280" s="101">
        <f t="shared" si="88"/>
        <v>0</v>
      </c>
      <c r="BA280" s="101">
        <f>10+Module!$K$57/($AB$1+1)</f>
        <v>71.82879561327222</v>
      </c>
      <c r="BB280" s="101">
        <f>$AB$1*(25+Module!$I$6)</f>
        <v>151.5</v>
      </c>
      <c r="BC280" s="101">
        <f>(BA280*($AB$1+1)*0.002488974)/($AB$1+1)*Module!$I$5*Module!$I$7</f>
        <v>55.150770979977231</v>
      </c>
      <c r="BD280" s="101">
        <f>$P$120*Module!$I$7*X280*Module!$I$5</f>
        <v>171.61404850482751</v>
      </c>
      <c r="BE280" s="151">
        <f t="shared" si="82"/>
        <v>1000000</v>
      </c>
      <c r="BG280" s="101">
        <f t="shared" si="89"/>
        <v>0</v>
      </c>
      <c r="BH280" s="101">
        <f>10+Module!$K$57/($AC$1+1)</f>
        <v>59.463036490617775</v>
      </c>
      <c r="BI280" s="101">
        <f>$AC$1*(25+Module!$I$6)</f>
        <v>202</v>
      </c>
      <c r="BJ280" s="101">
        <f>(BH280*($AC$1+1)*0.002488974)/($AC$1+1)*Module!$I$5*Module!$I$7</f>
        <v>45.656234094813776</v>
      </c>
      <c r="BK280" s="101">
        <f>$P$120*Module!$I$7*X280*Module!$I$5</f>
        <v>171.61404850482751</v>
      </c>
      <c r="BL280" s="151">
        <f t="shared" si="83"/>
        <v>1000000</v>
      </c>
    </row>
    <row r="281" spans="23:64" ht="19.5" hidden="1" customHeight="1" thickBot="1">
      <c r="W281" s="777"/>
      <c r="X281" s="121">
        <f t="shared" si="84"/>
        <v>77</v>
      </c>
      <c r="Y281" s="122">
        <f>'calcul pneu pour calculateur'!P282</f>
        <v>145.61428758899959</v>
      </c>
      <c r="Z281" s="123">
        <f t="shared" si="76"/>
        <v>291.22857517799918</v>
      </c>
      <c r="AA281" s="123">
        <f t="shared" si="77"/>
        <v>436.84286276699879</v>
      </c>
      <c r="AB281" s="123">
        <f t="shared" si="78"/>
        <v>582.45715035599835</v>
      </c>
      <c r="AC281" s="123">
        <f t="shared" si="79"/>
        <v>728.07143794499791</v>
      </c>
      <c r="AK281" s="121">
        <f t="shared" si="85"/>
        <v>77</v>
      </c>
      <c r="AL281" s="101">
        <f t="shared" si="86"/>
        <v>0</v>
      </c>
      <c r="AM281" s="101">
        <f>10+Module!$K$57/($Z$1+1)</f>
        <v>133.65759122654444</v>
      </c>
      <c r="AN281" s="101">
        <f>$Z$1*(25+Module!$I$6)</f>
        <v>50.5</v>
      </c>
      <c r="AO281" s="101">
        <f>(AM281*($Z$1+1)*0.002488974)/($Z$1+1)*Module!$I$5*Module!$I$7</f>
        <v>102.62345540579445</v>
      </c>
      <c r="AP281" s="101">
        <f>$P$120*Module!$I$7*X281*Module!$I$5</f>
        <v>173.87212809041733</v>
      </c>
      <c r="AQ281" s="151">
        <f t="shared" si="80"/>
        <v>1000000</v>
      </c>
      <c r="AS281" s="101">
        <f t="shared" si="87"/>
        <v>0</v>
      </c>
      <c r="AT281" s="101">
        <f>10+Module!$K$57/($AA$1+1)</f>
        <v>92.438394151029627</v>
      </c>
      <c r="AU281" s="101">
        <f>$AA$1*(25+Module!$I$6)</f>
        <v>101</v>
      </c>
      <c r="AV281" s="101">
        <f>(AT281*($Z$1+1)*0.002488974)/($Z$1+1)*Module!$I$5*Module!$I$7</f>
        <v>70.974999121916298</v>
      </c>
      <c r="AW281" s="101">
        <f>$P$120*Module!$I$7*X281*Module!$I$5</f>
        <v>173.87212809041733</v>
      </c>
      <c r="AX281" s="151">
        <f t="shared" si="81"/>
        <v>1000000</v>
      </c>
      <c r="AZ281" s="101">
        <f t="shared" si="88"/>
        <v>0</v>
      </c>
      <c r="BA281" s="101">
        <f>10+Module!$K$57/($AB$1+1)</f>
        <v>71.82879561327222</v>
      </c>
      <c r="BB281" s="101">
        <f>$AB$1*(25+Module!$I$6)</f>
        <v>151.5</v>
      </c>
      <c r="BC281" s="101">
        <f>(BA281*($AB$1+1)*0.002488974)/($AB$1+1)*Module!$I$5*Module!$I$7</f>
        <v>55.150770979977231</v>
      </c>
      <c r="BD281" s="101">
        <f>$P$120*Module!$I$7*X281*Module!$I$5</f>
        <v>173.87212809041733</v>
      </c>
      <c r="BE281" s="151">
        <f t="shared" si="82"/>
        <v>1000000</v>
      </c>
      <c r="BG281" s="101">
        <f t="shared" si="89"/>
        <v>0</v>
      </c>
      <c r="BH281" s="101">
        <f>10+Module!$K$57/($AC$1+1)</f>
        <v>59.463036490617775</v>
      </c>
      <c r="BI281" s="101">
        <f>$AC$1*(25+Module!$I$6)</f>
        <v>202</v>
      </c>
      <c r="BJ281" s="101">
        <f>(BH281*($AC$1+1)*0.002488974)/($AC$1+1)*Module!$I$5*Module!$I$7</f>
        <v>45.656234094813776</v>
      </c>
      <c r="BK281" s="101">
        <f>$P$120*Module!$I$7*X281*Module!$I$5</f>
        <v>173.87212809041733</v>
      </c>
      <c r="BL281" s="151">
        <f t="shared" si="83"/>
        <v>1000000</v>
      </c>
    </row>
    <row r="282" spans="23:64" ht="19.5" hidden="1" customHeight="1" thickBot="1">
      <c r="W282" s="777"/>
      <c r="X282" s="121">
        <f t="shared" si="84"/>
        <v>78</v>
      </c>
      <c r="Y282" s="122">
        <f>'calcul pneu pour calculateur'!P283</f>
        <v>145.12758931175816</v>
      </c>
      <c r="Z282" s="123">
        <f t="shared" si="76"/>
        <v>290.25517862351631</v>
      </c>
      <c r="AA282" s="123">
        <f t="shared" si="77"/>
        <v>435.3827679352745</v>
      </c>
      <c r="AB282" s="123">
        <f t="shared" si="78"/>
        <v>580.51035724703263</v>
      </c>
      <c r="AC282" s="123">
        <f t="shared" si="79"/>
        <v>725.63794655879076</v>
      </c>
      <c r="AK282" s="121">
        <f t="shared" si="85"/>
        <v>78</v>
      </c>
      <c r="AL282" s="101">
        <f t="shared" si="86"/>
        <v>0</v>
      </c>
      <c r="AM282" s="101">
        <f>10+Module!$K$57/($Z$1+1)</f>
        <v>133.65759122654444</v>
      </c>
      <c r="AN282" s="101">
        <f>$Z$1*(25+Module!$I$6)</f>
        <v>50.5</v>
      </c>
      <c r="AO282" s="101">
        <f>(AM282*($Z$1+1)*0.002488974)/($Z$1+1)*Module!$I$5*Module!$I$7</f>
        <v>102.62345540579445</v>
      </c>
      <c r="AP282" s="101">
        <f>$P$120*Module!$I$7*X282*Module!$I$5</f>
        <v>176.13020767600716</v>
      </c>
      <c r="AQ282" s="151">
        <f t="shared" si="80"/>
        <v>1000000</v>
      </c>
      <c r="AS282" s="101">
        <f t="shared" si="87"/>
        <v>0</v>
      </c>
      <c r="AT282" s="101">
        <f>10+Module!$K$57/($AA$1+1)</f>
        <v>92.438394151029627</v>
      </c>
      <c r="AU282" s="101">
        <f>$AA$1*(25+Module!$I$6)</f>
        <v>101</v>
      </c>
      <c r="AV282" s="101">
        <f>(AT282*($Z$1+1)*0.002488974)/($Z$1+1)*Module!$I$5*Module!$I$7</f>
        <v>70.974999121916298</v>
      </c>
      <c r="AW282" s="101">
        <f>$P$120*Module!$I$7*X282*Module!$I$5</f>
        <v>176.13020767600716</v>
      </c>
      <c r="AX282" s="151">
        <f t="shared" si="81"/>
        <v>1000000</v>
      </c>
      <c r="AZ282" s="101">
        <f t="shared" si="88"/>
        <v>0</v>
      </c>
      <c r="BA282" s="101">
        <f>10+Module!$K$57/($AB$1+1)</f>
        <v>71.82879561327222</v>
      </c>
      <c r="BB282" s="101">
        <f>$AB$1*(25+Module!$I$6)</f>
        <v>151.5</v>
      </c>
      <c r="BC282" s="101">
        <f>(BA282*($AB$1+1)*0.002488974)/($AB$1+1)*Module!$I$5*Module!$I$7</f>
        <v>55.150770979977231</v>
      </c>
      <c r="BD282" s="101">
        <f>$P$120*Module!$I$7*X282*Module!$I$5</f>
        <v>176.13020767600716</v>
      </c>
      <c r="BE282" s="151">
        <f t="shared" si="82"/>
        <v>1000000</v>
      </c>
      <c r="BG282" s="101">
        <f t="shared" si="89"/>
        <v>0</v>
      </c>
      <c r="BH282" s="101">
        <f>10+Module!$K$57/($AC$1+1)</f>
        <v>59.463036490617775</v>
      </c>
      <c r="BI282" s="101">
        <f>$AC$1*(25+Module!$I$6)</f>
        <v>202</v>
      </c>
      <c r="BJ282" s="101">
        <f>(BH282*($AC$1+1)*0.002488974)/($AC$1+1)*Module!$I$5*Module!$I$7</f>
        <v>45.656234094813776</v>
      </c>
      <c r="BK282" s="101">
        <f>$P$120*Module!$I$7*X282*Module!$I$5</f>
        <v>176.13020767600716</v>
      </c>
      <c r="BL282" s="151">
        <f t="shared" si="83"/>
        <v>1000000</v>
      </c>
    </row>
    <row r="283" spans="23:64" ht="19.5" hidden="1" customHeight="1" thickBot="1">
      <c r="W283" s="777"/>
      <c r="X283" s="121">
        <f t="shared" si="84"/>
        <v>79</v>
      </c>
      <c r="Y283" s="122">
        <f>'calcul pneu pour calculateur'!P284</f>
        <v>144.6408910345167</v>
      </c>
      <c r="Z283" s="123">
        <f t="shared" si="76"/>
        <v>289.2817820690334</v>
      </c>
      <c r="AA283" s="123">
        <f t="shared" si="77"/>
        <v>433.9226731035501</v>
      </c>
      <c r="AB283" s="123">
        <f t="shared" si="78"/>
        <v>578.56356413806679</v>
      </c>
      <c r="AC283" s="123">
        <f t="shared" si="79"/>
        <v>723.20445517258349</v>
      </c>
      <c r="AK283" s="121">
        <f t="shared" si="85"/>
        <v>79</v>
      </c>
      <c r="AL283" s="101">
        <f t="shared" si="86"/>
        <v>0</v>
      </c>
      <c r="AM283" s="101">
        <f>10+Module!$K$57/($Z$1+1)</f>
        <v>133.65759122654444</v>
      </c>
      <c r="AN283" s="101">
        <f>$Z$1*(25+Module!$I$6)</f>
        <v>50.5</v>
      </c>
      <c r="AO283" s="101">
        <f>(AM283*($Z$1+1)*0.002488974)/($Z$1+1)*Module!$I$5*Module!$I$7</f>
        <v>102.62345540579445</v>
      </c>
      <c r="AP283" s="101">
        <f>$P$120*Module!$I$7*X283*Module!$I$5</f>
        <v>178.38828726159699</v>
      </c>
      <c r="AQ283" s="151">
        <f t="shared" si="80"/>
        <v>1000000</v>
      </c>
      <c r="AS283" s="101">
        <f t="shared" si="87"/>
        <v>0</v>
      </c>
      <c r="AT283" s="101">
        <f>10+Module!$K$57/($AA$1+1)</f>
        <v>92.438394151029627</v>
      </c>
      <c r="AU283" s="101">
        <f>$AA$1*(25+Module!$I$6)</f>
        <v>101</v>
      </c>
      <c r="AV283" s="101">
        <f>(AT283*($Z$1+1)*0.002488974)/($Z$1+1)*Module!$I$5*Module!$I$7</f>
        <v>70.974999121916298</v>
      </c>
      <c r="AW283" s="101">
        <f>$P$120*Module!$I$7*X283*Module!$I$5</f>
        <v>178.38828726159699</v>
      </c>
      <c r="AX283" s="151">
        <f t="shared" si="81"/>
        <v>1000000</v>
      </c>
      <c r="AZ283" s="101">
        <f t="shared" si="88"/>
        <v>0</v>
      </c>
      <c r="BA283" s="101">
        <f>10+Module!$K$57/($AB$1+1)</f>
        <v>71.82879561327222</v>
      </c>
      <c r="BB283" s="101">
        <f>$AB$1*(25+Module!$I$6)</f>
        <v>151.5</v>
      </c>
      <c r="BC283" s="101">
        <f>(BA283*($AB$1+1)*0.002488974)/($AB$1+1)*Module!$I$5*Module!$I$7</f>
        <v>55.150770979977231</v>
      </c>
      <c r="BD283" s="101">
        <f>$P$120*Module!$I$7*X283*Module!$I$5</f>
        <v>178.38828726159699</v>
      </c>
      <c r="BE283" s="151">
        <f t="shared" si="82"/>
        <v>1000000</v>
      </c>
      <c r="BG283" s="101">
        <f t="shared" si="89"/>
        <v>0</v>
      </c>
      <c r="BH283" s="101">
        <f>10+Module!$K$57/($AC$1+1)</f>
        <v>59.463036490617775</v>
      </c>
      <c r="BI283" s="101">
        <f>$AC$1*(25+Module!$I$6)</f>
        <v>202</v>
      </c>
      <c r="BJ283" s="101">
        <f>(BH283*($AC$1+1)*0.002488974)/($AC$1+1)*Module!$I$5*Module!$I$7</f>
        <v>45.656234094813776</v>
      </c>
      <c r="BK283" s="101">
        <f>$P$120*Module!$I$7*X283*Module!$I$5</f>
        <v>178.38828726159699</v>
      </c>
      <c r="BL283" s="151">
        <f t="shared" si="83"/>
        <v>1000000</v>
      </c>
    </row>
    <row r="284" spans="23:64" ht="19.5" hidden="1" customHeight="1" thickBot="1">
      <c r="W284" s="777"/>
      <c r="X284" s="121">
        <f t="shared" si="84"/>
        <v>80</v>
      </c>
      <c r="Y284" s="122">
        <f>'calcul pneu pour calculateur'!P285</f>
        <v>144.15419275727527</v>
      </c>
      <c r="Z284" s="123">
        <f t="shared" si="76"/>
        <v>288.30838551455054</v>
      </c>
      <c r="AA284" s="123">
        <f t="shared" si="77"/>
        <v>432.46257827182581</v>
      </c>
      <c r="AB284" s="123">
        <f t="shared" si="78"/>
        <v>576.61677102910107</v>
      </c>
      <c r="AC284" s="123">
        <f t="shared" si="79"/>
        <v>720.77096378637634</v>
      </c>
      <c r="AK284" s="121">
        <f t="shared" si="85"/>
        <v>80</v>
      </c>
      <c r="AL284" s="101">
        <f t="shared" si="86"/>
        <v>0</v>
      </c>
      <c r="AM284" s="101">
        <f>10+Module!$K$57/($Z$1+1)</f>
        <v>133.65759122654444</v>
      </c>
      <c r="AN284" s="101">
        <f>$Z$1*(25+Module!$I$6)</f>
        <v>50.5</v>
      </c>
      <c r="AO284" s="101">
        <f>(AM284*($Z$1+1)*0.002488974)/($Z$1+1)*Module!$I$5*Module!$I$7</f>
        <v>102.62345540579445</v>
      </c>
      <c r="AP284" s="101">
        <f>$P$120*Module!$I$7*X284*Module!$I$5</f>
        <v>180.64636684718684</v>
      </c>
      <c r="AQ284" s="151">
        <f t="shared" si="80"/>
        <v>1000000</v>
      </c>
      <c r="AS284" s="101">
        <f t="shared" si="87"/>
        <v>0</v>
      </c>
      <c r="AT284" s="101">
        <f>10+Module!$K$57/($AA$1+1)</f>
        <v>92.438394151029627</v>
      </c>
      <c r="AU284" s="101">
        <f>$AA$1*(25+Module!$I$6)</f>
        <v>101</v>
      </c>
      <c r="AV284" s="101">
        <f>(AT284*($Z$1+1)*0.002488974)/($Z$1+1)*Module!$I$5*Module!$I$7</f>
        <v>70.974999121916298</v>
      </c>
      <c r="AW284" s="101">
        <f>$P$120*Module!$I$7*X284*Module!$I$5</f>
        <v>180.64636684718684</v>
      </c>
      <c r="AX284" s="151">
        <f t="shared" si="81"/>
        <v>1000000</v>
      </c>
      <c r="AZ284" s="101">
        <f t="shared" si="88"/>
        <v>0</v>
      </c>
      <c r="BA284" s="101">
        <f>10+Module!$K$57/($AB$1+1)</f>
        <v>71.82879561327222</v>
      </c>
      <c r="BB284" s="101">
        <f>$AB$1*(25+Module!$I$6)</f>
        <v>151.5</v>
      </c>
      <c r="BC284" s="101">
        <f>(BA284*($AB$1+1)*0.002488974)/($AB$1+1)*Module!$I$5*Module!$I$7</f>
        <v>55.150770979977231</v>
      </c>
      <c r="BD284" s="101">
        <f>$P$120*Module!$I$7*X284*Module!$I$5</f>
        <v>180.64636684718684</v>
      </c>
      <c r="BE284" s="151">
        <f t="shared" si="82"/>
        <v>1000000</v>
      </c>
      <c r="BG284" s="101">
        <f t="shared" si="89"/>
        <v>0</v>
      </c>
      <c r="BH284" s="101">
        <f>10+Module!$K$57/($AC$1+1)</f>
        <v>59.463036490617775</v>
      </c>
      <c r="BI284" s="101">
        <f>$AC$1*(25+Module!$I$6)</f>
        <v>202</v>
      </c>
      <c r="BJ284" s="101">
        <f>(BH284*($AC$1+1)*0.002488974)/($AC$1+1)*Module!$I$5*Module!$I$7</f>
        <v>45.656234094813776</v>
      </c>
      <c r="BK284" s="101">
        <f>$P$120*Module!$I$7*X284*Module!$I$5</f>
        <v>180.64636684718684</v>
      </c>
      <c r="BL284" s="151">
        <f t="shared" si="83"/>
        <v>1000000</v>
      </c>
    </row>
    <row r="285" spans="23:64" ht="19.5" hidden="1" customHeight="1" thickBot="1">
      <c r="W285" s="777"/>
      <c r="X285" s="121">
        <f t="shared" si="84"/>
        <v>81</v>
      </c>
      <c r="Y285" s="122">
        <f>'calcul pneu pour calculateur'!P286</f>
        <v>143.66749448003384</v>
      </c>
      <c r="Z285" s="123">
        <f t="shared" si="76"/>
        <v>287.33498896006768</v>
      </c>
      <c r="AA285" s="123">
        <f t="shared" si="77"/>
        <v>431.00248344010151</v>
      </c>
      <c r="AB285" s="123">
        <f t="shared" si="78"/>
        <v>574.66997792013535</v>
      </c>
      <c r="AC285" s="123">
        <f t="shared" si="79"/>
        <v>718.33747240016919</v>
      </c>
      <c r="AK285" s="121">
        <f t="shared" si="85"/>
        <v>81</v>
      </c>
      <c r="AL285" s="101">
        <f t="shared" si="86"/>
        <v>0</v>
      </c>
      <c r="AM285" s="101">
        <f>10+Module!$K$57/($Z$1+1)</f>
        <v>133.65759122654444</v>
      </c>
      <c r="AN285" s="101">
        <f>$Z$1*(25+Module!$I$6)</f>
        <v>50.5</v>
      </c>
      <c r="AO285" s="101">
        <f>(AM285*($Z$1+1)*0.002488974)/($Z$1+1)*Module!$I$5*Module!$I$7</f>
        <v>102.62345540579445</v>
      </c>
      <c r="AP285" s="101">
        <f>$P$120*Module!$I$7*X285*Module!$I$5</f>
        <v>182.90444643277667</v>
      </c>
      <c r="AQ285" s="151">
        <f t="shared" si="80"/>
        <v>1000000</v>
      </c>
      <c r="AS285" s="101">
        <f t="shared" si="87"/>
        <v>0</v>
      </c>
      <c r="AT285" s="101">
        <f>10+Module!$K$57/($AA$1+1)</f>
        <v>92.438394151029627</v>
      </c>
      <c r="AU285" s="101">
        <f>$AA$1*(25+Module!$I$6)</f>
        <v>101</v>
      </c>
      <c r="AV285" s="101">
        <f>(AT285*($Z$1+1)*0.002488974)/($Z$1+1)*Module!$I$5*Module!$I$7</f>
        <v>70.974999121916298</v>
      </c>
      <c r="AW285" s="101">
        <f>$P$120*Module!$I$7*X285*Module!$I$5</f>
        <v>182.90444643277667</v>
      </c>
      <c r="AX285" s="151">
        <f t="shared" si="81"/>
        <v>1000000</v>
      </c>
      <c r="AZ285" s="101">
        <f t="shared" si="88"/>
        <v>0</v>
      </c>
      <c r="BA285" s="101">
        <f>10+Module!$K$57/($AB$1+1)</f>
        <v>71.82879561327222</v>
      </c>
      <c r="BB285" s="101">
        <f>$AB$1*(25+Module!$I$6)</f>
        <v>151.5</v>
      </c>
      <c r="BC285" s="101">
        <f>(BA285*($AB$1+1)*0.002488974)/($AB$1+1)*Module!$I$5*Module!$I$7</f>
        <v>55.150770979977231</v>
      </c>
      <c r="BD285" s="101">
        <f>$P$120*Module!$I$7*X285*Module!$I$5</f>
        <v>182.90444643277667</v>
      </c>
      <c r="BE285" s="151">
        <f t="shared" si="82"/>
        <v>1000000</v>
      </c>
      <c r="BG285" s="101">
        <f t="shared" si="89"/>
        <v>0</v>
      </c>
      <c r="BH285" s="101">
        <f>10+Module!$K$57/($AC$1+1)</f>
        <v>59.463036490617775</v>
      </c>
      <c r="BI285" s="101">
        <f>$AC$1*(25+Module!$I$6)</f>
        <v>202</v>
      </c>
      <c r="BJ285" s="101">
        <f>(BH285*($AC$1+1)*0.002488974)/($AC$1+1)*Module!$I$5*Module!$I$7</f>
        <v>45.656234094813776</v>
      </c>
      <c r="BK285" s="101">
        <f>$P$120*Module!$I$7*X285*Module!$I$5</f>
        <v>182.90444643277667</v>
      </c>
      <c r="BL285" s="151">
        <f t="shared" si="83"/>
        <v>1000000</v>
      </c>
    </row>
    <row r="286" spans="23:64" ht="19.5" hidden="1" customHeight="1" thickBot="1">
      <c r="W286" s="777"/>
      <c r="X286" s="121">
        <f t="shared" si="84"/>
        <v>82</v>
      </c>
      <c r="Y286" s="122">
        <f>'calcul pneu pour calculateur'!P287</f>
        <v>143.18079620279238</v>
      </c>
      <c r="Z286" s="123">
        <f t="shared" si="76"/>
        <v>286.36159240558476</v>
      </c>
      <c r="AA286" s="123">
        <f t="shared" si="77"/>
        <v>429.54238860837711</v>
      </c>
      <c r="AB286" s="123">
        <f t="shared" si="78"/>
        <v>572.72318481116952</v>
      </c>
      <c r="AC286" s="123">
        <f t="shared" si="79"/>
        <v>715.90398101396192</v>
      </c>
      <c r="AK286" s="121">
        <f t="shared" si="85"/>
        <v>82</v>
      </c>
      <c r="AL286" s="101">
        <f t="shared" si="86"/>
        <v>0</v>
      </c>
      <c r="AM286" s="101">
        <f>10+Module!$K$57/($Z$1+1)</f>
        <v>133.65759122654444</v>
      </c>
      <c r="AN286" s="101">
        <f>$Z$1*(25+Module!$I$6)</f>
        <v>50.5</v>
      </c>
      <c r="AO286" s="101">
        <f>(AM286*($Z$1+1)*0.002488974)/($Z$1+1)*Module!$I$5*Module!$I$7</f>
        <v>102.62345540579445</v>
      </c>
      <c r="AP286" s="101">
        <f>$P$120*Module!$I$7*X286*Module!$I$5</f>
        <v>185.16252601836649</v>
      </c>
      <c r="AQ286" s="151">
        <f t="shared" si="80"/>
        <v>1000000</v>
      </c>
      <c r="AS286" s="101">
        <f t="shared" si="87"/>
        <v>0</v>
      </c>
      <c r="AT286" s="101">
        <f>10+Module!$K$57/($AA$1+1)</f>
        <v>92.438394151029627</v>
      </c>
      <c r="AU286" s="101">
        <f>$AA$1*(25+Module!$I$6)</f>
        <v>101</v>
      </c>
      <c r="AV286" s="101">
        <f>(AT286*($Z$1+1)*0.002488974)/($Z$1+1)*Module!$I$5*Module!$I$7</f>
        <v>70.974999121916298</v>
      </c>
      <c r="AW286" s="101">
        <f>$P$120*Module!$I$7*X286*Module!$I$5</f>
        <v>185.16252601836649</v>
      </c>
      <c r="AX286" s="151">
        <f t="shared" si="81"/>
        <v>1000000</v>
      </c>
      <c r="AZ286" s="101">
        <f t="shared" si="88"/>
        <v>0</v>
      </c>
      <c r="BA286" s="101">
        <f>10+Module!$K$57/($AB$1+1)</f>
        <v>71.82879561327222</v>
      </c>
      <c r="BB286" s="101">
        <f>$AB$1*(25+Module!$I$6)</f>
        <v>151.5</v>
      </c>
      <c r="BC286" s="101">
        <f>(BA286*($AB$1+1)*0.002488974)/($AB$1+1)*Module!$I$5*Module!$I$7</f>
        <v>55.150770979977231</v>
      </c>
      <c r="BD286" s="101">
        <f>$P$120*Module!$I$7*X286*Module!$I$5</f>
        <v>185.16252601836649</v>
      </c>
      <c r="BE286" s="151">
        <f t="shared" si="82"/>
        <v>1000000</v>
      </c>
      <c r="BG286" s="101">
        <f t="shared" si="89"/>
        <v>0</v>
      </c>
      <c r="BH286" s="101">
        <f>10+Module!$K$57/($AC$1+1)</f>
        <v>59.463036490617775</v>
      </c>
      <c r="BI286" s="101">
        <f>$AC$1*(25+Module!$I$6)</f>
        <v>202</v>
      </c>
      <c r="BJ286" s="101">
        <f>(BH286*($AC$1+1)*0.002488974)/($AC$1+1)*Module!$I$5*Module!$I$7</f>
        <v>45.656234094813776</v>
      </c>
      <c r="BK286" s="101">
        <f>$P$120*Module!$I$7*X286*Module!$I$5</f>
        <v>185.16252601836649</v>
      </c>
      <c r="BL286" s="151">
        <f t="shared" si="83"/>
        <v>1000000</v>
      </c>
    </row>
    <row r="287" spans="23:64" ht="19.5" hidden="1" customHeight="1" thickBot="1">
      <c r="W287" s="777"/>
      <c r="X287" s="121">
        <f t="shared" si="84"/>
        <v>83</v>
      </c>
      <c r="Y287" s="122">
        <f>'calcul pneu pour calculateur'!P288</f>
        <v>142.69409792555095</v>
      </c>
      <c r="Z287" s="123">
        <f t="shared" si="76"/>
        <v>285.3881958511019</v>
      </c>
      <c r="AA287" s="123">
        <f t="shared" si="77"/>
        <v>428.08229377665282</v>
      </c>
      <c r="AB287" s="123">
        <f t="shared" si="78"/>
        <v>570.7763917022038</v>
      </c>
      <c r="AC287" s="123">
        <f t="shared" si="79"/>
        <v>713.47048962775477</v>
      </c>
      <c r="AK287" s="121">
        <f t="shared" si="85"/>
        <v>83</v>
      </c>
      <c r="AL287" s="101">
        <f t="shared" si="86"/>
        <v>0</v>
      </c>
      <c r="AM287" s="101">
        <f>10+Module!$K$57/($Z$1+1)</f>
        <v>133.65759122654444</v>
      </c>
      <c r="AN287" s="101">
        <f>$Z$1*(25+Module!$I$6)</f>
        <v>50.5</v>
      </c>
      <c r="AO287" s="101">
        <f>(AM287*($Z$1+1)*0.002488974)/($Z$1+1)*Module!$I$5*Module!$I$7</f>
        <v>102.62345540579445</v>
      </c>
      <c r="AP287" s="101">
        <f>$P$120*Module!$I$7*X287*Module!$I$5</f>
        <v>187.42060560395632</v>
      </c>
      <c r="AQ287" s="151">
        <f t="shared" si="80"/>
        <v>1000000</v>
      </c>
      <c r="AS287" s="101">
        <f t="shared" si="87"/>
        <v>0</v>
      </c>
      <c r="AT287" s="101">
        <f>10+Module!$K$57/($AA$1+1)</f>
        <v>92.438394151029627</v>
      </c>
      <c r="AU287" s="101">
        <f>$AA$1*(25+Module!$I$6)</f>
        <v>101</v>
      </c>
      <c r="AV287" s="101">
        <f>(AT287*($Z$1+1)*0.002488974)/($Z$1+1)*Module!$I$5*Module!$I$7</f>
        <v>70.974999121916298</v>
      </c>
      <c r="AW287" s="101">
        <f>$P$120*Module!$I$7*X287*Module!$I$5</f>
        <v>187.42060560395632</v>
      </c>
      <c r="AX287" s="151">
        <f t="shared" si="81"/>
        <v>1000000</v>
      </c>
      <c r="AZ287" s="101">
        <f t="shared" si="88"/>
        <v>0</v>
      </c>
      <c r="BA287" s="101">
        <f>10+Module!$K$57/($AB$1+1)</f>
        <v>71.82879561327222</v>
      </c>
      <c r="BB287" s="101">
        <f>$AB$1*(25+Module!$I$6)</f>
        <v>151.5</v>
      </c>
      <c r="BC287" s="101">
        <f>(BA287*($AB$1+1)*0.002488974)/($AB$1+1)*Module!$I$5*Module!$I$7</f>
        <v>55.150770979977231</v>
      </c>
      <c r="BD287" s="101">
        <f>$P$120*Module!$I$7*X287*Module!$I$5</f>
        <v>187.42060560395632</v>
      </c>
      <c r="BE287" s="151">
        <f t="shared" si="82"/>
        <v>1000000</v>
      </c>
      <c r="BG287" s="101">
        <f t="shared" si="89"/>
        <v>0</v>
      </c>
      <c r="BH287" s="101">
        <f>10+Module!$K$57/($AC$1+1)</f>
        <v>59.463036490617775</v>
      </c>
      <c r="BI287" s="101">
        <f>$AC$1*(25+Module!$I$6)</f>
        <v>202</v>
      </c>
      <c r="BJ287" s="101">
        <f>(BH287*($AC$1+1)*0.002488974)/($AC$1+1)*Module!$I$5*Module!$I$7</f>
        <v>45.656234094813776</v>
      </c>
      <c r="BK287" s="101">
        <f>$P$120*Module!$I$7*X287*Module!$I$5</f>
        <v>187.42060560395632</v>
      </c>
      <c r="BL287" s="151">
        <f t="shared" si="83"/>
        <v>1000000</v>
      </c>
    </row>
    <row r="288" spans="23:64" ht="19.5" hidden="1" customHeight="1" thickBot="1">
      <c r="W288" s="777"/>
      <c r="X288" s="121">
        <f t="shared" si="84"/>
        <v>84</v>
      </c>
      <c r="Y288" s="122">
        <f>'calcul pneu pour calculateur'!P289</f>
        <v>142.20739964830952</v>
      </c>
      <c r="Z288" s="123">
        <f t="shared" si="76"/>
        <v>284.41479929661904</v>
      </c>
      <c r="AA288" s="123">
        <f t="shared" si="77"/>
        <v>426.62219894492853</v>
      </c>
      <c r="AB288" s="123">
        <f t="shared" si="78"/>
        <v>568.82959859323807</v>
      </c>
      <c r="AC288" s="123">
        <f t="shared" si="79"/>
        <v>711.03699824154762</v>
      </c>
      <c r="AK288" s="121">
        <f t="shared" si="85"/>
        <v>84</v>
      </c>
      <c r="AL288" s="101">
        <f t="shared" si="86"/>
        <v>0</v>
      </c>
      <c r="AM288" s="101">
        <f>10+Module!$K$57/($Z$1+1)</f>
        <v>133.65759122654444</v>
      </c>
      <c r="AN288" s="101">
        <f>$Z$1*(25+Module!$I$6)</f>
        <v>50.5</v>
      </c>
      <c r="AO288" s="101">
        <f>(AM288*($Z$1+1)*0.002488974)/($Z$1+1)*Module!$I$5*Module!$I$7</f>
        <v>102.62345540579445</v>
      </c>
      <c r="AP288" s="101">
        <f>$P$120*Module!$I$7*X288*Module!$I$5</f>
        <v>189.6786851895462</v>
      </c>
      <c r="AQ288" s="151">
        <f t="shared" si="80"/>
        <v>1000000</v>
      </c>
      <c r="AS288" s="101">
        <f t="shared" si="87"/>
        <v>0</v>
      </c>
      <c r="AT288" s="101">
        <f>10+Module!$K$57/($AA$1+1)</f>
        <v>92.438394151029627</v>
      </c>
      <c r="AU288" s="101">
        <f>$AA$1*(25+Module!$I$6)</f>
        <v>101</v>
      </c>
      <c r="AV288" s="101">
        <f>(AT288*($Z$1+1)*0.002488974)/($Z$1+1)*Module!$I$5*Module!$I$7</f>
        <v>70.974999121916298</v>
      </c>
      <c r="AW288" s="101">
        <f>$P$120*Module!$I$7*X288*Module!$I$5</f>
        <v>189.6786851895462</v>
      </c>
      <c r="AX288" s="151">
        <f t="shared" si="81"/>
        <v>1000000</v>
      </c>
      <c r="AZ288" s="101">
        <f t="shared" si="88"/>
        <v>0</v>
      </c>
      <c r="BA288" s="101">
        <f>10+Module!$K$57/($AB$1+1)</f>
        <v>71.82879561327222</v>
      </c>
      <c r="BB288" s="101">
        <f>$AB$1*(25+Module!$I$6)</f>
        <v>151.5</v>
      </c>
      <c r="BC288" s="101">
        <f>(BA288*($AB$1+1)*0.002488974)/($AB$1+1)*Module!$I$5*Module!$I$7</f>
        <v>55.150770979977231</v>
      </c>
      <c r="BD288" s="101">
        <f>$P$120*Module!$I$7*X288*Module!$I$5</f>
        <v>189.6786851895462</v>
      </c>
      <c r="BE288" s="151">
        <f t="shared" si="82"/>
        <v>1000000</v>
      </c>
      <c r="BG288" s="101">
        <f t="shared" si="89"/>
        <v>0</v>
      </c>
      <c r="BH288" s="101">
        <f>10+Module!$K$57/($AC$1+1)</f>
        <v>59.463036490617775</v>
      </c>
      <c r="BI288" s="101">
        <f>$AC$1*(25+Module!$I$6)</f>
        <v>202</v>
      </c>
      <c r="BJ288" s="101">
        <f>(BH288*($AC$1+1)*0.002488974)/($AC$1+1)*Module!$I$5*Module!$I$7</f>
        <v>45.656234094813776</v>
      </c>
      <c r="BK288" s="101">
        <f>$P$120*Module!$I$7*X288*Module!$I$5</f>
        <v>189.6786851895462</v>
      </c>
      <c r="BL288" s="151">
        <f t="shared" si="83"/>
        <v>1000000</v>
      </c>
    </row>
    <row r="289" spans="23:64" ht="19.5" hidden="1" customHeight="1" thickBot="1">
      <c r="W289" s="777"/>
      <c r="X289" s="121">
        <f t="shared" si="84"/>
        <v>85</v>
      </c>
      <c r="Y289" s="122">
        <f>'calcul pneu pour calculateur'!P290</f>
        <v>141.72070137106806</v>
      </c>
      <c r="Z289" s="123">
        <f t="shared" si="76"/>
        <v>283.44140274213612</v>
      </c>
      <c r="AA289" s="123">
        <f t="shared" si="77"/>
        <v>425.16210411320418</v>
      </c>
      <c r="AB289" s="123">
        <f t="shared" si="78"/>
        <v>566.88280548427224</v>
      </c>
      <c r="AC289" s="123">
        <f t="shared" si="79"/>
        <v>708.60350685534036</v>
      </c>
      <c r="AK289" s="121">
        <f t="shared" si="85"/>
        <v>85</v>
      </c>
      <c r="AL289" s="101">
        <f t="shared" si="86"/>
        <v>0</v>
      </c>
      <c r="AM289" s="101">
        <f>10+Module!$K$57/($Z$1+1)</f>
        <v>133.65759122654444</v>
      </c>
      <c r="AN289" s="101">
        <f>$Z$1*(25+Module!$I$6)</f>
        <v>50.5</v>
      </c>
      <c r="AO289" s="101">
        <f>(AM289*($Z$1+1)*0.002488974)/($Z$1+1)*Module!$I$5*Module!$I$7</f>
        <v>102.62345540579445</v>
      </c>
      <c r="AP289" s="101">
        <f>$P$120*Module!$I$7*X289*Module!$I$5</f>
        <v>191.93676477513603</v>
      </c>
      <c r="AQ289" s="151">
        <f t="shared" si="80"/>
        <v>1000000</v>
      </c>
      <c r="AS289" s="101">
        <f t="shared" si="87"/>
        <v>0</v>
      </c>
      <c r="AT289" s="101">
        <f>10+Module!$K$57/($AA$1+1)</f>
        <v>92.438394151029627</v>
      </c>
      <c r="AU289" s="101">
        <f>$AA$1*(25+Module!$I$6)</f>
        <v>101</v>
      </c>
      <c r="AV289" s="101">
        <f>(AT289*($Z$1+1)*0.002488974)/($Z$1+1)*Module!$I$5*Module!$I$7</f>
        <v>70.974999121916298</v>
      </c>
      <c r="AW289" s="101">
        <f>$P$120*Module!$I$7*X289*Module!$I$5</f>
        <v>191.93676477513603</v>
      </c>
      <c r="AX289" s="151">
        <f t="shared" si="81"/>
        <v>1000000</v>
      </c>
      <c r="AZ289" s="101">
        <f t="shared" si="88"/>
        <v>0</v>
      </c>
      <c r="BA289" s="101">
        <f>10+Module!$K$57/($AB$1+1)</f>
        <v>71.82879561327222</v>
      </c>
      <c r="BB289" s="101">
        <f>$AB$1*(25+Module!$I$6)</f>
        <v>151.5</v>
      </c>
      <c r="BC289" s="101">
        <f>(BA289*($AB$1+1)*0.002488974)/($AB$1+1)*Module!$I$5*Module!$I$7</f>
        <v>55.150770979977231</v>
      </c>
      <c r="BD289" s="101">
        <f>$P$120*Module!$I$7*X289*Module!$I$5</f>
        <v>191.93676477513603</v>
      </c>
      <c r="BE289" s="151">
        <f t="shared" si="82"/>
        <v>1000000</v>
      </c>
      <c r="BG289" s="101">
        <f t="shared" si="89"/>
        <v>0</v>
      </c>
      <c r="BH289" s="101">
        <f>10+Module!$K$57/($AC$1+1)</f>
        <v>59.463036490617775</v>
      </c>
      <c r="BI289" s="101">
        <f>$AC$1*(25+Module!$I$6)</f>
        <v>202</v>
      </c>
      <c r="BJ289" s="101">
        <f>(BH289*($AC$1+1)*0.002488974)/($AC$1+1)*Module!$I$5*Module!$I$7</f>
        <v>45.656234094813776</v>
      </c>
      <c r="BK289" s="101">
        <f>$P$120*Module!$I$7*X289*Module!$I$5</f>
        <v>191.93676477513603</v>
      </c>
      <c r="BL289" s="151">
        <f t="shared" si="83"/>
        <v>1000000</v>
      </c>
    </row>
    <row r="290" spans="23:64" ht="19.5" hidden="1" customHeight="1" thickBot="1">
      <c r="W290" s="777"/>
      <c r="X290" s="121">
        <f t="shared" si="84"/>
        <v>86</v>
      </c>
      <c r="Y290" s="122">
        <f>'calcul pneu pour calculateur'!P291</f>
        <v>141.23400309382663</v>
      </c>
      <c r="Z290" s="123">
        <f t="shared" si="76"/>
        <v>282.46800618765326</v>
      </c>
      <c r="AA290" s="123">
        <f t="shared" si="77"/>
        <v>423.70200928147989</v>
      </c>
      <c r="AB290" s="123">
        <f t="shared" si="78"/>
        <v>564.93601237530652</v>
      </c>
      <c r="AC290" s="123">
        <f t="shared" si="79"/>
        <v>706.1700154691332</v>
      </c>
      <c r="AK290" s="121">
        <f t="shared" si="85"/>
        <v>86</v>
      </c>
      <c r="AL290" s="101">
        <f t="shared" si="86"/>
        <v>0</v>
      </c>
      <c r="AM290" s="101">
        <f>10+Module!$K$57/($Z$1+1)</f>
        <v>133.65759122654444</v>
      </c>
      <c r="AN290" s="101">
        <f>$Z$1*(25+Module!$I$6)</f>
        <v>50.5</v>
      </c>
      <c r="AO290" s="101">
        <f>(AM290*($Z$1+1)*0.002488974)/($Z$1+1)*Module!$I$5*Module!$I$7</f>
        <v>102.62345540579445</v>
      </c>
      <c r="AP290" s="101">
        <f>$P$120*Module!$I$7*X290*Module!$I$5</f>
        <v>194.19484436072585</v>
      </c>
      <c r="AQ290" s="151">
        <f t="shared" si="80"/>
        <v>1000000</v>
      </c>
      <c r="AS290" s="101">
        <f t="shared" si="87"/>
        <v>0</v>
      </c>
      <c r="AT290" s="101">
        <f>10+Module!$K$57/($AA$1+1)</f>
        <v>92.438394151029627</v>
      </c>
      <c r="AU290" s="101">
        <f>$AA$1*(25+Module!$I$6)</f>
        <v>101</v>
      </c>
      <c r="AV290" s="101">
        <f>(AT290*($Z$1+1)*0.002488974)/($Z$1+1)*Module!$I$5*Module!$I$7</f>
        <v>70.974999121916298</v>
      </c>
      <c r="AW290" s="101">
        <f>$P$120*Module!$I$7*X290*Module!$I$5</f>
        <v>194.19484436072585</v>
      </c>
      <c r="AX290" s="151">
        <f t="shared" si="81"/>
        <v>1000000</v>
      </c>
      <c r="AZ290" s="101">
        <f t="shared" si="88"/>
        <v>0</v>
      </c>
      <c r="BA290" s="101">
        <f>10+Module!$K$57/($AB$1+1)</f>
        <v>71.82879561327222</v>
      </c>
      <c r="BB290" s="101">
        <f>$AB$1*(25+Module!$I$6)</f>
        <v>151.5</v>
      </c>
      <c r="BC290" s="101">
        <f>(BA290*($AB$1+1)*0.002488974)/($AB$1+1)*Module!$I$5*Module!$I$7</f>
        <v>55.150770979977231</v>
      </c>
      <c r="BD290" s="101">
        <f>$P$120*Module!$I$7*X290*Module!$I$5</f>
        <v>194.19484436072585</v>
      </c>
      <c r="BE290" s="151">
        <f t="shared" si="82"/>
        <v>1000000</v>
      </c>
      <c r="BG290" s="101">
        <f t="shared" si="89"/>
        <v>0</v>
      </c>
      <c r="BH290" s="101">
        <f>10+Module!$K$57/($AC$1+1)</f>
        <v>59.463036490617775</v>
      </c>
      <c r="BI290" s="101">
        <f>$AC$1*(25+Module!$I$6)</f>
        <v>202</v>
      </c>
      <c r="BJ290" s="101">
        <f>(BH290*($AC$1+1)*0.002488974)/($AC$1+1)*Module!$I$5*Module!$I$7</f>
        <v>45.656234094813776</v>
      </c>
      <c r="BK290" s="101">
        <f>$P$120*Module!$I$7*X290*Module!$I$5</f>
        <v>194.19484436072585</v>
      </c>
      <c r="BL290" s="151">
        <f t="shared" si="83"/>
        <v>1000000</v>
      </c>
    </row>
    <row r="291" spans="23:64" ht="19.5" hidden="1" customHeight="1" thickBot="1">
      <c r="W291" s="777"/>
      <c r="X291" s="121">
        <f t="shared" si="84"/>
        <v>87</v>
      </c>
      <c r="Y291" s="122">
        <f>'calcul pneu pour calculateur'!P292</f>
        <v>140.7473048165852</v>
      </c>
      <c r="Z291" s="123">
        <f t="shared" si="76"/>
        <v>281.4946096331704</v>
      </c>
      <c r="AA291" s="123">
        <f t="shared" si="77"/>
        <v>422.2419144497556</v>
      </c>
      <c r="AB291" s="123">
        <f t="shared" si="78"/>
        <v>562.9892192663408</v>
      </c>
      <c r="AC291" s="123">
        <f t="shared" si="79"/>
        <v>703.73652408292605</v>
      </c>
      <c r="AK291" s="121">
        <f t="shared" si="85"/>
        <v>87</v>
      </c>
      <c r="AL291" s="101">
        <f t="shared" si="86"/>
        <v>0</v>
      </c>
      <c r="AM291" s="101">
        <f>10+Module!$K$57/($Z$1+1)</f>
        <v>133.65759122654444</v>
      </c>
      <c r="AN291" s="101">
        <f>$Z$1*(25+Module!$I$6)</f>
        <v>50.5</v>
      </c>
      <c r="AO291" s="101">
        <f>(AM291*($Z$1+1)*0.002488974)/($Z$1+1)*Module!$I$5*Module!$I$7</f>
        <v>102.62345540579445</v>
      </c>
      <c r="AP291" s="101">
        <f>$P$120*Module!$I$7*X291*Module!$I$5</f>
        <v>196.45292394631568</v>
      </c>
      <c r="AQ291" s="151">
        <f t="shared" si="80"/>
        <v>1000000</v>
      </c>
      <c r="AS291" s="101">
        <f t="shared" si="87"/>
        <v>0</v>
      </c>
      <c r="AT291" s="101">
        <f>10+Module!$K$57/($AA$1+1)</f>
        <v>92.438394151029627</v>
      </c>
      <c r="AU291" s="101">
        <f>$AA$1*(25+Module!$I$6)</f>
        <v>101</v>
      </c>
      <c r="AV291" s="101">
        <f>(AT291*($Z$1+1)*0.002488974)/($Z$1+1)*Module!$I$5*Module!$I$7</f>
        <v>70.974999121916298</v>
      </c>
      <c r="AW291" s="101">
        <f>$P$120*Module!$I$7*X291*Module!$I$5</f>
        <v>196.45292394631568</v>
      </c>
      <c r="AX291" s="151">
        <f t="shared" si="81"/>
        <v>1000000</v>
      </c>
      <c r="AZ291" s="101">
        <f t="shared" si="88"/>
        <v>0</v>
      </c>
      <c r="BA291" s="101">
        <f>10+Module!$K$57/($AB$1+1)</f>
        <v>71.82879561327222</v>
      </c>
      <c r="BB291" s="101">
        <f>$AB$1*(25+Module!$I$6)</f>
        <v>151.5</v>
      </c>
      <c r="BC291" s="101">
        <f>(BA291*($AB$1+1)*0.002488974)/($AB$1+1)*Module!$I$5*Module!$I$7</f>
        <v>55.150770979977231</v>
      </c>
      <c r="BD291" s="101">
        <f>$P$120*Module!$I$7*X291*Module!$I$5</f>
        <v>196.45292394631568</v>
      </c>
      <c r="BE291" s="151">
        <f t="shared" si="82"/>
        <v>1000000</v>
      </c>
      <c r="BG291" s="101">
        <f t="shared" si="89"/>
        <v>0</v>
      </c>
      <c r="BH291" s="101">
        <f>10+Module!$K$57/($AC$1+1)</f>
        <v>59.463036490617775</v>
      </c>
      <c r="BI291" s="101">
        <f>$AC$1*(25+Module!$I$6)</f>
        <v>202</v>
      </c>
      <c r="BJ291" s="101">
        <f>(BH291*($AC$1+1)*0.002488974)/($AC$1+1)*Module!$I$5*Module!$I$7</f>
        <v>45.656234094813776</v>
      </c>
      <c r="BK291" s="101">
        <f>$P$120*Module!$I$7*X291*Module!$I$5</f>
        <v>196.45292394631568</v>
      </c>
      <c r="BL291" s="151">
        <f t="shared" si="83"/>
        <v>1000000</v>
      </c>
    </row>
    <row r="292" spans="23:64" ht="19.5" hidden="1" customHeight="1" thickBot="1">
      <c r="W292" s="777"/>
      <c r="X292" s="121">
        <f t="shared" si="84"/>
        <v>88</v>
      </c>
      <c r="Y292" s="122">
        <f>'calcul pneu pour calculateur'!P293</f>
        <v>140.26060653934377</v>
      </c>
      <c r="Z292" s="123">
        <f t="shared" si="76"/>
        <v>280.52121307868754</v>
      </c>
      <c r="AA292" s="123">
        <f t="shared" si="77"/>
        <v>420.78181961803131</v>
      </c>
      <c r="AB292" s="123">
        <f t="shared" si="78"/>
        <v>561.04242615737508</v>
      </c>
      <c r="AC292" s="123">
        <f t="shared" si="79"/>
        <v>701.3030326967189</v>
      </c>
      <c r="AK292" s="121">
        <f t="shared" si="85"/>
        <v>88</v>
      </c>
      <c r="AL292" s="101">
        <f t="shared" si="86"/>
        <v>0</v>
      </c>
      <c r="AM292" s="101">
        <f>10+Module!$K$57/($Z$1+1)</f>
        <v>133.65759122654444</v>
      </c>
      <c r="AN292" s="101">
        <f>$Z$1*(25+Module!$I$6)</f>
        <v>50.5</v>
      </c>
      <c r="AO292" s="101">
        <f>(AM292*($Z$1+1)*0.002488974)/($Z$1+1)*Module!$I$5*Module!$I$7</f>
        <v>102.62345540579445</v>
      </c>
      <c r="AP292" s="101">
        <f>$P$120*Module!$I$7*X292*Module!$I$5</f>
        <v>198.71100353190553</v>
      </c>
      <c r="AQ292" s="151">
        <f t="shared" si="80"/>
        <v>1000000</v>
      </c>
      <c r="AS292" s="101">
        <f t="shared" si="87"/>
        <v>0</v>
      </c>
      <c r="AT292" s="101">
        <f>10+Module!$K$57/($AA$1+1)</f>
        <v>92.438394151029627</v>
      </c>
      <c r="AU292" s="101">
        <f>$AA$1*(25+Module!$I$6)</f>
        <v>101</v>
      </c>
      <c r="AV292" s="101">
        <f>(AT292*($Z$1+1)*0.002488974)/($Z$1+1)*Module!$I$5*Module!$I$7</f>
        <v>70.974999121916298</v>
      </c>
      <c r="AW292" s="101">
        <f>$P$120*Module!$I$7*X292*Module!$I$5</f>
        <v>198.71100353190553</v>
      </c>
      <c r="AX292" s="151">
        <f t="shared" si="81"/>
        <v>1000000</v>
      </c>
      <c r="AZ292" s="101">
        <f t="shared" si="88"/>
        <v>0</v>
      </c>
      <c r="BA292" s="101">
        <f>10+Module!$K$57/($AB$1+1)</f>
        <v>71.82879561327222</v>
      </c>
      <c r="BB292" s="101">
        <f>$AB$1*(25+Module!$I$6)</f>
        <v>151.5</v>
      </c>
      <c r="BC292" s="101">
        <f>(BA292*($AB$1+1)*0.002488974)/($AB$1+1)*Module!$I$5*Module!$I$7</f>
        <v>55.150770979977231</v>
      </c>
      <c r="BD292" s="101">
        <f>$P$120*Module!$I$7*X292*Module!$I$5</f>
        <v>198.71100353190553</v>
      </c>
      <c r="BE292" s="151">
        <f t="shared" si="82"/>
        <v>1000000</v>
      </c>
      <c r="BG292" s="101">
        <f t="shared" si="89"/>
        <v>0</v>
      </c>
      <c r="BH292" s="101">
        <f>10+Module!$K$57/($AC$1+1)</f>
        <v>59.463036490617775</v>
      </c>
      <c r="BI292" s="101">
        <f>$AC$1*(25+Module!$I$6)</f>
        <v>202</v>
      </c>
      <c r="BJ292" s="101">
        <f>(BH292*($AC$1+1)*0.002488974)/($AC$1+1)*Module!$I$5*Module!$I$7</f>
        <v>45.656234094813776</v>
      </c>
      <c r="BK292" s="101">
        <f>$P$120*Module!$I$7*X292*Module!$I$5</f>
        <v>198.71100353190553</v>
      </c>
      <c r="BL292" s="151">
        <f t="shared" si="83"/>
        <v>1000000</v>
      </c>
    </row>
    <row r="293" spans="23:64" ht="19.5" hidden="1" customHeight="1" thickBot="1">
      <c r="W293" s="777"/>
      <c r="X293" s="121">
        <f t="shared" si="84"/>
        <v>89</v>
      </c>
      <c r="Y293" s="122">
        <f>'calcul pneu pour calculateur'!P294</f>
        <v>139.77390826210234</v>
      </c>
      <c r="Z293" s="123">
        <f t="shared" si="76"/>
        <v>279.54781652420468</v>
      </c>
      <c r="AA293" s="123">
        <f t="shared" si="77"/>
        <v>419.32172478630702</v>
      </c>
      <c r="AB293" s="123">
        <f t="shared" si="78"/>
        <v>559.09563304840935</v>
      </c>
      <c r="AC293" s="123">
        <f t="shared" si="79"/>
        <v>698.86954131051175</v>
      </c>
      <c r="AK293" s="121">
        <f t="shared" si="85"/>
        <v>89</v>
      </c>
      <c r="AL293" s="101">
        <f t="shared" si="86"/>
        <v>0</v>
      </c>
      <c r="AM293" s="101">
        <f>10+Module!$K$57/($Z$1+1)</f>
        <v>133.65759122654444</v>
      </c>
      <c r="AN293" s="101">
        <f>$Z$1*(25+Module!$I$6)</f>
        <v>50.5</v>
      </c>
      <c r="AO293" s="101">
        <f>(AM293*($Z$1+1)*0.002488974)/($Z$1+1)*Module!$I$5*Module!$I$7</f>
        <v>102.62345540579445</v>
      </c>
      <c r="AP293" s="101">
        <f>$P$120*Module!$I$7*X293*Module!$I$5</f>
        <v>200.96908311749536</v>
      </c>
      <c r="AQ293" s="151">
        <f t="shared" si="80"/>
        <v>1000000</v>
      </c>
      <c r="AS293" s="101">
        <f t="shared" si="87"/>
        <v>0</v>
      </c>
      <c r="AT293" s="101">
        <f>10+Module!$K$57/($AA$1+1)</f>
        <v>92.438394151029627</v>
      </c>
      <c r="AU293" s="101">
        <f>$AA$1*(25+Module!$I$6)</f>
        <v>101</v>
      </c>
      <c r="AV293" s="101">
        <f>(AT293*($Z$1+1)*0.002488974)/($Z$1+1)*Module!$I$5*Module!$I$7</f>
        <v>70.974999121916298</v>
      </c>
      <c r="AW293" s="101">
        <f>$P$120*Module!$I$7*X293*Module!$I$5</f>
        <v>200.96908311749536</v>
      </c>
      <c r="AX293" s="151">
        <f t="shared" si="81"/>
        <v>1000000</v>
      </c>
      <c r="AZ293" s="101">
        <f t="shared" si="88"/>
        <v>0</v>
      </c>
      <c r="BA293" s="101">
        <f>10+Module!$K$57/($AB$1+1)</f>
        <v>71.82879561327222</v>
      </c>
      <c r="BB293" s="101">
        <f>$AB$1*(25+Module!$I$6)</f>
        <v>151.5</v>
      </c>
      <c r="BC293" s="101">
        <f>(BA293*($AB$1+1)*0.002488974)/($AB$1+1)*Module!$I$5*Module!$I$7</f>
        <v>55.150770979977231</v>
      </c>
      <c r="BD293" s="101">
        <f>$P$120*Module!$I$7*X293*Module!$I$5</f>
        <v>200.96908311749536</v>
      </c>
      <c r="BE293" s="151">
        <f t="shared" si="82"/>
        <v>1000000</v>
      </c>
      <c r="BG293" s="101">
        <f t="shared" si="89"/>
        <v>0</v>
      </c>
      <c r="BH293" s="101">
        <f>10+Module!$K$57/($AC$1+1)</f>
        <v>59.463036490617775</v>
      </c>
      <c r="BI293" s="101">
        <f>$AC$1*(25+Module!$I$6)</f>
        <v>202</v>
      </c>
      <c r="BJ293" s="101">
        <f>(BH293*($AC$1+1)*0.002488974)/($AC$1+1)*Module!$I$5*Module!$I$7</f>
        <v>45.656234094813776</v>
      </c>
      <c r="BK293" s="101">
        <f>$P$120*Module!$I$7*X293*Module!$I$5</f>
        <v>200.96908311749536</v>
      </c>
      <c r="BL293" s="151">
        <f t="shared" si="83"/>
        <v>1000000</v>
      </c>
    </row>
    <row r="294" spans="23:64" ht="19.5" hidden="1" customHeight="1" thickBot="1">
      <c r="W294" s="777"/>
      <c r="X294" s="121">
        <f t="shared" si="84"/>
        <v>90</v>
      </c>
      <c r="Y294" s="122">
        <f>'calcul pneu pour calculateur'!P295</f>
        <v>139.28720998486088</v>
      </c>
      <c r="Z294" s="123">
        <f t="shared" si="76"/>
        <v>278.57441996972176</v>
      </c>
      <c r="AA294" s="123">
        <f t="shared" si="77"/>
        <v>417.86162995458267</v>
      </c>
      <c r="AB294" s="123">
        <f t="shared" si="78"/>
        <v>557.14883993944352</v>
      </c>
      <c r="AC294" s="123">
        <f t="shared" si="79"/>
        <v>696.43604992430437</v>
      </c>
      <c r="AK294" s="121">
        <f t="shared" si="85"/>
        <v>90</v>
      </c>
      <c r="AL294" s="101">
        <f t="shared" si="86"/>
        <v>0</v>
      </c>
      <c r="AM294" s="101">
        <f>10+Module!$K$57/($Z$1+1)</f>
        <v>133.65759122654444</v>
      </c>
      <c r="AN294" s="101">
        <f>$Z$1*(25+Module!$I$6)</f>
        <v>50.5</v>
      </c>
      <c r="AO294" s="101">
        <f>(AM294*($Z$1+1)*0.002488974)/($Z$1+1)*Module!$I$5*Module!$I$7</f>
        <v>102.62345540579445</v>
      </c>
      <c r="AP294" s="101">
        <f>$P$120*Module!$I$7*X294*Module!$I$5</f>
        <v>203.22716270308518</v>
      </c>
      <c r="AQ294" s="151">
        <f t="shared" si="80"/>
        <v>1000000</v>
      </c>
      <c r="AS294" s="101">
        <f t="shared" si="87"/>
        <v>0</v>
      </c>
      <c r="AT294" s="101">
        <f>10+Module!$K$57/($AA$1+1)</f>
        <v>92.438394151029627</v>
      </c>
      <c r="AU294" s="101">
        <f>$AA$1*(25+Module!$I$6)</f>
        <v>101</v>
      </c>
      <c r="AV294" s="101">
        <f>(AT294*($Z$1+1)*0.002488974)/($Z$1+1)*Module!$I$5*Module!$I$7</f>
        <v>70.974999121916298</v>
      </c>
      <c r="AW294" s="101">
        <f>$P$120*Module!$I$7*X294*Module!$I$5</f>
        <v>203.22716270308518</v>
      </c>
      <c r="AX294" s="151">
        <f t="shared" si="81"/>
        <v>1000000</v>
      </c>
      <c r="AZ294" s="101">
        <f t="shared" si="88"/>
        <v>0</v>
      </c>
      <c r="BA294" s="101">
        <f>10+Module!$K$57/($AB$1+1)</f>
        <v>71.82879561327222</v>
      </c>
      <c r="BB294" s="101">
        <f>$AB$1*(25+Module!$I$6)</f>
        <v>151.5</v>
      </c>
      <c r="BC294" s="101">
        <f>(BA294*($AB$1+1)*0.002488974)/($AB$1+1)*Module!$I$5*Module!$I$7</f>
        <v>55.150770979977231</v>
      </c>
      <c r="BD294" s="101">
        <f>$P$120*Module!$I$7*X294*Module!$I$5</f>
        <v>203.22716270308518</v>
      </c>
      <c r="BE294" s="151">
        <f t="shared" si="82"/>
        <v>1000000</v>
      </c>
      <c r="BG294" s="101">
        <f t="shared" si="89"/>
        <v>0</v>
      </c>
      <c r="BH294" s="101">
        <f>10+Module!$K$57/($AC$1+1)</f>
        <v>59.463036490617775</v>
      </c>
      <c r="BI294" s="101">
        <f>$AC$1*(25+Module!$I$6)</f>
        <v>202</v>
      </c>
      <c r="BJ294" s="101">
        <f>(BH294*($AC$1+1)*0.002488974)/($AC$1+1)*Module!$I$5*Module!$I$7</f>
        <v>45.656234094813776</v>
      </c>
      <c r="BK294" s="101">
        <f>$P$120*Module!$I$7*X294*Module!$I$5</f>
        <v>203.22716270308518</v>
      </c>
      <c r="BL294" s="151">
        <f t="shared" si="83"/>
        <v>1000000</v>
      </c>
    </row>
    <row r="295" spans="23:64" ht="19.5" hidden="1" customHeight="1" thickBot="1">
      <c r="W295" s="777"/>
      <c r="X295" s="121">
        <f t="shared" si="84"/>
        <v>91</v>
      </c>
      <c r="Y295" s="122">
        <f>'calcul pneu pour calculateur'!P296</f>
        <v>138.80051170761945</v>
      </c>
      <c r="Z295" s="123">
        <f t="shared" si="76"/>
        <v>277.6010234152389</v>
      </c>
      <c r="AA295" s="123">
        <f t="shared" si="77"/>
        <v>416.40153512285838</v>
      </c>
      <c r="AB295" s="123">
        <f t="shared" si="78"/>
        <v>555.2020468304778</v>
      </c>
      <c r="AC295" s="123">
        <f t="shared" si="79"/>
        <v>694.00255853809722</v>
      </c>
      <c r="AK295" s="121">
        <f t="shared" si="85"/>
        <v>91</v>
      </c>
      <c r="AL295" s="101">
        <f t="shared" si="86"/>
        <v>0</v>
      </c>
      <c r="AM295" s="101">
        <f>10+Module!$K$57/($Z$1+1)</f>
        <v>133.65759122654444</v>
      </c>
      <c r="AN295" s="101">
        <f>$Z$1*(25+Module!$I$6)</f>
        <v>50.5</v>
      </c>
      <c r="AO295" s="101">
        <f>(AM295*($Z$1+1)*0.002488974)/($Z$1+1)*Module!$I$5*Module!$I$7</f>
        <v>102.62345540579445</v>
      </c>
      <c r="AP295" s="101">
        <f>$P$120*Module!$I$7*X295*Module!$I$5</f>
        <v>205.48524228867501</v>
      </c>
      <c r="AQ295" s="151">
        <f t="shared" si="80"/>
        <v>1000000</v>
      </c>
      <c r="AS295" s="101">
        <f t="shared" si="87"/>
        <v>0</v>
      </c>
      <c r="AT295" s="101">
        <f>10+Module!$K$57/($AA$1+1)</f>
        <v>92.438394151029627</v>
      </c>
      <c r="AU295" s="101">
        <f>$AA$1*(25+Module!$I$6)</f>
        <v>101</v>
      </c>
      <c r="AV295" s="101">
        <f>(AT295*($Z$1+1)*0.002488974)/($Z$1+1)*Module!$I$5*Module!$I$7</f>
        <v>70.974999121916298</v>
      </c>
      <c r="AW295" s="101">
        <f>$P$120*Module!$I$7*X295*Module!$I$5</f>
        <v>205.48524228867501</v>
      </c>
      <c r="AX295" s="151">
        <f t="shared" si="81"/>
        <v>1000000</v>
      </c>
      <c r="AZ295" s="101">
        <f t="shared" si="88"/>
        <v>0</v>
      </c>
      <c r="BA295" s="101">
        <f>10+Module!$K$57/($AB$1+1)</f>
        <v>71.82879561327222</v>
      </c>
      <c r="BB295" s="101">
        <f>$AB$1*(25+Module!$I$6)</f>
        <v>151.5</v>
      </c>
      <c r="BC295" s="101">
        <f>(BA295*($AB$1+1)*0.002488974)/($AB$1+1)*Module!$I$5*Module!$I$7</f>
        <v>55.150770979977231</v>
      </c>
      <c r="BD295" s="101">
        <f>$P$120*Module!$I$7*X295*Module!$I$5</f>
        <v>205.48524228867501</v>
      </c>
      <c r="BE295" s="151">
        <f t="shared" si="82"/>
        <v>1000000</v>
      </c>
      <c r="BG295" s="101">
        <f t="shared" si="89"/>
        <v>0</v>
      </c>
      <c r="BH295" s="101">
        <f>10+Module!$K$57/($AC$1+1)</f>
        <v>59.463036490617775</v>
      </c>
      <c r="BI295" s="101">
        <f>$AC$1*(25+Module!$I$6)</f>
        <v>202</v>
      </c>
      <c r="BJ295" s="101">
        <f>(BH295*($AC$1+1)*0.002488974)/($AC$1+1)*Module!$I$5*Module!$I$7</f>
        <v>45.656234094813776</v>
      </c>
      <c r="BK295" s="101">
        <f>$P$120*Module!$I$7*X295*Module!$I$5</f>
        <v>205.48524228867501</v>
      </c>
      <c r="BL295" s="151">
        <f t="shared" si="83"/>
        <v>1000000</v>
      </c>
    </row>
    <row r="296" spans="23:64" ht="19.5" hidden="1" customHeight="1" thickBot="1">
      <c r="W296" s="777"/>
      <c r="X296" s="121">
        <f t="shared" si="84"/>
        <v>92</v>
      </c>
      <c r="Y296" s="122">
        <f>'calcul pneu pour calculateur'!P297</f>
        <v>138.31381343037799</v>
      </c>
      <c r="Z296" s="123">
        <f t="shared" si="76"/>
        <v>276.62762686075598</v>
      </c>
      <c r="AA296" s="123">
        <f t="shared" si="77"/>
        <v>414.94144029113397</v>
      </c>
      <c r="AB296" s="123">
        <f t="shared" si="78"/>
        <v>553.25525372151196</v>
      </c>
      <c r="AC296" s="123">
        <f t="shared" si="79"/>
        <v>691.56906715188995</v>
      </c>
      <c r="AK296" s="121">
        <f t="shared" si="85"/>
        <v>92</v>
      </c>
      <c r="AL296" s="101">
        <f t="shared" si="86"/>
        <v>0</v>
      </c>
      <c r="AM296" s="101">
        <f>10+Module!$K$57/($Z$1+1)</f>
        <v>133.65759122654444</v>
      </c>
      <c r="AN296" s="101">
        <f>$Z$1*(25+Module!$I$6)</f>
        <v>50.5</v>
      </c>
      <c r="AO296" s="101">
        <f>(AM296*($Z$1+1)*0.002488974)/($Z$1+1)*Module!$I$5*Module!$I$7</f>
        <v>102.62345540579445</v>
      </c>
      <c r="AP296" s="101">
        <f>$P$120*Module!$I$7*X296*Module!$I$5</f>
        <v>207.74332187426486</v>
      </c>
      <c r="AQ296" s="151">
        <f t="shared" si="80"/>
        <v>1000000</v>
      </c>
      <c r="AS296" s="101">
        <f t="shared" si="87"/>
        <v>0</v>
      </c>
      <c r="AT296" s="101">
        <f>10+Module!$K$57/($AA$1+1)</f>
        <v>92.438394151029627</v>
      </c>
      <c r="AU296" s="101">
        <f>$AA$1*(25+Module!$I$6)</f>
        <v>101</v>
      </c>
      <c r="AV296" s="101">
        <f>(AT296*($Z$1+1)*0.002488974)/($Z$1+1)*Module!$I$5*Module!$I$7</f>
        <v>70.974999121916298</v>
      </c>
      <c r="AW296" s="101">
        <f>$P$120*Module!$I$7*X296*Module!$I$5</f>
        <v>207.74332187426486</v>
      </c>
      <c r="AX296" s="151">
        <f t="shared" si="81"/>
        <v>1000000</v>
      </c>
      <c r="AZ296" s="101">
        <f t="shared" si="88"/>
        <v>0</v>
      </c>
      <c r="BA296" s="101">
        <f>10+Module!$K$57/($AB$1+1)</f>
        <v>71.82879561327222</v>
      </c>
      <c r="BB296" s="101">
        <f>$AB$1*(25+Module!$I$6)</f>
        <v>151.5</v>
      </c>
      <c r="BC296" s="101">
        <f>(BA296*($AB$1+1)*0.002488974)/($AB$1+1)*Module!$I$5*Module!$I$7</f>
        <v>55.150770979977231</v>
      </c>
      <c r="BD296" s="101">
        <f>$P$120*Module!$I$7*X296*Module!$I$5</f>
        <v>207.74332187426486</v>
      </c>
      <c r="BE296" s="151">
        <f t="shared" si="82"/>
        <v>1000000</v>
      </c>
      <c r="BG296" s="101">
        <f t="shared" si="89"/>
        <v>0</v>
      </c>
      <c r="BH296" s="101">
        <f>10+Module!$K$57/($AC$1+1)</f>
        <v>59.463036490617775</v>
      </c>
      <c r="BI296" s="101">
        <f>$AC$1*(25+Module!$I$6)</f>
        <v>202</v>
      </c>
      <c r="BJ296" s="101">
        <f>(BH296*($AC$1+1)*0.002488974)/($AC$1+1)*Module!$I$5*Module!$I$7</f>
        <v>45.656234094813776</v>
      </c>
      <c r="BK296" s="101">
        <f>$P$120*Module!$I$7*X296*Module!$I$5</f>
        <v>207.74332187426486</v>
      </c>
      <c r="BL296" s="151">
        <f t="shared" si="83"/>
        <v>1000000</v>
      </c>
    </row>
    <row r="297" spans="23:64" ht="15.75" hidden="1" thickBot="1">
      <c r="W297" s="777"/>
      <c r="X297" s="121">
        <f t="shared" si="84"/>
        <v>93</v>
      </c>
      <c r="Y297" s="122">
        <f>'calcul pneu pour calculateur'!P298</f>
        <v>137.82711515313656</v>
      </c>
      <c r="Z297" s="123">
        <f t="shared" si="76"/>
        <v>275.65423030627312</v>
      </c>
      <c r="AA297" s="123">
        <f t="shared" si="77"/>
        <v>413.48134545940968</v>
      </c>
      <c r="AB297" s="123">
        <f t="shared" si="78"/>
        <v>551.30846061254624</v>
      </c>
      <c r="AC297" s="123">
        <f t="shared" si="79"/>
        <v>689.1355757656828</v>
      </c>
      <c r="AK297" s="121">
        <f t="shared" si="85"/>
        <v>93</v>
      </c>
      <c r="AL297" s="101">
        <f t="shared" si="86"/>
        <v>0</v>
      </c>
      <c r="AM297" s="101">
        <f>10+Module!$K$57/($Z$1+1)</f>
        <v>133.65759122654444</v>
      </c>
      <c r="AN297" s="101">
        <f>$Z$1*(25+Module!$I$6)</f>
        <v>50.5</v>
      </c>
      <c r="AO297" s="101">
        <f>(AM297*($Z$1+1)*0.002488974)/($Z$1+1)*Module!$I$5*Module!$I$7</f>
        <v>102.62345540579445</v>
      </c>
      <c r="AP297" s="101">
        <f>$P$120*Module!$I$7*X297*Module!$I$5</f>
        <v>210.00140145985469</v>
      </c>
      <c r="AQ297" s="151">
        <f t="shared" si="80"/>
        <v>1000000</v>
      </c>
      <c r="AS297" s="101">
        <f t="shared" si="87"/>
        <v>0</v>
      </c>
      <c r="AT297" s="101">
        <f>10+Module!$K$57/($AA$1+1)</f>
        <v>92.438394151029627</v>
      </c>
      <c r="AU297" s="101">
        <f>$AA$1*(25+Module!$I$6)</f>
        <v>101</v>
      </c>
      <c r="AV297" s="101">
        <f>(AT297*($Z$1+1)*0.002488974)/($Z$1+1)*Module!$I$5*Module!$I$7</f>
        <v>70.974999121916298</v>
      </c>
      <c r="AW297" s="101">
        <f>$P$120*Module!$I$7*X297*Module!$I$5</f>
        <v>210.00140145985469</v>
      </c>
      <c r="AX297" s="151">
        <f t="shared" si="81"/>
        <v>1000000</v>
      </c>
      <c r="AZ297" s="101">
        <f t="shared" si="88"/>
        <v>0</v>
      </c>
      <c r="BA297" s="101">
        <f>10+Module!$K$57/($AB$1+1)</f>
        <v>71.82879561327222</v>
      </c>
      <c r="BB297" s="101">
        <f>$AB$1*(25+Module!$I$6)</f>
        <v>151.5</v>
      </c>
      <c r="BC297" s="101">
        <f>(BA297*($AB$1+1)*0.002488974)/($AB$1+1)*Module!$I$5*Module!$I$7</f>
        <v>55.150770979977231</v>
      </c>
      <c r="BD297" s="101">
        <f>$P$120*Module!$I$7*X297*Module!$I$5</f>
        <v>210.00140145985469</v>
      </c>
      <c r="BE297" s="151">
        <f t="shared" si="82"/>
        <v>1000000</v>
      </c>
      <c r="BG297" s="101">
        <f t="shared" si="89"/>
        <v>0</v>
      </c>
      <c r="BH297" s="101">
        <f>10+Module!$K$57/($AC$1+1)</f>
        <v>59.463036490617775</v>
      </c>
      <c r="BI297" s="101">
        <f>$AC$1*(25+Module!$I$6)</f>
        <v>202</v>
      </c>
      <c r="BJ297" s="101">
        <f>(BH297*($AC$1+1)*0.002488974)/($AC$1+1)*Module!$I$5*Module!$I$7</f>
        <v>45.656234094813776</v>
      </c>
      <c r="BK297" s="101">
        <f>$P$120*Module!$I$7*X297*Module!$I$5</f>
        <v>210.00140145985469</v>
      </c>
      <c r="BL297" s="151">
        <f t="shared" si="83"/>
        <v>1000000</v>
      </c>
    </row>
    <row r="298" spans="23:64" ht="15.75" hidden="1" thickBot="1">
      <c r="W298" s="777"/>
      <c r="X298" s="121">
        <f t="shared" si="84"/>
        <v>94</v>
      </c>
      <c r="Y298" s="122">
        <f>'calcul pneu pour calculateur'!P299</f>
        <v>137.34041687589513</v>
      </c>
      <c r="Z298" s="123">
        <f t="shared" si="76"/>
        <v>274.68083375179026</v>
      </c>
      <c r="AA298" s="123">
        <f t="shared" si="77"/>
        <v>412.02125062768539</v>
      </c>
      <c r="AB298" s="123">
        <f t="shared" si="78"/>
        <v>549.36166750358052</v>
      </c>
      <c r="AC298" s="123">
        <f t="shared" si="79"/>
        <v>686.70208437947565</v>
      </c>
      <c r="AK298" s="121">
        <f t="shared" si="85"/>
        <v>94</v>
      </c>
      <c r="AL298" s="101">
        <f t="shared" si="86"/>
        <v>0</v>
      </c>
      <c r="AM298" s="101">
        <f>10+Module!$K$57/($Z$1+1)</f>
        <v>133.65759122654444</v>
      </c>
      <c r="AN298" s="101">
        <f>$Z$1*(25+Module!$I$6)</f>
        <v>50.5</v>
      </c>
      <c r="AO298" s="101">
        <f>(AM298*($Z$1+1)*0.002488974)/($Z$1+1)*Module!$I$5*Module!$I$7</f>
        <v>102.62345540579445</v>
      </c>
      <c r="AP298" s="101">
        <f>$P$120*Module!$I$7*X298*Module!$I$5</f>
        <v>212.25948104544452</v>
      </c>
      <c r="AQ298" s="151">
        <f t="shared" si="80"/>
        <v>1000000</v>
      </c>
      <c r="AS298" s="101">
        <f t="shared" si="87"/>
        <v>0</v>
      </c>
      <c r="AT298" s="101">
        <f>10+Module!$K$57/($AA$1+1)</f>
        <v>92.438394151029627</v>
      </c>
      <c r="AU298" s="101">
        <f>$AA$1*(25+Module!$I$6)</f>
        <v>101</v>
      </c>
      <c r="AV298" s="101">
        <f>(AT298*($Z$1+1)*0.002488974)/($Z$1+1)*Module!$I$5*Module!$I$7</f>
        <v>70.974999121916298</v>
      </c>
      <c r="AW298" s="101">
        <f>$P$120*Module!$I$7*X298*Module!$I$5</f>
        <v>212.25948104544452</v>
      </c>
      <c r="AX298" s="151">
        <f t="shared" si="81"/>
        <v>1000000</v>
      </c>
      <c r="AZ298" s="101">
        <f t="shared" si="88"/>
        <v>0</v>
      </c>
      <c r="BA298" s="101">
        <f>10+Module!$K$57/($AB$1+1)</f>
        <v>71.82879561327222</v>
      </c>
      <c r="BB298" s="101">
        <f>$AB$1*(25+Module!$I$6)</f>
        <v>151.5</v>
      </c>
      <c r="BC298" s="101">
        <f>(BA298*($AB$1+1)*0.002488974)/($AB$1+1)*Module!$I$5*Module!$I$7</f>
        <v>55.150770979977231</v>
      </c>
      <c r="BD298" s="101">
        <f>$P$120*Module!$I$7*X298*Module!$I$5</f>
        <v>212.25948104544452</v>
      </c>
      <c r="BE298" s="151">
        <f t="shared" si="82"/>
        <v>1000000</v>
      </c>
      <c r="BG298" s="101">
        <f t="shared" si="89"/>
        <v>0</v>
      </c>
      <c r="BH298" s="101">
        <f>10+Module!$K$57/($AC$1+1)</f>
        <v>59.463036490617775</v>
      </c>
      <c r="BI298" s="101">
        <f>$AC$1*(25+Module!$I$6)</f>
        <v>202</v>
      </c>
      <c r="BJ298" s="101">
        <f>(BH298*($AC$1+1)*0.002488974)/($AC$1+1)*Module!$I$5*Module!$I$7</f>
        <v>45.656234094813776</v>
      </c>
      <c r="BK298" s="101">
        <f>$P$120*Module!$I$7*X298*Module!$I$5</f>
        <v>212.25948104544452</v>
      </c>
      <c r="BL298" s="151">
        <f t="shared" si="83"/>
        <v>1000000</v>
      </c>
    </row>
    <row r="299" spans="23:64" ht="15.75" hidden="1" thickBot="1">
      <c r="W299" s="777"/>
      <c r="X299" s="121">
        <f t="shared" si="84"/>
        <v>95</v>
      </c>
      <c r="Y299" s="122">
        <f>'calcul pneu pour calculateur'!P300</f>
        <v>136.8537185986537</v>
      </c>
      <c r="Z299" s="123">
        <f t="shared" ref="Z299:Z362" si="90">Y299*2</f>
        <v>273.7074371973074</v>
      </c>
      <c r="AA299" s="123">
        <f t="shared" ref="AA299:AA362" si="91">Y299*3</f>
        <v>410.5611557959611</v>
      </c>
      <c r="AB299" s="123">
        <f t="shared" ref="AB299:AB362" si="92">Y299*4</f>
        <v>547.4148743946148</v>
      </c>
      <c r="AC299" s="123">
        <f t="shared" ref="AC299:AC362" si="93">Y299*5</f>
        <v>684.2685929932685</v>
      </c>
      <c r="AK299" s="121">
        <f t="shared" si="85"/>
        <v>95</v>
      </c>
      <c r="AL299" s="101">
        <f t="shared" si="86"/>
        <v>0</v>
      </c>
      <c r="AM299" s="101">
        <f>10+Module!$K$57/($Z$1+1)</f>
        <v>133.65759122654444</v>
      </c>
      <c r="AN299" s="101">
        <f>$Z$1*(25+Module!$I$6)</f>
        <v>50.5</v>
      </c>
      <c r="AO299" s="101">
        <f>(AM299*($Z$1+1)*0.002488974)/($Z$1+1)*Module!$I$5*Module!$I$7</f>
        <v>102.62345540579445</v>
      </c>
      <c r="AP299" s="101">
        <f>$P$120*Module!$I$7*X299*Module!$I$5</f>
        <v>214.51756063103434</v>
      </c>
      <c r="AQ299" s="151">
        <f t="shared" si="80"/>
        <v>1000000</v>
      </c>
      <c r="AS299" s="101">
        <f t="shared" si="87"/>
        <v>0</v>
      </c>
      <c r="AT299" s="101">
        <f>10+Module!$K$57/($AA$1+1)</f>
        <v>92.438394151029627</v>
      </c>
      <c r="AU299" s="101">
        <f>$AA$1*(25+Module!$I$6)</f>
        <v>101</v>
      </c>
      <c r="AV299" s="101">
        <f>(AT299*($Z$1+1)*0.002488974)/($Z$1+1)*Module!$I$5*Module!$I$7</f>
        <v>70.974999121916298</v>
      </c>
      <c r="AW299" s="101">
        <f>$P$120*Module!$I$7*X299*Module!$I$5</f>
        <v>214.51756063103434</v>
      </c>
      <c r="AX299" s="151">
        <f t="shared" si="81"/>
        <v>1000000</v>
      </c>
      <c r="AZ299" s="101">
        <f t="shared" si="88"/>
        <v>0</v>
      </c>
      <c r="BA299" s="101">
        <f>10+Module!$K$57/($AB$1+1)</f>
        <v>71.82879561327222</v>
      </c>
      <c r="BB299" s="101">
        <f>$AB$1*(25+Module!$I$6)</f>
        <v>151.5</v>
      </c>
      <c r="BC299" s="101">
        <f>(BA299*($AB$1+1)*0.002488974)/($AB$1+1)*Module!$I$5*Module!$I$7</f>
        <v>55.150770979977231</v>
      </c>
      <c r="BD299" s="101">
        <f>$P$120*Module!$I$7*X299*Module!$I$5</f>
        <v>214.51756063103434</v>
      </c>
      <c r="BE299" s="151">
        <f t="shared" si="82"/>
        <v>1000000</v>
      </c>
      <c r="BG299" s="101">
        <f t="shared" si="89"/>
        <v>0</v>
      </c>
      <c r="BH299" s="101">
        <f>10+Module!$K$57/($AC$1+1)</f>
        <v>59.463036490617775</v>
      </c>
      <c r="BI299" s="101">
        <f>$AC$1*(25+Module!$I$6)</f>
        <v>202</v>
      </c>
      <c r="BJ299" s="101">
        <f>(BH299*($AC$1+1)*0.002488974)/($AC$1+1)*Module!$I$5*Module!$I$7</f>
        <v>45.656234094813776</v>
      </c>
      <c r="BK299" s="101">
        <f>$P$120*Module!$I$7*X299*Module!$I$5</f>
        <v>214.51756063103434</v>
      </c>
      <c r="BL299" s="151">
        <f t="shared" si="83"/>
        <v>1000000</v>
      </c>
    </row>
    <row r="300" spans="23:64" ht="15.75" hidden="1" thickBot="1">
      <c r="W300" s="777"/>
      <c r="X300" s="121">
        <f t="shared" si="84"/>
        <v>96</v>
      </c>
      <c r="Y300" s="122">
        <f>'calcul pneu pour calculateur'!P301</f>
        <v>136.36702032141227</v>
      </c>
      <c r="Z300" s="123">
        <f t="shared" si="90"/>
        <v>272.73404064282454</v>
      </c>
      <c r="AA300" s="123">
        <f t="shared" si="91"/>
        <v>409.10106096423681</v>
      </c>
      <c r="AB300" s="123">
        <f t="shared" si="92"/>
        <v>545.46808128564908</v>
      </c>
      <c r="AC300" s="123">
        <f t="shared" si="93"/>
        <v>681.83510160706135</v>
      </c>
      <c r="AK300" s="121">
        <f t="shared" si="85"/>
        <v>96</v>
      </c>
      <c r="AL300" s="101">
        <f t="shared" si="86"/>
        <v>0</v>
      </c>
      <c r="AM300" s="101">
        <f>10+Module!$K$57/($Z$1+1)</f>
        <v>133.65759122654444</v>
      </c>
      <c r="AN300" s="101">
        <f>$Z$1*(25+Module!$I$6)</f>
        <v>50.5</v>
      </c>
      <c r="AO300" s="101">
        <f>(AM300*($Z$1+1)*0.002488974)/($Z$1+1)*Module!$I$5*Module!$I$7</f>
        <v>102.62345540579445</v>
      </c>
      <c r="AP300" s="101">
        <f>$P$120*Module!$I$7*X300*Module!$I$5</f>
        <v>216.77564021662423</v>
      </c>
      <c r="AQ300" s="151">
        <f t="shared" si="80"/>
        <v>1000000</v>
      </c>
      <c r="AS300" s="101">
        <f t="shared" si="87"/>
        <v>0</v>
      </c>
      <c r="AT300" s="101">
        <f>10+Module!$K$57/($AA$1+1)</f>
        <v>92.438394151029627</v>
      </c>
      <c r="AU300" s="101">
        <f>$AA$1*(25+Module!$I$6)</f>
        <v>101</v>
      </c>
      <c r="AV300" s="101">
        <f>(AT300*($Z$1+1)*0.002488974)/($Z$1+1)*Module!$I$5*Module!$I$7</f>
        <v>70.974999121916298</v>
      </c>
      <c r="AW300" s="101">
        <f>$P$120*Module!$I$7*X300*Module!$I$5</f>
        <v>216.77564021662423</v>
      </c>
      <c r="AX300" s="151">
        <f t="shared" si="81"/>
        <v>1000000</v>
      </c>
      <c r="AZ300" s="101">
        <f t="shared" si="88"/>
        <v>0</v>
      </c>
      <c r="BA300" s="101">
        <f>10+Module!$K$57/($AB$1+1)</f>
        <v>71.82879561327222</v>
      </c>
      <c r="BB300" s="101">
        <f>$AB$1*(25+Module!$I$6)</f>
        <v>151.5</v>
      </c>
      <c r="BC300" s="101">
        <f>(BA300*($AB$1+1)*0.002488974)/($AB$1+1)*Module!$I$5*Module!$I$7</f>
        <v>55.150770979977231</v>
      </c>
      <c r="BD300" s="101">
        <f>$P$120*Module!$I$7*X300*Module!$I$5</f>
        <v>216.77564021662423</v>
      </c>
      <c r="BE300" s="151">
        <f t="shared" si="82"/>
        <v>1000000</v>
      </c>
      <c r="BG300" s="101">
        <f t="shared" si="89"/>
        <v>0</v>
      </c>
      <c r="BH300" s="101">
        <f>10+Module!$K$57/($AC$1+1)</f>
        <v>59.463036490617775</v>
      </c>
      <c r="BI300" s="101">
        <f>$AC$1*(25+Module!$I$6)</f>
        <v>202</v>
      </c>
      <c r="BJ300" s="101">
        <f>(BH300*($AC$1+1)*0.002488974)/($AC$1+1)*Module!$I$5*Module!$I$7</f>
        <v>45.656234094813776</v>
      </c>
      <c r="BK300" s="101">
        <f>$P$120*Module!$I$7*X300*Module!$I$5</f>
        <v>216.77564021662423</v>
      </c>
      <c r="BL300" s="151">
        <f t="shared" si="83"/>
        <v>1000000</v>
      </c>
    </row>
    <row r="301" spans="23:64" ht="15.75" hidden="1" thickBot="1">
      <c r="W301" s="777"/>
      <c r="X301" s="121">
        <f t="shared" si="84"/>
        <v>97</v>
      </c>
      <c r="Y301" s="122">
        <f>'calcul pneu pour calculateur'!P302</f>
        <v>135.88032204417081</v>
      </c>
      <c r="Z301" s="123">
        <f t="shared" si="90"/>
        <v>271.76064408834162</v>
      </c>
      <c r="AA301" s="123">
        <f t="shared" si="91"/>
        <v>407.6409661325124</v>
      </c>
      <c r="AB301" s="123">
        <f t="shared" si="92"/>
        <v>543.52128817668324</v>
      </c>
      <c r="AC301" s="123">
        <f t="shared" si="93"/>
        <v>679.40161022085408</v>
      </c>
      <c r="AK301" s="121">
        <f t="shared" si="85"/>
        <v>97</v>
      </c>
      <c r="AL301" s="101">
        <f t="shared" si="86"/>
        <v>0</v>
      </c>
      <c r="AM301" s="101">
        <f>10+Module!$K$57/($Z$1+1)</f>
        <v>133.65759122654444</v>
      </c>
      <c r="AN301" s="101">
        <f>$Z$1*(25+Module!$I$6)</f>
        <v>50.5</v>
      </c>
      <c r="AO301" s="101">
        <f>(AM301*($Z$1+1)*0.002488974)/($Z$1+1)*Module!$I$5*Module!$I$7</f>
        <v>102.62345540579445</v>
      </c>
      <c r="AP301" s="101">
        <f>$P$120*Module!$I$7*X301*Module!$I$5</f>
        <v>219.03371980221405</v>
      </c>
      <c r="AQ301" s="151">
        <f t="shared" si="80"/>
        <v>1000000</v>
      </c>
      <c r="AS301" s="101">
        <f t="shared" si="87"/>
        <v>0</v>
      </c>
      <c r="AT301" s="101">
        <f>10+Module!$K$57/($AA$1+1)</f>
        <v>92.438394151029627</v>
      </c>
      <c r="AU301" s="101">
        <f>$AA$1*(25+Module!$I$6)</f>
        <v>101</v>
      </c>
      <c r="AV301" s="101">
        <f>(AT301*($Z$1+1)*0.002488974)/($Z$1+1)*Module!$I$5*Module!$I$7</f>
        <v>70.974999121916298</v>
      </c>
      <c r="AW301" s="101">
        <f>$P$120*Module!$I$7*X301*Module!$I$5</f>
        <v>219.03371980221405</v>
      </c>
      <c r="AX301" s="151">
        <f t="shared" si="81"/>
        <v>1000000</v>
      </c>
      <c r="AZ301" s="101">
        <f t="shared" si="88"/>
        <v>0</v>
      </c>
      <c r="BA301" s="101">
        <f>10+Module!$K$57/($AB$1+1)</f>
        <v>71.82879561327222</v>
      </c>
      <c r="BB301" s="101">
        <f>$AB$1*(25+Module!$I$6)</f>
        <v>151.5</v>
      </c>
      <c r="BC301" s="101">
        <f>(BA301*($AB$1+1)*0.002488974)/($AB$1+1)*Module!$I$5*Module!$I$7</f>
        <v>55.150770979977231</v>
      </c>
      <c r="BD301" s="101">
        <f>$P$120*Module!$I$7*X301*Module!$I$5</f>
        <v>219.03371980221405</v>
      </c>
      <c r="BE301" s="151">
        <f t="shared" si="82"/>
        <v>1000000</v>
      </c>
      <c r="BG301" s="101">
        <f t="shared" si="89"/>
        <v>0</v>
      </c>
      <c r="BH301" s="101">
        <f>10+Module!$K$57/($AC$1+1)</f>
        <v>59.463036490617775</v>
      </c>
      <c r="BI301" s="101">
        <f>$AC$1*(25+Module!$I$6)</f>
        <v>202</v>
      </c>
      <c r="BJ301" s="101">
        <f>(BH301*($AC$1+1)*0.002488974)/($AC$1+1)*Module!$I$5*Module!$I$7</f>
        <v>45.656234094813776</v>
      </c>
      <c r="BK301" s="101">
        <f>$P$120*Module!$I$7*X301*Module!$I$5</f>
        <v>219.03371980221405</v>
      </c>
      <c r="BL301" s="151">
        <f t="shared" si="83"/>
        <v>1000000</v>
      </c>
    </row>
    <row r="302" spans="23:64" ht="15.75" hidden="1" thickBot="1">
      <c r="W302" s="777"/>
      <c r="X302" s="121">
        <f t="shared" si="84"/>
        <v>98</v>
      </c>
      <c r="Y302" s="122">
        <f>'calcul pneu pour calculateur'!P303</f>
        <v>135.39362376692935</v>
      </c>
      <c r="Z302" s="123">
        <f t="shared" si="90"/>
        <v>270.7872475338587</v>
      </c>
      <c r="AA302" s="123">
        <f t="shared" si="91"/>
        <v>406.18087130078806</v>
      </c>
      <c r="AB302" s="123">
        <f t="shared" si="92"/>
        <v>541.57449506771741</v>
      </c>
      <c r="AC302" s="123">
        <f t="shared" si="93"/>
        <v>676.9681188346467</v>
      </c>
      <c r="AK302" s="121">
        <f t="shared" si="85"/>
        <v>98</v>
      </c>
      <c r="AL302" s="101">
        <f t="shared" si="86"/>
        <v>0</v>
      </c>
      <c r="AM302" s="101">
        <f>10+Module!$K$57/($Z$1+1)</f>
        <v>133.65759122654444</v>
      </c>
      <c r="AN302" s="101">
        <f>$Z$1*(25+Module!$I$6)</f>
        <v>50.5</v>
      </c>
      <c r="AO302" s="101">
        <f>(AM302*($Z$1+1)*0.002488974)/($Z$1+1)*Module!$I$5*Module!$I$7</f>
        <v>102.62345540579445</v>
      </c>
      <c r="AP302" s="101">
        <f>$P$120*Module!$I$7*X302*Module!$I$5</f>
        <v>221.29179938780388</v>
      </c>
      <c r="AQ302" s="151">
        <f t="shared" si="80"/>
        <v>1000000</v>
      </c>
      <c r="AS302" s="101">
        <f t="shared" si="87"/>
        <v>0</v>
      </c>
      <c r="AT302" s="101">
        <f>10+Module!$K$57/($AA$1+1)</f>
        <v>92.438394151029627</v>
      </c>
      <c r="AU302" s="101">
        <f>$AA$1*(25+Module!$I$6)</f>
        <v>101</v>
      </c>
      <c r="AV302" s="101">
        <f>(AT302*($Z$1+1)*0.002488974)/($Z$1+1)*Module!$I$5*Module!$I$7</f>
        <v>70.974999121916298</v>
      </c>
      <c r="AW302" s="101">
        <f>$P$120*Module!$I$7*X302*Module!$I$5</f>
        <v>221.29179938780388</v>
      </c>
      <c r="AX302" s="151">
        <f t="shared" si="81"/>
        <v>1000000</v>
      </c>
      <c r="AZ302" s="101">
        <f t="shared" si="88"/>
        <v>0</v>
      </c>
      <c r="BA302" s="101">
        <f>10+Module!$K$57/($AB$1+1)</f>
        <v>71.82879561327222</v>
      </c>
      <c r="BB302" s="101">
        <f>$AB$1*(25+Module!$I$6)</f>
        <v>151.5</v>
      </c>
      <c r="BC302" s="101">
        <f>(BA302*($AB$1+1)*0.002488974)/($AB$1+1)*Module!$I$5*Module!$I$7</f>
        <v>55.150770979977231</v>
      </c>
      <c r="BD302" s="101">
        <f>$P$120*Module!$I$7*X302*Module!$I$5</f>
        <v>221.29179938780388</v>
      </c>
      <c r="BE302" s="151">
        <f t="shared" si="82"/>
        <v>1000000</v>
      </c>
      <c r="BG302" s="101">
        <f t="shared" si="89"/>
        <v>0</v>
      </c>
      <c r="BH302" s="101">
        <f>10+Module!$K$57/($AC$1+1)</f>
        <v>59.463036490617775</v>
      </c>
      <c r="BI302" s="101">
        <f>$AC$1*(25+Module!$I$6)</f>
        <v>202</v>
      </c>
      <c r="BJ302" s="101">
        <f>(BH302*($AC$1+1)*0.002488974)/($AC$1+1)*Module!$I$5*Module!$I$7</f>
        <v>45.656234094813776</v>
      </c>
      <c r="BK302" s="101">
        <f>$P$120*Module!$I$7*X302*Module!$I$5</f>
        <v>221.29179938780388</v>
      </c>
      <c r="BL302" s="151">
        <f t="shared" si="83"/>
        <v>1000000</v>
      </c>
    </row>
    <row r="303" spans="23:64" ht="15.75" hidden="1" thickBot="1">
      <c r="W303" s="777"/>
      <c r="X303" s="121">
        <f t="shared" si="84"/>
        <v>99</v>
      </c>
      <c r="Y303" s="122">
        <f>'calcul pneu pour calculateur'!P304</f>
        <v>134.90692548968792</v>
      </c>
      <c r="Z303" s="123">
        <f t="shared" si="90"/>
        <v>269.81385097937584</v>
      </c>
      <c r="AA303" s="123">
        <f t="shared" si="91"/>
        <v>404.72077646906376</v>
      </c>
      <c r="AB303" s="123">
        <f t="shared" si="92"/>
        <v>539.62770195875169</v>
      </c>
      <c r="AC303" s="123">
        <f t="shared" si="93"/>
        <v>674.53462744843955</v>
      </c>
      <c r="AK303" s="121">
        <f t="shared" si="85"/>
        <v>99</v>
      </c>
      <c r="AL303" s="101">
        <f t="shared" si="86"/>
        <v>0</v>
      </c>
      <c r="AM303" s="101">
        <f>10+Module!$K$57/($Z$1+1)</f>
        <v>133.65759122654444</v>
      </c>
      <c r="AN303" s="101">
        <f>$Z$1*(25+Module!$I$6)</f>
        <v>50.5</v>
      </c>
      <c r="AO303" s="101">
        <f>(AM303*($Z$1+1)*0.002488974)/($Z$1+1)*Module!$I$5*Module!$I$7</f>
        <v>102.62345540579445</v>
      </c>
      <c r="AP303" s="101">
        <f>$P$120*Module!$I$7*X303*Module!$I$5</f>
        <v>223.5498789733937</v>
      </c>
      <c r="AQ303" s="151">
        <f t="shared" si="80"/>
        <v>1000000</v>
      </c>
      <c r="AS303" s="101">
        <f t="shared" si="87"/>
        <v>0</v>
      </c>
      <c r="AT303" s="101">
        <f>10+Module!$K$57/($AA$1+1)</f>
        <v>92.438394151029627</v>
      </c>
      <c r="AU303" s="101">
        <f>$AA$1*(25+Module!$I$6)</f>
        <v>101</v>
      </c>
      <c r="AV303" s="101">
        <f>(AT303*($Z$1+1)*0.002488974)/($Z$1+1)*Module!$I$5*Module!$I$7</f>
        <v>70.974999121916298</v>
      </c>
      <c r="AW303" s="101">
        <f>$P$120*Module!$I$7*X303*Module!$I$5</f>
        <v>223.5498789733937</v>
      </c>
      <c r="AX303" s="151">
        <f t="shared" si="81"/>
        <v>1000000</v>
      </c>
      <c r="AZ303" s="101">
        <f t="shared" si="88"/>
        <v>0</v>
      </c>
      <c r="BA303" s="101">
        <f>10+Module!$K$57/($AB$1+1)</f>
        <v>71.82879561327222</v>
      </c>
      <c r="BB303" s="101">
        <f>$AB$1*(25+Module!$I$6)</f>
        <v>151.5</v>
      </c>
      <c r="BC303" s="101">
        <f>(BA303*($AB$1+1)*0.002488974)/($AB$1+1)*Module!$I$5*Module!$I$7</f>
        <v>55.150770979977231</v>
      </c>
      <c r="BD303" s="101">
        <f>$P$120*Module!$I$7*X303*Module!$I$5</f>
        <v>223.5498789733937</v>
      </c>
      <c r="BE303" s="151">
        <f t="shared" si="82"/>
        <v>1000000</v>
      </c>
      <c r="BG303" s="101">
        <f t="shared" si="89"/>
        <v>0</v>
      </c>
      <c r="BH303" s="101">
        <f>10+Module!$K$57/($AC$1+1)</f>
        <v>59.463036490617775</v>
      </c>
      <c r="BI303" s="101">
        <f>$AC$1*(25+Module!$I$6)</f>
        <v>202</v>
      </c>
      <c r="BJ303" s="101">
        <f>(BH303*($AC$1+1)*0.002488974)/($AC$1+1)*Module!$I$5*Module!$I$7</f>
        <v>45.656234094813776</v>
      </c>
      <c r="BK303" s="101">
        <f>$P$120*Module!$I$7*X303*Module!$I$5</f>
        <v>223.5498789733937</v>
      </c>
      <c r="BL303" s="151">
        <f t="shared" si="83"/>
        <v>1000000</v>
      </c>
    </row>
    <row r="304" spans="23:64" ht="15.75" hidden="1" thickBot="1">
      <c r="W304" s="778"/>
      <c r="X304" s="121">
        <f t="shared" si="84"/>
        <v>100</v>
      </c>
      <c r="Y304" s="122">
        <f>'calcul pneu pour calculateur'!P305</f>
        <v>134.42022721244649</v>
      </c>
      <c r="Z304" s="123">
        <f t="shared" si="90"/>
        <v>268.84045442489298</v>
      </c>
      <c r="AA304" s="123">
        <f t="shared" si="91"/>
        <v>403.26068163733947</v>
      </c>
      <c r="AB304" s="123">
        <f t="shared" si="92"/>
        <v>537.68090884978596</v>
      </c>
      <c r="AC304" s="123">
        <f t="shared" si="93"/>
        <v>672.1011360622324</v>
      </c>
      <c r="AK304" s="121">
        <f t="shared" si="85"/>
        <v>100</v>
      </c>
      <c r="AL304" s="101">
        <f t="shared" si="86"/>
        <v>0</v>
      </c>
      <c r="AM304" s="101">
        <f>10+Module!$K$57/($Z$1+1)</f>
        <v>133.65759122654444</v>
      </c>
      <c r="AN304" s="101">
        <f>$Z$1*(25+Module!$I$6)</f>
        <v>50.5</v>
      </c>
      <c r="AO304" s="101">
        <f>(AM304*($Z$1+1)*0.002488974)/($Z$1+1)*Module!$I$5*Module!$I$7</f>
        <v>102.62345540579445</v>
      </c>
      <c r="AP304" s="101">
        <f>$P$120*Module!$I$7*X304*Module!$I$5</f>
        <v>225.80795855898356</v>
      </c>
      <c r="AQ304" s="151">
        <f t="shared" si="80"/>
        <v>1000000</v>
      </c>
      <c r="AS304" s="101">
        <f t="shared" si="87"/>
        <v>0</v>
      </c>
      <c r="AT304" s="101">
        <f>10+Module!$K$57/($AA$1+1)</f>
        <v>92.438394151029627</v>
      </c>
      <c r="AU304" s="101">
        <f>$AA$1*(25+Module!$I$6)</f>
        <v>101</v>
      </c>
      <c r="AV304" s="101">
        <f>(AT304*($Z$1+1)*0.002488974)/($Z$1+1)*Module!$I$5*Module!$I$7</f>
        <v>70.974999121916298</v>
      </c>
      <c r="AW304" s="101">
        <f>$P$120*Module!$I$7*X304*Module!$I$5</f>
        <v>225.80795855898356</v>
      </c>
      <c r="AX304" s="151">
        <f t="shared" si="81"/>
        <v>1000000</v>
      </c>
      <c r="AZ304" s="101">
        <f t="shared" si="88"/>
        <v>0</v>
      </c>
      <c r="BA304" s="101">
        <f>10+Module!$K$57/($AB$1+1)</f>
        <v>71.82879561327222</v>
      </c>
      <c r="BB304" s="101">
        <f>$AB$1*(25+Module!$I$6)</f>
        <v>151.5</v>
      </c>
      <c r="BC304" s="101">
        <f>(BA304*($AB$1+1)*0.002488974)/($AB$1+1)*Module!$I$5*Module!$I$7</f>
        <v>55.150770979977231</v>
      </c>
      <c r="BD304" s="101">
        <f>$P$120*Module!$I$7*X304*Module!$I$5</f>
        <v>225.80795855898356</v>
      </c>
      <c r="BE304" s="151">
        <f t="shared" si="82"/>
        <v>1000000</v>
      </c>
      <c r="BG304" s="101">
        <f t="shared" si="89"/>
        <v>0</v>
      </c>
      <c r="BH304" s="101">
        <f>10+Module!$K$57/($AC$1+1)</f>
        <v>59.463036490617775</v>
      </c>
      <c r="BI304" s="101">
        <f>$AC$1*(25+Module!$I$6)</f>
        <v>202</v>
      </c>
      <c r="BJ304" s="101">
        <f>(BH304*($AC$1+1)*0.002488974)/($AC$1+1)*Module!$I$5*Module!$I$7</f>
        <v>45.656234094813776</v>
      </c>
      <c r="BK304" s="101">
        <f>$P$120*Module!$I$7*X304*Module!$I$5</f>
        <v>225.80795855898356</v>
      </c>
      <c r="BL304" s="151">
        <f t="shared" si="83"/>
        <v>1000000</v>
      </c>
    </row>
    <row r="305" spans="23:64" ht="15.75" hidden="1" customHeight="1" thickBot="1">
      <c r="W305" s="776" t="s">
        <v>255</v>
      </c>
      <c r="X305" s="121">
        <v>0</v>
      </c>
      <c r="Y305" s="122">
        <f>'calcul pneu pour calculateur'!P306</f>
        <v>231.52230619157373</v>
      </c>
      <c r="Z305" s="123">
        <f t="shared" si="90"/>
        <v>463.04461238314747</v>
      </c>
      <c r="AA305" s="123">
        <f t="shared" si="91"/>
        <v>694.56691857472117</v>
      </c>
      <c r="AB305" s="123">
        <f t="shared" si="92"/>
        <v>926.08922476629493</v>
      </c>
      <c r="AC305" s="123">
        <f t="shared" si="93"/>
        <v>1157.6115309578686</v>
      </c>
      <c r="AK305" s="121">
        <v>0</v>
      </c>
      <c r="AL305" s="101">
        <f>$H$64</f>
        <v>0</v>
      </c>
      <c r="AM305" s="101">
        <f>10+Module!$K$57/($Z$1+1)</f>
        <v>133.65759122654444</v>
      </c>
      <c r="AN305" s="101">
        <f>$Z$1*(25+Module!$I$6)</f>
        <v>50.5</v>
      </c>
      <c r="AO305" s="101">
        <f>(AM305*($Z$1+1)*0.002488974)/($Z$1+1)*Module!$I$5*Module!$I$7</f>
        <v>102.62345540579445</v>
      </c>
      <c r="AP305" s="101">
        <f>$P$120*Module!$I$7*X305*Module!$I$5</f>
        <v>0</v>
      </c>
      <c r="AQ305" s="151">
        <f t="shared" si="80"/>
        <v>153.12345540579446</v>
      </c>
      <c r="AS305" s="101">
        <f>$H$64</f>
        <v>0</v>
      </c>
      <c r="AT305" s="101">
        <f>10+Module!$K$57/($AA$1+1)</f>
        <v>92.438394151029627</v>
      </c>
      <c r="AU305" s="101">
        <f>$AA$1*(25+Module!$I$6)</f>
        <v>101</v>
      </c>
      <c r="AV305" s="101">
        <f>(AT305*($Z$1+1)*0.002488974)/($Z$1+1)*Module!$I$5*Module!$I$7</f>
        <v>70.974999121916298</v>
      </c>
      <c r="AW305" s="101">
        <f>$P$120*Module!$I$7*X305*Module!$I$5</f>
        <v>0</v>
      </c>
      <c r="AX305" s="151">
        <f t="shared" si="81"/>
        <v>171.97499912191631</v>
      </c>
      <c r="AZ305" s="101">
        <f>$H$64</f>
        <v>0</v>
      </c>
      <c r="BA305" s="101">
        <f>10+Module!$K$57/($AB$1+1)</f>
        <v>71.82879561327222</v>
      </c>
      <c r="BB305" s="101">
        <f>$AB$1*(25+Module!$I$6)</f>
        <v>151.5</v>
      </c>
      <c r="BC305" s="101">
        <f>(BA305*($AB$1+1)*0.002488974)/($AB$1+1)*Module!$I$5*Module!$I$7</f>
        <v>55.150770979977231</v>
      </c>
      <c r="BD305" s="101">
        <f>$P$120*Module!$I$7*X305*Module!$I$5</f>
        <v>0</v>
      </c>
      <c r="BE305" s="151">
        <f t="shared" si="82"/>
        <v>206.65077097997724</v>
      </c>
      <c r="BG305" s="101">
        <f>$H$64</f>
        <v>0</v>
      </c>
      <c r="BH305" s="101">
        <f>10+Module!$K$57/($AC$1+1)</f>
        <v>59.463036490617775</v>
      </c>
      <c r="BI305" s="101">
        <f>$AC$1*(25+Module!$I$6)</f>
        <v>202</v>
      </c>
      <c r="BJ305" s="101">
        <f>(BH305*($AC$1+1)*0.002488974)/($AC$1+1)*Module!$I$5*Module!$I$7</f>
        <v>45.656234094813776</v>
      </c>
      <c r="BK305" s="101">
        <f>$P$120*Module!$I$7*X305*Module!$I$5</f>
        <v>0</v>
      </c>
      <c r="BL305" s="151">
        <f t="shared" si="83"/>
        <v>247.65623409481378</v>
      </c>
    </row>
    <row r="306" spans="23:64" ht="15.75" hidden="1" thickBot="1">
      <c r="W306" s="777"/>
      <c r="X306" s="121">
        <f t="shared" si="84"/>
        <v>1</v>
      </c>
      <c r="Y306" s="122">
        <f>'calcul pneu pour calculateur'!P307</f>
        <v>230.86466039719988</v>
      </c>
      <c r="Z306" s="123">
        <f t="shared" si="90"/>
        <v>461.72932079439977</v>
      </c>
      <c r="AA306" s="123">
        <f t="shared" si="91"/>
        <v>692.5939811915996</v>
      </c>
      <c r="AB306" s="123">
        <f t="shared" si="92"/>
        <v>923.45864158879954</v>
      </c>
      <c r="AC306" s="123">
        <f t="shared" si="93"/>
        <v>1154.3233019859995</v>
      </c>
      <c r="AK306" s="121">
        <f t="shared" si="85"/>
        <v>1</v>
      </c>
      <c r="AL306" s="101">
        <f t="shared" ref="AL306:AL369" si="94">$H$64</f>
        <v>0</v>
      </c>
      <c r="AM306" s="101">
        <f>10+Module!$K$57/($Z$1+1)</f>
        <v>133.65759122654444</v>
      </c>
      <c r="AN306" s="101">
        <f>$Z$1*(25+Module!$I$6)</f>
        <v>50.5</v>
      </c>
      <c r="AO306" s="101">
        <f>(AM306*($Z$1+1)*0.002488974)/($Z$1+1)*Module!$I$5*Module!$I$7</f>
        <v>102.62345540579445</v>
      </c>
      <c r="AP306" s="101">
        <f>$P$120*Module!$I$7*X306*Module!$I$5</f>
        <v>2.2580795855898352</v>
      </c>
      <c r="AQ306" s="151">
        <f t="shared" si="80"/>
        <v>1000000</v>
      </c>
      <c r="AS306" s="101">
        <f t="shared" ref="AS306:AS369" si="95">$H$64</f>
        <v>0</v>
      </c>
      <c r="AT306" s="101">
        <f>10+Module!$K$57/($AA$1+1)</f>
        <v>92.438394151029627</v>
      </c>
      <c r="AU306" s="101">
        <f>$AA$1*(25+Module!$I$6)</f>
        <v>101</v>
      </c>
      <c r="AV306" s="101">
        <f>(AT306*($Z$1+1)*0.002488974)/($Z$1+1)*Module!$I$5*Module!$I$7</f>
        <v>70.974999121916298</v>
      </c>
      <c r="AW306" s="101">
        <f>$P$120*Module!$I$7*X306*Module!$I$5</f>
        <v>2.2580795855898352</v>
      </c>
      <c r="AX306" s="151">
        <f t="shared" si="81"/>
        <v>1000000</v>
      </c>
      <c r="AZ306" s="101">
        <f t="shared" ref="AZ306:AZ369" si="96">$H$64</f>
        <v>0</v>
      </c>
      <c r="BA306" s="101">
        <f>10+Module!$K$57/($AB$1+1)</f>
        <v>71.82879561327222</v>
      </c>
      <c r="BB306" s="101">
        <f>$AB$1*(25+Module!$I$6)</f>
        <v>151.5</v>
      </c>
      <c r="BC306" s="101">
        <f>(BA306*($AB$1+1)*0.002488974)/($AB$1+1)*Module!$I$5*Module!$I$7</f>
        <v>55.150770979977231</v>
      </c>
      <c r="BD306" s="101">
        <f>$P$120*Module!$I$7*X306*Module!$I$5</f>
        <v>2.2580795855898352</v>
      </c>
      <c r="BE306" s="151">
        <f t="shared" si="82"/>
        <v>1000000</v>
      </c>
      <c r="BG306" s="101">
        <f t="shared" ref="BG306:BG369" si="97">$H$64</f>
        <v>0</v>
      </c>
      <c r="BH306" s="101">
        <f>10+Module!$K$57/($AC$1+1)</f>
        <v>59.463036490617775</v>
      </c>
      <c r="BI306" s="101">
        <f>$AC$1*(25+Module!$I$6)</f>
        <v>202</v>
      </c>
      <c r="BJ306" s="101">
        <f>(BH306*($AC$1+1)*0.002488974)/($AC$1+1)*Module!$I$5*Module!$I$7</f>
        <v>45.656234094813776</v>
      </c>
      <c r="BK306" s="101">
        <f>$P$120*Module!$I$7*X306*Module!$I$5</f>
        <v>2.2580795855898352</v>
      </c>
      <c r="BL306" s="151">
        <f t="shared" si="83"/>
        <v>1000000</v>
      </c>
    </row>
    <row r="307" spans="23:64" ht="15.75" hidden="1" thickBot="1">
      <c r="W307" s="777"/>
      <c r="X307" s="121">
        <f t="shared" si="84"/>
        <v>2</v>
      </c>
      <c r="Y307" s="122">
        <f>'calcul pneu pour calculateur'!P308</f>
        <v>230.20701460282606</v>
      </c>
      <c r="Z307" s="123">
        <f t="shared" si="90"/>
        <v>460.41402920565213</v>
      </c>
      <c r="AA307" s="123">
        <f t="shared" si="91"/>
        <v>690.62104380847813</v>
      </c>
      <c r="AB307" s="123">
        <f t="shared" si="92"/>
        <v>920.82805841130426</v>
      </c>
      <c r="AC307" s="123">
        <f t="shared" si="93"/>
        <v>1151.0350730141304</v>
      </c>
      <c r="AK307" s="121">
        <f t="shared" si="85"/>
        <v>2</v>
      </c>
      <c r="AL307" s="101">
        <f t="shared" si="94"/>
        <v>0</v>
      </c>
      <c r="AM307" s="101">
        <f>10+Module!$K$57/($Z$1+1)</f>
        <v>133.65759122654444</v>
      </c>
      <c r="AN307" s="101">
        <f>$Z$1*(25+Module!$I$6)</f>
        <v>50.5</v>
      </c>
      <c r="AO307" s="101">
        <f>(AM307*($Z$1+1)*0.002488974)/($Z$1+1)*Module!$I$5*Module!$I$7</f>
        <v>102.62345540579445</v>
      </c>
      <c r="AP307" s="101">
        <f>$P$120*Module!$I$7*X307*Module!$I$5</f>
        <v>4.5161591711796705</v>
      </c>
      <c r="AQ307" s="151">
        <f t="shared" si="80"/>
        <v>1000000</v>
      </c>
      <c r="AS307" s="101">
        <f t="shared" si="95"/>
        <v>0</v>
      </c>
      <c r="AT307" s="101">
        <f>10+Module!$K$57/($AA$1+1)</f>
        <v>92.438394151029627</v>
      </c>
      <c r="AU307" s="101">
        <f>$AA$1*(25+Module!$I$6)</f>
        <v>101</v>
      </c>
      <c r="AV307" s="101">
        <f>(AT307*($Z$1+1)*0.002488974)/($Z$1+1)*Module!$I$5*Module!$I$7</f>
        <v>70.974999121916298</v>
      </c>
      <c r="AW307" s="101">
        <f>$P$120*Module!$I$7*X307*Module!$I$5</f>
        <v>4.5161591711796705</v>
      </c>
      <c r="AX307" s="151">
        <f t="shared" si="81"/>
        <v>1000000</v>
      </c>
      <c r="AZ307" s="101">
        <f t="shared" si="96"/>
        <v>0</v>
      </c>
      <c r="BA307" s="101">
        <f>10+Module!$K$57/($AB$1+1)</f>
        <v>71.82879561327222</v>
      </c>
      <c r="BB307" s="101">
        <f>$AB$1*(25+Module!$I$6)</f>
        <v>151.5</v>
      </c>
      <c r="BC307" s="101">
        <f>(BA307*($AB$1+1)*0.002488974)/($AB$1+1)*Module!$I$5*Module!$I$7</f>
        <v>55.150770979977231</v>
      </c>
      <c r="BD307" s="101">
        <f>$P$120*Module!$I$7*X307*Module!$I$5</f>
        <v>4.5161591711796705</v>
      </c>
      <c r="BE307" s="151">
        <f t="shared" si="82"/>
        <v>1000000</v>
      </c>
      <c r="BG307" s="101">
        <f t="shared" si="97"/>
        <v>0</v>
      </c>
      <c r="BH307" s="101">
        <f>10+Module!$K$57/($AC$1+1)</f>
        <v>59.463036490617775</v>
      </c>
      <c r="BI307" s="101">
        <f>$AC$1*(25+Module!$I$6)</f>
        <v>202</v>
      </c>
      <c r="BJ307" s="101">
        <f>(BH307*($AC$1+1)*0.002488974)/($AC$1+1)*Module!$I$5*Module!$I$7</f>
        <v>45.656234094813776</v>
      </c>
      <c r="BK307" s="101">
        <f>$P$120*Module!$I$7*X307*Module!$I$5</f>
        <v>4.5161591711796705</v>
      </c>
      <c r="BL307" s="151">
        <f t="shared" si="83"/>
        <v>1000000</v>
      </c>
    </row>
    <row r="308" spans="23:64" ht="15.75" hidden="1" thickBot="1">
      <c r="W308" s="777"/>
      <c r="X308" s="121">
        <f t="shared" si="84"/>
        <v>3</v>
      </c>
      <c r="Y308" s="122">
        <f>'calcul pneu pour calculateur'!P309</f>
        <v>229.54936880845224</v>
      </c>
      <c r="Z308" s="123">
        <f t="shared" si="90"/>
        <v>459.09873761690449</v>
      </c>
      <c r="AA308" s="123">
        <f t="shared" si="91"/>
        <v>688.64810642535667</v>
      </c>
      <c r="AB308" s="123">
        <f t="shared" si="92"/>
        <v>918.19747523380897</v>
      </c>
      <c r="AC308" s="123">
        <f t="shared" si="93"/>
        <v>1147.7468440422613</v>
      </c>
      <c r="AK308" s="121">
        <f t="shared" si="85"/>
        <v>3</v>
      </c>
      <c r="AL308" s="101">
        <f t="shared" si="94"/>
        <v>0</v>
      </c>
      <c r="AM308" s="101">
        <f>10+Module!$K$57/($Z$1+1)</f>
        <v>133.65759122654444</v>
      </c>
      <c r="AN308" s="101">
        <f>$Z$1*(25+Module!$I$6)</f>
        <v>50.5</v>
      </c>
      <c r="AO308" s="101">
        <f>(AM308*($Z$1+1)*0.002488974)/($Z$1+1)*Module!$I$5*Module!$I$7</f>
        <v>102.62345540579445</v>
      </c>
      <c r="AP308" s="101">
        <f>$P$120*Module!$I$7*X308*Module!$I$5</f>
        <v>6.774238756769507</v>
      </c>
      <c r="AQ308" s="151">
        <f t="shared" si="80"/>
        <v>1000000</v>
      </c>
      <c r="AS308" s="101">
        <f t="shared" si="95"/>
        <v>0</v>
      </c>
      <c r="AT308" s="101">
        <f>10+Module!$K$57/($AA$1+1)</f>
        <v>92.438394151029627</v>
      </c>
      <c r="AU308" s="101">
        <f>$AA$1*(25+Module!$I$6)</f>
        <v>101</v>
      </c>
      <c r="AV308" s="101">
        <f>(AT308*($Z$1+1)*0.002488974)/($Z$1+1)*Module!$I$5*Module!$I$7</f>
        <v>70.974999121916298</v>
      </c>
      <c r="AW308" s="101">
        <f>$P$120*Module!$I$7*X308*Module!$I$5</f>
        <v>6.774238756769507</v>
      </c>
      <c r="AX308" s="151">
        <f t="shared" si="81"/>
        <v>1000000</v>
      </c>
      <c r="AZ308" s="101">
        <f t="shared" si="96"/>
        <v>0</v>
      </c>
      <c r="BA308" s="101">
        <f>10+Module!$K$57/($AB$1+1)</f>
        <v>71.82879561327222</v>
      </c>
      <c r="BB308" s="101">
        <f>$AB$1*(25+Module!$I$6)</f>
        <v>151.5</v>
      </c>
      <c r="BC308" s="101">
        <f>(BA308*($AB$1+1)*0.002488974)/($AB$1+1)*Module!$I$5*Module!$I$7</f>
        <v>55.150770979977231</v>
      </c>
      <c r="BD308" s="101">
        <f>$P$120*Module!$I$7*X308*Module!$I$5</f>
        <v>6.774238756769507</v>
      </c>
      <c r="BE308" s="151">
        <f t="shared" si="82"/>
        <v>1000000</v>
      </c>
      <c r="BG308" s="101">
        <f t="shared" si="97"/>
        <v>0</v>
      </c>
      <c r="BH308" s="101">
        <f>10+Module!$K$57/($AC$1+1)</f>
        <v>59.463036490617775</v>
      </c>
      <c r="BI308" s="101">
        <f>$AC$1*(25+Module!$I$6)</f>
        <v>202</v>
      </c>
      <c r="BJ308" s="101">
        <f>(BH308*($AC$1+1)*0.002488974)/($AC$1+1)*Module!$I$5*Module!$I$7</f>
        <v>45.656234094813776</v>
      </c>
      <c r="BK308" s="101">
        <f>$P$120*Module!$I$7*X308*Module!$I$5</f>
        <v>6.774238756769507</v>
      </c>
      <c r="BL308" s="151">
        <f t="shared" si="83"/>
        <v>1000000</v>
      </c>
    </row>
    <row r="309" spans="23:64" ht="15.75" hidden="1" thickBot="1">
      <c r="W309" s="777"/>
      <c r="X309" s="121">
        <f t="shared" si="84"/>
        <v>4</v>
      </c>
      <c r="Y309" s="122">
        <f>'calcul pneu pour calculateur'!P310</f>
        <v>228.89172301407839</v>
      </c>
      <c r="Z309" s="123">
        <f t="shared" si="90"/>
        <v>457.78344602815679</v>
      </c>
      <c r="AA309" s="123">
        <f t="shared" si="91"/>
        <v>686.67516904223521</v>
      </c>
      <c r="AB309" s="123">
        <f t="shared" si="92"/>
        <v>915.56689205631358</v>
      </c>
      <c r="AC309" s="123">
        <f t="shared" si="93"/>
        <v>1144.4586150703919</v>
      </c>
      <c r="AK309" s="121">
        <f t="shared" si="85"/>
        <v>4</v>
      </c>
      <c r="AL309" s="101">
        <f t="shared" si="94"/>
        <v>0</v>
      </c>
      <c r="AM309" s="101">
        <f>10+Module!$K$57/($Z$1+1)</f>
        <v>133.65759122654444</v>
      </c>
      <c r="AN309" s="101">
        <f>$Z$1*(25+Module!$I$6)</f>
        <v>50.5</v>
      </c>
      <c r="AO309" s="101">
        <f>(AM309*($Z$1+1)*0.002488974)/($Z$1+1)*Module!$I$5*Module!$I$7</f>
        <v>102.62345540579445</v>
      </c>
      <c r="AP309" s="101">
        <f>$P$120*Module!$I$7*X309*Module!$I$5</f>
        <v>9.0323183423593409</v>
      </c>
      <c r="AQ309" s="151">
        <f t="shared" si="80"/>
        <v>1000000</v>
      </c>
      <c r="AS309" s="101">
        <f t="shared" si="95"/>
        <v>0</v>
      </c>
      <c r="AT309" s="101">
        <f>10+Module!$K$57/($AA$1+1)</f>
        <v>92.438394151029627</v>
      </c>
      <c r="AU309" s="101">
        <f>$AA$1*(25+Module!$I$6)</f>
        <v>101</v>
      </c>
      <c r="AV309" s="101">
        <f>(AT309*($Z$1+1)*0.002488974)/($Z$1+1)*Module!$I$5*Module!$I$7</f>
        <v>70.974999121916298</v>
      </c>
      <c r="AW309" s="101">
        <f>$P$120*Module!$I$7*X309*Module!$I$5</f>
        <v>9.0323183423593409</v>
      </c>
      <c r="AX309" s="151">
        <f t="shared" si="81"/>
        <v>1000000</v>
      </c>
      <c r="AZ309" s="101">
        <f t="shared" si="96"/>
        <v>0</v>
      </c>
      <c r="BA309" s="101">
        <f>10+Module!$K$57/($AB$1+1)</f>
        <v>71.82879561327222</v>
      </c>
      <c r="BB309" s="101">
        <f>$AB$1*(25+Module!$I$6)</f>
        <v>151.5</v>
      </c>
      <c r="BC309" s="101">
        <f>(BA309*($AB$1+1)*0.002488974)/($AB$1+1)*Module!$I$5*Module!$I$7</f>
        <v>55.150770979977231</v>
      </c>
      <c r="BD309" s="101">
        <f>$P$120*Module!$I$7*X309*Module!$I$5</f>
        <v>9.0323183423593409</v>
      </c>
      <c r="BE309" s="151">
        <f t="shared" si="82"/>
        <v>1000000</v>
      </c>
      <c r="BG309" s="101">
        <f t="shared" si="97"/>
        <v>0</v>
      </c>
      <c r="BH309" s="101">
        <f>10+Module!$K$57/($AC$1+1)</f>
        <v>59.463036490617775</v>
      </c>
      <c r="BI309" s="101">
        <f>$AC$1*(25+Module!$I$6)</f>
        <v>202</v>
      </c>
      <c r="BJ309" s="101">
        <f>(BH309*($AC$1+1)*0.002488974)/($AC$1+1)*Module!$I$5*Module!$I$7</f>
        <v>45.656234094813776</v>
      </c>
      <c r="BK309" s="101">
        <f>$P$120*Module!$I$7*X309*Module!$I$5</f>
        <v>9.0323183423593409</v>
      </c>
      <c r="BL309" s="151">
        <f t="shared" si="83"/>
        <v>1000000</v>
      </c>
    </row>
    <row r="310" spans="23:64" ht="15.75" hidden="1" thickBot="1">
      <c r="W310" s="777"/>
      <c r="X310" s="121">
        <f t="shared" si="84"/>
        <v>5</v>
      </c>
      <c r="Y310" s="122">
        <f>'calcul pneu pour calculateur'!P311</f>
        <v>228.23407721970455</v>
      </c>
      <c r="Z310" s="123">
        <f t="shared" si="90"/>
        <v>456.46815443940909</v>
      </c>
      <c r="AA310" s="123">
        <f t="shared" si="91"/>
        <v>684.70223165911364</v>
      </c>
      <c r="AB310" s="123">
        <f t="shared" si="92"/>
        <v>912.93630887881818</v>
      </c>
      <c r="AC310" s="123">
        <f t="shared" si="93"/>
        <v>1141.1703860985226</v>
      </c>
      <c r="AK310" s="121">
        <f t="shared" si="85"/>
        <v>5</v>
      </c>
      <c r="AL310" s="101">
        <f t="shared" si="94"/>
        <v>0</v>
      </c>
      <c r="AM310" s="101">
        <f>10+Module!$K$57/($Z$1+1)</f>
        <v>133.65759122654444</v>
      </c>
      <c r="AN310" s="101">
        <f>$Z$1*(25+Module!$I$6)</f>
        <v>50.5</v>
      </c>
      <c r="AO310" s="101">
        <f>(AM310*($Z$1+1)*0.002488974)/($Z$1+1)*Module!$I$5*Module!$I$7</f>
        <v>102.62345540579445</v>
      </c>
      <c r="AP310" s="101">
        <f>$P$120*Module!$I$7*X310*Module!$I$5</f>
        <v>11.290397927949178</v>
      </c>
      <c r="AQ310" s="151">
        <f t="shared" si="80"/>
        <v>1000000</v>
      </c>
      <c r="AS310" s="101">
        <f t="shared" si="95"/>
        <v>0</v>
      </c>
      <c r="AT310" s="101">
        <f>10+Module!$K$57/($AA$1+1)</f>
        <v>92.438394151029627</v>
      </c>
      <c r="AU310" s="101">
        <f>$AA$1*(25+Module!$I$6)</f>
        <v>101</v>
      </c>
      <c r="AV310" s="101">
        <f>(AT310*($Z$1+1)*0.002488974)/($Z$1+1)*Module!$I$5*Module!$I$7</f>
        <v>70.974999121916298</v>
      </c>
      <c r="AW310" s="101">
        <f>$P$120*Module!$I$7*X310*Module!$I$5</f>
        <v>11.290397927949178</v>
      </c>
      <c r="AX310" s="151">
        <f t="shared" si="81"/>
        <v>1000000</v>
      </c>
      <c r="AZ310" s="101">
        <f t="shared" si="96"/>
        <v>0</v>
      </c>
      <c r="BA310" s="101">
        <f>10+Module!$K$57/($AB$1+1)</f>
        <v>71.82879561327222</v>
      </c>
      <c r="BB310" s="101">
        <f>$AB$1*(25+Module!$I$6)</f>
        <v>151.5</v>
      </c>
      <c r="BC310" s="101">
        <f>(BA310*($AB$1+1)*0.002488974)/($AB$1+1)*Module!$I$5*Module!$I$7</f>
        <v>55.150770979977231</v>
      </c>
      <c r="BD310" s="101">
        <f>$P$120*Module!$I$7*X310*Module!$I$5</f>
        <v>11.290397927949178</v>
      </c>
      <c r="BE310" s="151">
        <f t="shared" si="82"/>
        <v>1000000</v>
      </c>
      <c r="BG310" s="101">
        <f t="shared" si="97"/>
        <v>0</v>
      </c>
      <c r="BH310" s="101">
        <f>10+Module!$K$57/($AC$1+1)</f>
        <v>59.463036490617775</v>
      </c>
      <c r="BI310" s="101">
        <f>$AC$1*(25+Module!$I$6)</f>
        <v>202</v>
      </c>
      <c r="BJ310" s="101">
        <f>(BH310*($AC$1+1)*0.002488974)/($AC$1+1)*Module!$I$5*Module!$I$7</f>
        <v>45.656234094813776</v>
      </c>
      <c r="BK310" s="101">
        <f>$P$120*Module!$I$7*X310*Module!$I$5</f>
        <v>11.290397927949178</v>
      </c>
      <c r="BL310" s="151">
        <f t="shared" si="83"/>
        <v>1000000</v>
      </c>
    </row>
    <row r="311" spans="23:64" ht="15.75" hidden="1" thickBot="1">
      <c r="W311" s="777"/>
      <c r="X311" s="121">
        <f t="shared" si="84"/>
        <v>6</v>
      </c>
      <c r="Y311" s="122">
        <f>'calcul pneu pour calculateur'!P312</f>
        <v>227.57643142533072</v>
      </c>
      <c r="Z311" s="123">
        <f t="shared" si="90"/>
        <v>455.15286285066145</v>
      </c>
      <c r="AA311" s="123">
        <f t="shared" si="91"/>
        <v>682.72929427599217</v>
      </c>
      <c r="AB311" s="123">
        <f t="shared" si="92"/>
        <v>910.3057257013229</v>
      </c>
      <c r="AC311" s="123">
        <f t="shared" si="93"/>
        <v>1137.8821571266535</v>
      </c>
      <c r="AK311" s="121">
        <f t="shared" si="85"/>
        <v>6</v>
      </c>
      <c r="AL311" s="101">
        <f t="shared" si="94"/>
        <v>0</v>
      </c>
      <c r="AM311" s="101">
        <f>10+Module!$K$57/($Z$1+1)</f>
        <v>133.65759122654444</v>
      </c>
      <c r="AN311" s="101">
        <f>$Z$1*(25+Module!$I$6)</f>
        <v>50.5</v>
      </c>
      <c r="AO311" s="101">
        <f>(AM311*($Z$1+1)*0.002488974)/($Z$1+1)*Module!$I$5*Module!$I$7</f>
        <v>102.62345540579445</v>
      </c>
      <c r="AP311" s="101">
        <f>$P$120*Module!$I$7*X311*Module!$I$5</f>
        <v>13.548477513539014</v>
      </c>
      <c r="AQ311" s="151">
        <f t="shared" si="80"/>
        <v>1000000</v>
      </c>
      <c r="AS311" s="101">
        <f t="shared" si="95"/>
        <v>0</v>
      </c>
      <c r="AT311" s="101">
        <f>10+Module!$K$57/($AA$1+1)</f>
        <v>92.438394151029627</v>
      </c>
      <c r="AU311" s="101">
        <f>$AA$1*(25+Module!$I$6)</f>
        <v>101</v>
      </c>
      <c r="AV311" s="101">
        <f>(AT311*($Z$1+1)*0.002488974)/($Z$1+1)*Module!$I$5*Module!$I$7</f>
        <v>70.974999121916298</v>
      </c>
      <c r="AW311" s="101">
        <f>$P$120*Module!$I$7*X311*Module!$I$5</f>
        <v>13.548477513539014</v>
      </c>
      <c r="AX311" s="151">
        <f t="shared" si="81"/>
        <v>1000000</v>
      </c>
      <c r="AZ311" s="101">
        <f t="shared" si="96"/>
        <v>0</v>
      </c>
      <c r="BA311" s="101">
        <f>10+Module!$K$57/($AB$1+1)</f>
        <v>71.82879561327222</v>
      </c>
      <c r="BB311" s="101">
        <f>$AB$1*(25+Module!$I$6)</f>
        <v>151.5</v>
      </c>
      <c r="BC311" s="101">
        <f>(BA311*($AB$1+1)*0.002488974)/($AB$1+1)*Module!$I$5*Module!$I$7</f>
        <v>55.150770979977231</v>
      </c>
      <c r="BD311" s="101">
        <f>$P$120*Module!$I$7*X311*Module!$I$5</f>
        <v>13.548477513539014</v>
      </c>
      <c r="BE311" s="151">
        <f t="shared" si="82"/>
        <v>1000000</v>
      </c>
      <c r="BG311" s="101">
        <f t="shared" si="97"/>
        <v>0</v>
      </c>
      <c r="BH311" s="101">
        <f>10+Module!$K$57/($AC$1+1)</f>
        <v>59.463036490617775</v>
      </c>
      <c r="BI311" s="101">
        <f>$AC$1*(25+Module!$I$6)</f>
        <v>202</v>
      </c>
      <c r="BJ311" s="101">
        <f>(BH311*($AC$1+1)*0.002488974)/($AC$1+1)*Module!$I$5*Module!$I$7</f>
        <v>45.656234094813776</v>
      </c>
      <c r="BK311" s="101">
        <f>$P$120*Module!$I$7*X311*Module!$I$5</f>
        <v>13.548477513539014</v>
      </c>
      <c r="BL311" s="151">
        <f t="shared" si="83"/>
        <v>1000000</v>
      </c>
    </row>
    <row r="312" spans="23:64" ht="15.75" hidden="1" thickBot="1">
      <c r="W312" s="777"/>
      <c r="X312" s="121">
        <f t="shared" si="84"/>
        <v>7</v>
      </c>
      <c r="Y312" s="122">
        <f>'calcul pneu pour calculateur'!P313</f>
        <v>226.91878563095688</v>
      </c>
      <c r="Z312" s="123">
        <f t="shared" si="90"/>
        <v>453.83757126191375</v>
      </c>
      <c r="AA312" s="123">
        <f t="shared" si="91"/>
        <v>680.7563568928706</v>
      </c>
      <c r="AB312" s="123">
        <f t="shared" si="92"/>
        <v>907.6751425238275</v>
      </c>
      <c r="AC312" s="123">
        <f t="shared" si="93"/>
        <v>1134.5939281547844</v>
      </c>
      <c r="AK312" s="121">
        <f t="shared" si="85"/>
        <v>7</v>
      </c>
      <c r="AL312" s="101">
        <f t="shared" si="94"/>
        <v>0</v>
      </c>
      <c r="AM312" s="101">
        <f>10+Module!$K$57/($Z$1+1)</f>
        <v>133.65759122654444</v>
      </c>
      <c r="AN312" s="101">
        <f>$Z$1*(25+Module!$I$6)</f>
        <v>50.5</v>
      </c>
      <c r="AO312" s="101">
        <f>(AM312*($Z$1+1)*0.002488974)/($Z$1+1)*Module!$I$5*Module!$I$7</f>
        <v>102.62345540579445</v>
      </c>
      <c r="AP312" s="101">
        <f>$P$120*Module!$I$7*X312*Module!$I$5</f>
        <v>15.806557099128847</v>
      </c>
      <c r="AQ312" s="151">
        <f t="shared" si="80"/>
        <v>1000000</v>
      </c>
      <c r="AS312" s="101">
        <f t="shared" si="95"/>
        <v>0</v>
      </c>
      <c r="AT312" s="101">
        <f>10+Module!$K$57/($AA$1+1)</f>
        <v>92.438394151029627</v>
      </c>
      <c r="AU312" s="101">
        <f>$AA$1*(25+Module!$I$6)</f>
        <v>101</v>
      </c>
      <c r="AV312" s="101">
        <f>(AT312*($Z$1+1)*0.002488974)/($Z$1+1)*Module!$I$5*Module!$I$7</f>
        <v>70.974999121916298</v>
      </c>
      <c r="AW312" s="101">
        <f>$P$120*Module!$I$7*X312*Module!$I$5</f>
        <v>15.806557099128847</v>
      </c>
      <c r="AX312" s="151">
        <f t="shared" si="81"/>
        <v>1000000</v>
      </c>
      <c r="AZ312" s="101">
        <f t="shared" si="96"/>
        <v>0</v>
      </c>
      <c r="BA312" s="101">
        <f>10+Module!$K$57/($AB$1+1)</f>
        <v>71.82879561327222</v>
      </c>
      <c r="BB312" s="101">
        <f>$AB$1*(25+Module!$I$6)</f>
        <v>151.5</v>
      </c>
      <c r="BC312" s="101">
        <f>(BA312*($AB$1+1)*0.002488974)/($AB$1+1)*Module!$I$5*Module!$I$7</f>
        <v>55.150770979977231</v>
      </c>
      <c r="BD312" s="101">
        <f>$P$120*Module!$I$7*X312*Module!$I$5</f>
        <v>15.806557099128847</v>
      </c>
      <c r="BE312" s="151">
        <f t="shared" si="82"/>
        <v>1000000</v>
      </c>
      <c r="BG312" s="101">
        <f t="shared" si="97"/>
        <v>0</v>
      </c>
      <c r="BH312" s="101">
        <f>10+Module!$K$57/($AC$1+1)</f>
        <v>59.463036490617775</v>
      </c>
      <c r="BI312" s="101">
        <f>$AC$1*(25+Module!$I$6)</f>
        <v>202</v>
      </c>
      <c r="BJ312" s="101">
        <f>(BH312*($AC$1+1)*0.002488974)/($AC$1+1)*Module!$I$5*Module!$I$7</f>
        <v>45.656234094813776</v>
      </c>
      <c r="BK312" s="101">
        <f>$P$120*Module!$I$7*X312*Module!$I$5</f>
        <v>15.806557099128847</v>
      </c>
      <c r="BL312" s="151">
        <f t="shared" si="83"/>
        <v>1000000</v>
      </c>
    </row>
    <row r="313" spans="23:64" ht="15.75" hidden="1" thickBot="1">
      <c r="W313" s="777"/>
      <c r="X313" s="121">
        <f t="shared" si="84"/>
        <v>8</v>
      </c>
      <c r="Y313" s="122">
        <f>'calcul pneu pour calculateur'!P314</f>
        <v>226.26113983658306</v>
      </c>
      <c r="Z313" s="123">
        <f t="shared" si="90"/>
        <v>452.52227967316611</v>
      </c>
      <c r="AA313" s="123">
        <f t="shared" si="91"/>
        <v>678.78341950974914</v>
      </c>
      <c r="AB313" s="123">
        <f t="shared" si="92"/>
        <v>905.04455934633222</v>
      </c>
      <c r="AC313" s="123">
        <f t="shared" si="93"/>
        <v>1131.3056991829153</v>
      </c>
      <c r="AK313" s="121">
        <f t="shared" si="85"/>
        <v>8</v>
      </c>
      <c r="AL313" s="101">
        <f t="shared" si="94"/>
        <v>0</v>
      </c>
      <c r="AM313" s="101">
        <f>10+Module!$K$57/($Z$1+1)</f>
        <v>133.65759122654444</v>
      </c>
      <c r="AN313" s="101">
        <f>$Z$1*(25+Module!$I$6)</f>
        <v>50.5</v>
      </c>
      <c r="AO313" s="101">
        <f>(AM313*($Z$1+1)*0.002488974)/($Z$1+1)*Module!$I$5*Module!$I$7</f>
        <v>102.62345540579445</v>
      </c>
      <c r="AP313" s="101">
        <f>$P$120*Module!$I$7*X313*Module!$I$5</f>
        <v>18.064636684718682</v>
      </c>
      <c r="AQ313" s="151">
        <f t="shared" si="80"/>
        <v>1000000</v>
      </c>
      <c r="AS313" s="101">
        <f t="shared" si="95"/>
        <v>0</v>
      </c>
      <c r="AT313" s="101">
        <f>10+Module!$K$57/($AA$1+1)</f>
        <v>92.438394151029627</v>
      </c>
      <c r="AU313" s="101">
        <f>$AA$1*(25+Module!$I$6)</f>
        <v>101</v>
      </c>
      <c r="AV313" s="101">
        <f>(AT313*($Z$1+1)*0.002488974)/($Z$1+1)*Module!$I$5*Module!$I$7</f>
        <v>70.974999121916298</v>
      </c>
      <c r="AW313" s="101">
        <f>$P$120*Module!$I$7*X313*Module!$I$5</f>
        <v>18.064636684718682</v>
      </c>
      <c r="AX313" s="151">
        <f t="shared" si="81"/>
        <v>1000000</v>
      </c>
      <c r="AZ313" s="101">
        <f t="shared" si="96"/>
        <v>0</v>
      </c>
      <c r="BA313" s="101">
        <f>10+Module!$K$57/($AB$1+1)</f>
        <v>71.82879561327222</v>
      </c>
      <c r="BB313" s="101">
        <f>$AB$1*(25+Module!$I$6)</f>
        <v>151.5</v>
      </c>
      <c r="BC313" s="101">
        <f>(BA313*($AB$1+1)*0.002488974)/($AB$1+1)*Module!$I$5*Module!$I$7</f>
        <v>55.150770979977231</v>
      </c>
      <c r="BD313" s="101">
        <f>$P$120*Module!$I$7*X313*Module!$I$5</f>
        <v>18.064636684718682</v>
      </c>
      <c r="BE313" s="151">
        <f t="shared" si="82"/>
        <v>1000000</v>
      </c>
      <c r="BG313" s="101">
        <f t="shared" si="97"/>
        <v>0</v>
      </c>
      <c r="BH313" s="101">
        <f>10+Module!$K$57/($AC$1+1)</f>
        <v>59.463036490617775</v>
      </c>
      <c r="BI313" s="101">
        <f>$AC$1*(25+Module!$I$6)</f>
        <v>202</v>
      </c>
      <c r="BJ313" s="101">
        <f>(BH313*($AC$1+1)*0.002488974)/($AC$1+1)*Module!$I$5*Module!$I$7</f>
        <v>45.656234094813776</v>
      </c>
      <c r="BK313" s="101">
        <f>$P$120*Module!$I$7*X313*Module!$I$5</f>
        <v>18.064636684718682</v>
      </c>
      <c r="BL313" s="151">
        <f t="shared" si="83"/>
        <v>1000000</v>
      </c>
    </row>
    <row r="314" spans="23:64" ht="15.75" hidden="1" thickBot="1">
      <c r="W314" s="777"/>
      <c r="X314" s="121">
        <f t="shared" si="84"/>
        <v>9</v>
      </c>
      <c r="Y314" s="122">
        <f>'calcul pneu pour calculateur'!P315</f>
        <v>225.60349404220921</v>
      </c>
      <c r="Z314" s="123">
        <f t="shared" si="90"/>
        <v>451.20698808441841</v>
      </c>
      <c r="AA314" s="123">
        <f t="shared" si="91"/>
        <v>676.81048212662768</v>
      </c>
      <c r="AB314" s="123">
        <f t="shared" si="92"/>
        <v>902.41397616883683</v>
      </c>
      <c r="AC314" s="123">
        <f t="shared" si="93"/>
        <v>1128.017470211046</v>
      </c>
      <c r="AK314" s="121">
        <f t="shared" si="85"/>
        <v>9</v>
      </c>
      <c r="AL314" s="101">
        <f t="shared" si="94"/>
        <v>0</v>
      </c>
      <c r="AM314" s="101">
        <f>10+Module!$K$57/($Z$1+1)</f>
        <v>133.65759122654444</v>
      </c>
      <c r="AN314" s="101">
        <f>$Z$1*(25+Module!$I$6)</f>
        <v>50.5</v>
      </c>
      <c r="AO314" s="101">
        <f>(AM314*($Z$1+1)*0.002488974)/($Z$1+1)*Module!$I$5*Module!$I$7</f>
        <v>102.62345540579445</v>
      </c>
      <c r="AP314" s="101">
        <f>$P$120*Module!$I$7*X314*Module!$I$5</f>
        <v>20.322716270308518</v>
      </c>
      <c r="AQ314" s="151">
        <f t="shared" si="80"/>
        <v>1000000</v>
      </c>
      <c r="AS314" s="101">
        <f t="shared" si="95"/>
        <v>0</v>
      </c>
      <c r="AT314" s="101">
        <f>10+Module!$K$57/($AA$1+1)</f>
        <v>92.438394151029627</v>
      </c>
      <c r="AU314" s="101">
        <f>$AA$1*(25+Module!$I$6)</f>
        <v>101</v>
      </c>
      <c r="AV314" s="101">
        <f>(AT314*($Z$1+1)*0.002488974)/($Z$1+1)*Module!$I$5*Module!$I$7</f>
        <v>70.974999121916298</v>
      </c>
      <c r="AW314" s="101">
        <f>$P$120*Module!$I$7*X314*Module!$I$5</f>
        <v>20.322716270308518</v>
      </c>
      <c r="AX314" s="151">
        <f t="shared" si="81"/>
        <v>1000000</v>
      </c>
      <c r="AZ314" s="101">
        <f t="shared" si="96"/>
        <v>0</v>
      </c>
      <c r="BA314" s="101">
        <f>10+Module!$K$57/($AB$1+1)</f>
        <v>71.82879561327222</v>
      </c>
      <c r="BB314" s="101">
        <f>$AB$1*(25+Module!$I$6)</f>
        <v>151.5</v>
      </c>
      <c r="BC314" s="101">
        <f>(BA314*($AB$1+1)*0.002488974)/($AB$1+1)*Module!$I$5*Module!$I$7</f>
        <v>55.150770979977231</v>
      </c>
      <c r="BD314" s="101">
        <f>$P$120*Module!$I$7*X314*Module!$I$5</f>
        <v>20.322716270308518</v>
      </c>
      <c r="BE314" s="151">
        <f t="shared" si="82"/>
        <v>1000000</v>
      </c>
      <c r="BG314" s="101">
        <f t="shared" si="97"/>
        <v>0</v>
      </c>
      <c r="BH314" s="101">
        <f>10+Module!$K$57/($AC$1+1)</f>
        <v>59.463036490617775</v>
      </c>
      <c r="BI314" s="101">
        <f>$AC$1*(25+Module!$I$6)</f>
        <v>202</v>
      </c>
      <c r="BJ314" s="101">
        <f>(BH314*($AC$1+1)*0.002488974)/($AC$1+1)*Module!$I$5*Module!$I$7</f>
        <v>45.656234094813776</v>
      </c>
      <c r="BK314" s="101">
        <f>$P$120*Module!$I$7*X314*Module!$I$5</f>
        <v>20.322716270308518</v>
      </c>
      <c r="BL314" s="151">
        <f t="shared" si="83"/>
        <v>1000000</v>
      </c>
    </row>
    <row r="315" spans="23:64" ht="15.75" hidden="1" thickBot="1">
      <c r="W315" s="777"/>
      <c r="X315" s="121">
        <f t="shared" si="84"/>
        <v>10</v>
      </c>
      <c r="Y315" s="122">
        <f>'calcul pneu pour calculateur'!P316</f>
        <v>224.94584824783539</v>
      </c>
      <c r="Z315" s="123">
        <f t="shared" si="90"/>
        <v>449.89169649567077</v>
      </c>
      <c r="AA315" s="123">
        <f t="shared" si="91"/>
        <v>674.83754474350621</v>
      </c>
      <c r="AB315" s="123">
        <f t="shared" si="92"/>
        <v>899.78339299134154</v>
      </c>
      <c r="AC315" s="123">
        <f t="shared" si="93"/>
        <v>1124.7292412391769</v>
      </c>
      <c r="AK315" s="121">
        <f t="shared" si="85"/>
        <v>10</v>
      </c>
      <c r="AL315" s="101">
        <f t="shared" si="94"/>
        <v>0</v>
      </c>
      <c r="AM315" s="101">
        <f>10+Module!$K$57/($Z$1+1)</f>
        <v>133.65759122654444</v>
      </c>
      <c r="AN315" s="101">
        <f>$Z$1*(25+Module!$I$6)</f>
        <v>50.5</v>
      </c>
      <c r="AO315" s="101">
        <f>(AM315*($Z$1+1)*0.002488974)/($Z$1+1)*Module!$I$5*Module!$I$7</f>
        <v>102.62345540579445</v>
      </c>
      <c r="AP315" s="101">
        <f>$P$120*Module!$I$7*X315*Module!$I$5</f>
        <v>22.580795855898355</v>
      </c>
      <c r="AQ315" s="151">
        <f t="shared" si="80"/>
        <v>1000000</v>
      </c>
      <c r="AS315" s="101">
        <f t="shared" si="95"/>
        <v>0</v>
      </c>
      <c r="AT315" s="101">
        <f>10+Module!$K$57/($AA$1+1)</f>
        <v>92.438394151029627</v>
      </c>
      <c r="AU315" s="101">
        <f>$AA$1*(25+Module!$I$6)</f>
        <v>101</v>
      </c>
      <c r="AV315" s="101">
        <f>(AT315*($Z$1+1)*0.002488974)/($Z$1+1)*Module!$I$5*Module!$I$7</f>
        <v>70.974999121916298</v>
      </c>
      <c r="AW315" s="101">
        <f>$P$120*Module!$I$7*X315*Module!$I$5</f>
        <v>22.580795855898355</v>
      </c>
      <c r="AX315" s="151">
        <f t="shared" si="81"/>
        <v>1000000</v>
      </c>
      <c r="AZ315" s="101">
        <f t="shared" si="96"/>
        <v>0</v>
      </c>
      <c r="BA315" s="101">
        <f>10+Module!$K$57/($AB$1+1)</f>
        <v>71.82879561327222</v>
      </c>
      <c r="BB315" s="101">
        <f>$AB$1*(25+Module!$I$6)</f>
        <v>151.5</v>
      </c>
      <c r="BC315" s="101">
        <f>(BA315*($AB$1+1)*0.002488974)/($AB$1+1)*Module!$I$5*Module!$I$7</f>
        <v>55.150770979977231</v>
      </c>
      <c r="BD315" s="101">
        <f>$P$120*Module!$I$7*X315*Module!$I$5</f>
        <v>22.580795855898355</v>
      </c>
      <c r="BE315" s="151">
        <f t="shared" si="82"/>
        <v>1000000</v>
      </c>
      <c r="BG315" s="101">
        <f t="shared" si="97"/>
        <v>0</v>
      </c>
      <c r="BH315" s="101">
        <f>10+Module!$K$57/($AC$1+1)</f>
        <v>59.463036490617775</v>
      </c>
      <c r="BI315" s="101">
        <f>$AC$1*(25+Module!$I$6)</f>
        <v>202</v>
      </c>
      <c r="BJ315" s="101">
        <f>(BH315*($AC$1+1)*0.002488974)/($AC$1+1)*Module!$I$5*Module!$I$7</f>
        <v>45.656234094813776</v>
      </c>
      <c r="BK315" s="101">
        <f>$P$120*Module!$I$7*X315*Module!$I$5</f>
        <v>22.580795855898355</v>
      </c>
      <c r="BL315" s="151">
        <f t="shared" si="83"/>
        <v>1000000</v>
      </c>
    </row>
    <row r="316" spans="23:64" ht="15.75" hidden="1" thickBot="1">
      <c r="W316" s="777"/>
      <c r="X316" s="121">
        <f t="shared" si="84"/>
        <v>11</v>
      </c>
      <c r="Y316" s="122">
        <f>'calcul pneu pour calculateur'!P317</f>
        <v>224.28820245346157</v>
      </c>
      <c r="Z316" s="123">
        <f t="shared" si="90"/>
        <v>448.57640490692313</v>
      </c>
      <c r="AA316" s="123">
        <f t="shared" si="91"/>
        <v>672.86460736038475</v>
      </c>
      <c r="AB316" s="123">
        <f t="shared" si="92"/>
        <v>897.15280981384626</v>
      </c>
      <c r="AC316" s="123">
        <f t="shared" si="93"/>
        <v>1121.4410122673078</v>
      </c>
      <c r="AK316" s="121">
        <f t="shared" si="85"/>
        <v>11</v>
      </c>
      <c r="AL316" s="101">
        <f t="shared" si="94"/>
        <v>0</v>
      </c>
      <c r="AM316" s="101">
        <f>10+Module!$K$57/($Z$1+1)</f>
        <v>133.65759122654444</v>
      </c>
      <c r="AN316" s="101">
        <f>$Z$1*(25+Module!$I$6)</f>
        <v>50.5</v>
      </c>
      <c r="AO316" s="101">
        <f>(AM316*($Z$1+1)*0.002488974)/($Z$1+1)*Module!$I$5*Module!$I$7</f>
        <v>102.62345540579445</v>
      </c>
      <c r="AP316" s="101">
        <f>$P$120*Module!$I$7*X316*Module!$I$5</f>
        <v>24.838875441488192</v>
      </c>
      <c r="AQ316" s="151">
        <f t="shared" si="80"/>
        <v>1000000</v>
      </c>
      <c r="AS316" s="101">
        <f t="shared" si="95"/>
        <v>0</v>
      </c>
      <c r="AT316" s="101">
        <f>10+Module!$K$57/($AA$1+1)</f>
        <v>92.438394151029627</v>
      </c>
      <c r="AU316" s="101">
        <f>$AA$1*(25+Module!$I$6)</f>
        <v>101</v>
      </c>
      <c r="AV316" s="101">
        <f>(AT316*($Z$1+1)*0.002488974)/($Z$1+1)*Module!$I$5*Module!$I$7</f>
        <v>70.974999121916298</v>
      </c>
      <c r="AW316" s="101">
        <f>$P$120*Module!$I$7*X316*Module!$I$5</f>
        <v>24.838875441488192</v>
      </c>
      <c r="AX316" s="151">
        <f t="shared" si="81"/>
        <v>1000000</v>
      </c>
      <c r="AZ316" s="101">
        <f t="shared" si="96"/>
        <v>0</v>
      </c>
      <c r="BA316" s="101">
        <f>10+Module!$K$57/($AB$1+1)</f>
        <v>71.82879561327222</v>
      </c>
      <c r="BB316" s="101">
        <f>$AB$1*(25+Module!$I$6)</f>
        <v>151.5</v>
      </c>
      <c r="BC316" s="101">
        <f>(BA316*($AB$1+1)*0.002488974)/($AB$1+1)*Module!$I$5*Module!$I$7</f>
        <v>55.150770979977231</v>
      </c>
      <c r="BD316" s="101">
        <f>$P$120*Module!$I$7*X316*Module!$I$5</f>
        <v>24.838875441488192</v>
      </c>
      <c r="BE316" s="151">
        <f t="shared" si="82"/>
        <v>1000000</v>
      </c>
      <c r="BG316" s="101">
        <f t="shared" si="97"/>
        <v>0</v>
      </c>
      <c r="BH316" s="101">
        <f>10+Module!$K$57/($AC$1+1)</f>
        <v>59.463036490617775</v>
      </c>
      <c r="BI316" s="101">
        <f>$AC$1*(25+Module!$I$6)</f>
        <v>202</v>
      </c>
      <c r="BJ316" s="101">
        <f>(BH316*($AC$1+1)*0.002488974)/($AC$1+1)*Module!$I$5*Module!$I$7</f>
        <v>45.656234094813776</v>
      </c>
      <c r="BK316" s="101">
        <f>$P$120*Module!$I$7*X316*Module!$I$5</f>
        <v>24.838875441488192</v>
      </c>
      <c r="BL316" s="151">
        <f t="shared" si="83"/>
        <v>1000000</v>
      </c>
    </row>
    <row r="317" spans="23:64" ht="15.75" hidden="1" thickBot="1">
      <c r="W317" s="777"/>
      <c r="X317" s="121">
        <f t="shared" si="84"/>
        <v>12</v>
      </c>
      <c r="Y317" s="122">
        <f>'calcul pneu pour calculateur'!P318</f>
        <v>223.63055665908772</v>
      </c>
      <c r="Z317" s="123">
        <f t="shared" si="90"/>
        <v>447.26111331817543</v>
      </c>
      <c r="AA317" s="123">
        <f t="shared" si="91"/>
        <v>670.89166997726318</v>
      </c>
      <c r="AB317" s="123">
        <f t="shared" si="92"/>
        <v>894.52222663635087</v>
      </c>
      <c r="AC317" s="123">
        <f t="shared" si="93"/>
        <v>1118.1527832954387</v>
      </c>
      <c r="AK317" s="121">
        <f t="shared" si="85"/>
        <v>12</v>
      </c>
      <c r="AL317" s="101">
        <f t="shared" si="94"/>
        <v>0</v>
      </c>
      <c r="AM317" s="101">
        <f>10+Module!$K$57/($Z$1+1)</f>
        <v>133.65759122654444</v>
      </c>
      <c r="AN317" s="101">
        <f>$Z$1*(25+Module!$I$6)</f>
        <v>50.5</v>
      </c>
      <c r="AO317" s="101">
        <f>(AM317*($Z$1+1)*0.002488974)/($Z$1+1)*Module!$I$5*Module!$I$7</f>
        <v>102.62345540579445</v>
      </c>
      <c r="AP317" s="101">
        <f>$P$120*Module!$I$7*X317*Module!$I$5</f>
        <v>27.096955027078028</v>
      </c>
      <c r="AQ317" s="151">
        <f t="shared" si="80"/>
        <v>1000000</v>
      </c>
      <c r="AS317" s="101">
        <f t="shared" si="95"/>
        <v>0</v>
      </c>
      <c r="AT317" s="101">
        <f>10+Module!$K$57/($AA$1+1)</f>
        <v>92.438394151029627</v>
      </c>
      <c r="AU317" s="101">
        <f>$AA$1*(25+Module!$I$6)</f>
        <v>101</v>
      </c>
      <c r="AV317" s="101">
        <f>(AT317*($Z$1+1)*0.002488974)/($Z$1+1)*Module!$I$5*Module!$I$7</f>
        <v>70.974999121916298</v>
      </c>
      <c r="AW317" s="101">
        <f>$P$120*Module!$I$7*X317*Module!$I$5</f>
        <v>27.096955027078028</v>
      </c>
      <c r="AX317" s="151">
        <f t="shared" si="81"/>
        <v>1000000</v>
      </c>
      <c r="AZ317" s="101">
        <f t="shared" si="96"/>
        <v>0</v>
      </c>
      <c r="BA317" s="101">
        <f>10+Module!$K$57/($AB$1+1)</f>
        <v>71.82879561327222</v>
      </c>
      <c r="BB317" s="101">
        <f>$AB$1*(25+Module!$I$6)</f>
        <v>151.5</v>
      </c>
      <c r="BC317" s="101">
        <f>(BA317*($AB$1+1)*0.002488974)/($AB$1+1)*Module!$I$5*Module!$I$7</f>
        <v>55.150770979977231</v>
      </c>
      <c r="BD317" s="101">
        <f>$P$120*Module!$I$7*X317*Module!$I$5</f>
        <v>27.096955027078028</v>
      </c>
      <c r="BE317" s="151">
        <f t="shared" si="82"/>
        <v>1000000</v>
      </c>
      <c r="BG317" s="101">
        <f t="shared" si="97"/>
        <v>0</v>
      </c>
      <c r="BH317" s="101">
        <f>10+Module!$K$57/($AC$1+1)</f>
        <v>59.463036490617775</v>
      </c>
      <c r="BI317" s="101">
        <f>$AC$1*(25+Module!$I$6)</f>
        <v>202</v>
      </c>
      <c r="BJ317" s="101">
        <f>(BH317*($AC$1+1)*0.002488974)/($AC$1+1)*Module!$I$5*Module!$I$7</f>
        <v>45.656234094813776</v>
      </c>
      <c r="BK317" s="101">
        <f>$P$120*Module!$I$7*X317*Module!$I$5</f>
        <v>27.096955027078028</v>
      </c>
      <c r="BL317" s="151">
        <f t="shared" si="83"/>
        <v>1000000</v>
      </c>
    </row>
    <row r="318" spans="23:64" ht="15.75" hidden="1" thickBot="1">
      <c r="W318" s="777"/>
      <c r="X318" s="121">
        <f t="shared" si="84"/>
        <v>13</v>
      </c>
      <c r="Y318" s="122">
        <f>'calcul pneu pour calculateur'!P319</f>
        <v>222.97291086471387</v>
      </c>
      <c r="Z318" s="123">
        <f t="shared" si="90"/>
        <v>445.94582172942773</v>
      </c>
      <c r="AA318" s="123">
        <f t="shared" si="91"/>
        <v>668.9187325941416</v>
      </c>
      <c r="AB318" s="123">
        <f t="shared" si="92"/>
        <v>891.89164345885547</v>
      </c>
      <c r="AC318" s="123">
        <f t="shared" si="93"/>
        <v>1114.8645543235693</v>
      </c>
      <c r="AK318" s="121">
        <f t="shared" si="85"/>
        <v>13</v>
      </c>
      <c r="AL318" s="101">
        <f t="shared" si="94"/>
        <v>0</v>
      </c>
      <c r="AM318" s="101">
        <f>10+Module!$K$57/($Z$1+1)</f>
        <v>133.65759122654444</v>
      </c>
      <c r="AN318" s="101">
        <f>$Z$1*(25+Module!$I$6)</f>
        <v>50.5</v>
      </c>
      <c r="AO318" s="101">
        <f>(AM318*($Z$1+1)*0.002488974)/($Z$1+1)*Module!$I$5*Module!$I$7</f>
        <v>102.62345540579445</v>
      </c>
      <c r="AP318" s="101">
        <f>$P$120*Module!$I$7*X318*Module!$I$5</f>
        <v>29.355034612667861</v>
      </c>
      <c r="AQ318" s="151">
        <f t="shared" si="80"/>
        <v>1000000</v>
      </c>
      <c r="AS318" s="101">
        <f t="shared" si="95"/>
        <v>0</v>
      </c>
      <c r="AT318" s="101">
        <f>10+Module!$K$57/($AA$1+1)</f>
        <v>92.438394151029627</v>
      </c>
      <c r="AU318" s="101">
        <f>$AA$1*(25+Module!$I$6)</f>
        <v>101</v>
      </c>
      <c r="AV318" s="101">
        <f>(AT318*($Z$1+1)*0.002488974)/($Z$1+1)*Module!$I$5*Module!$I$7</f>
        <v>70.974999121916298</v>
      </c>
      <c r="AW318" s="101">
        <f>$P$120*Module!$I$7*X318*Module!$I$5</f>
        <v>29.355034612667861</v>
      </c>
      <c r="AX318" s="151">
        <f t="shared" si="81"/>
        <v>1000000</v>
      </c>
      <c r="AZ318" s="101">
        <f t="shared" si="96"/>
        <v>0</v>
      </c>
      <c r="BA318" s="101">
        <f>10+Module!$K$57/($AB$1+1)</f>
        <v>71.82879561327222</v>
      </c>
      <c r="BB318" s="101">
        <f>$AB$1*(25+Module!$I$6)</f>
        <v>151.5</v>
      </c>
      <c r="BC318" s="101">
        <f>(BA318*($AB$1+1)*0.002488974)/($AB$1+1)*Module!$I$5*Module!$I$7</f>
        <v>55.150770979977231</v>
      </c>
      <c r="BD318" s="101">
        <f>$P$120*Module!$I$7*X318*Module!$I$5</f>
        <v>29.355034612667861</v>
      </c>
      <c r="BE318" s="151">
        <f t="shared" si="82"/>
        <v>1000000</v>
      </c>
      <c r="BG318" s="101">
        <f t="shared" si="97"/>
        <v>0</v>
      </c>
      <c r="BH318" s="101">
        <f>10+Module!$K$57/($AC$1+1)</f>
        <v>59.463036490617775</v>
      </c>
      <c r="BI318" s="101">
        <f>$AC$1*(25+Module!$I$6)</f>
        <v>202</v>
      </c>
      <c r="BJ318" s="101">
        <f>(BH318*($AC$1+1)*0.002488974)/($AC$1+1)*Module!$I$5*Module!$I$7</f>
        <v>45.656234094813776</v>
      </c>
      <c r="BK318" s="101">
        <f>$P$120*Module!$I$7*X318*Module!$I$5</f>
        <v>29.355034612667861</v>
      </c>
      <c r="BL318" s="151">
        <f t="shared" si="83"/>
        <v>1000000</v>
      </c>
    </row>
    <row r="319" spans="23:64" ht="15.75" hidden="1" thickBot="1">
      <c r="W319" s="777"/>
      <c r="X319" s="121">
        <f t="shared" si="84"/>
        <v>14</v>
      </c>
      <c r="Y319" s="122">
        <f>'calcul pneu pour calculateur'!P320</f>
        <v>222.31526507034005</v>
      </c>
      <c r="Z319" s="123">
        <f t="shared" si="90"/>
        <v>444.63053014068009</v>
      </c>
      <c r="AA319" s="123">
        <f t="shared" si="91"/>
        <v>666.94579521102014</v>
      </c>
      <c r="AB319" s="123">
        <f t="shared" si="92"/>
        <v>889.26106028136019</v>
      </c>
      <c r="AC319" s="123">
        <f t="shared" si="93"/>
        <v>1111.5763253517002</v>
      </c>
      <c r="AK319" s="121">
        <f t="shared" si="85"/>
        <v>14</v>
      </c>
      <c r="AL319" s="101">
        <f t="shared" si="94"/>
        <v>0</v>
      </c>
      <c r="AM319" s="101">
        <f>10+Module!$K$57/($Z$1+1)</f>
        <v>133.65759122654444</v>
      </c>
      <c r="AN319" s="101">
        <f>$Z$1*(25+Module!$I$6)</f>
        <v>50.5</v>
      </c>
      <c r="AO319" s="101">
        <f>(AM319*($Z$1+1)*0.002488974)/($Z$1+1)*Module!$I$5*Module!$I$7</f>
        <v>102.62345540579445</v>
      </c>
      <c r="AP319" s="101">
        <f>$P$120*Module!$I$7*X319*Module!$I$5</f>
        <v>31.613114198257694</v>
      </c>
      <c r="AQ319" s="151">
        <f t="shared" si="80"/>
        <v>1000000</v>
      </c>
      <c r="AS319" s="101">
        <f t="shared" si="95"/>
        <v>0</v>
      </c>
      <c r="AT319" s="101">
        <f>10+Module!$K$57/($AA$1+1)</f>
        <v>92.438394151029627</v>
      </c>
      <c r="AU319" s="101">
        <f>$AA$1*(25+Module!$I$6)</f>
        <v>101</v>
      </c>
      <c r="AV319" s="101">
        <f>(AT319*($Z$1+1)*0.002488974)/($Z$1+1)*Module!$I$5*Module!$I$7</f>
        <v>70.974999121916298</v>
      </c>
      <c r="AW319" s="101">
        <f>$P$120*Module!$I$7*X319*Module!$I$5</f>
        <v>31.613114198257694</v>
      </c>
      <c r="AX319" s="151">
        <f t="shared" si="81"/>
        <v>1000000</v>
      </c>
      <c r="AZ319" s="101">
        <f t="shared" si="96"/>
        <v>0</v>
      </c>
      <c r="BA319" s="101">
        <f>10+Module!$K$57/($AB$1+1)</f>
        <v>71.82879561327222</v>
      </c>
      <c r="BB319" s="101">
        <f>$AB$1*(25+Module!$I$6)</f>
        <v>151.5</v>
      </c>
      <c r="BC319" s="101">
        <f>(BA319*($AB$1+1)*0.002488974)/($AB$1+1)*Module!$I$5*Module!$I$7</f>
        <v>55.150770979977231</v>
      </c>
      <c r="BD319" s="101">
        <f>$P$120*Module!$I$7*X319*Module!$I$5</f>
        <v>31.613114198257694</v>
      </c>
      <c r="BE319" s="151">
        <f t="shared" si="82"/>
        <v>1000000</v>
      </c>
      <c r="BG319" s="101">
        <f t="shared" si="97"/>
        <v>0</v>
      </c>
      <c r="BH319" s="101">
        <f>10+Module!$K$57/($AC$1+1)</f>
        <v>59.463036490617775</v>
      </c>
      <c r="BI319" s="101">
        <f>$AC$1*(25+Module!$I$6)</f>
        <v>202</v>
      </c>
      <c r="BJ319" s="101">
        <f>(BH319*($AC$1+1)*0.002488974)/($AC$1+1)*Module!$I$5*Module!$I$7</f>
        <v>45.656234094813776</v>
      </c>
      <c r="BK319" s="101">
        <f>$P$120*Module!$I$7*X319*Module!$I$5</f>
        <v>31.613114198257694</v>
      </c>
      <c r="BL319" s="151">
        <f t="shared" si="83"/>
        <v>1000000</v>
      </c>
    </row>
    <row r="320" spans="23:64" ht="15.75" hidden="1" thickBot="1">
      <c r="W320" s="777"/>
      <c r="X320" s="121">
        <f t="shared" si="84"/>
        <v>15</v>
      </c>
      <c r="Y320" s="122">
        <f>'calcul pneu pour calculateur'!P321</f>
        <v>221.6576192759662</v>
      </c>
      <c r="Z320" s="123">
        <f t="shared" si="90"/>
        <v>443.3152385519324</v>
      </c>
      <c r="AA320" s="123">
        <f t="shared" si="91"/>
        <v>664.97285782789857</v>
      </c>
      <c r="AB320" s="123">
        <f t="shared" si="92"/>
        <v>886.63047710386479</v>
      </c>
      <c r="AC320" s="123">
        <f t="shared" si="93"/>
        <v>1108.2880963798309</v>
      </c>
      <c r="AK320" s="121">
        <f t="shared" si="85"/>
        <v>15</v>
      </c>
      <c r="AL320" s="101">
        <f t="shared" si="94"/>
        <v>0</v>
      </c>
      <c r="AM320" s="101">
        <f>10+Module!$K$57/($Z$1+1)</f>
        <v>133.65759122654444</v>
      </c>
      <c r="AN320" s="101">
        <f>$Z$1*(25+Module!$I$6)</f>
        <v>50.5</v>
      </c>
      <c r="AO320" s="101">
        <f>(AM320*($Z$1+1)*0.002488974)/($Z$1+1)*Module!$I$5*Module!$I$7</f>
        <v>102.62345540579445</v>
      </c>
      <c r="AP320" s="101">
        <f>$P$120*Module!$I$7*X320*Module!$I$5</f>
        <v>33.871193783847531</v>
      </c>
      <c r="AQ320" s="151">
        <f t="shared" si="80"/>
        <v>1000000</v>
      </c>
      <c r="AS320" s="101">
        <f t="shared" si="95"/>
        <v>0</v>
      </c>
      <c r="AT320" s="101">
        <f>10+Module!$K$57/($AA$1+1)</f>
        <v>92.438394151029627</v>
      </c>
      <c r="AU320" s="101">
        <f>$AA$1*(25+Module!$I$6)</f>
        <v>101</v>
      </c>
      <c r="AV320" s="101">
        <f>(AT320*($Z$1+1)*0.002488974)/($Z$1+1)*Module!$I$5*Module!$I$7</f>
        <v>70.974999121916298</v>
      </c>
      <c r="AW320" s="101">
        <f>$P$120*Module!$I$7*X320*Module!$I$5</f>
        <v>33.871193783847531</v>
      </c>
      <c r="AX320" s="151">
        <f t="shared" si="81"/>
        <v>1000000</v>
      </c>
      <c r="AZ320" s="101">
        <f t="shared" si="96"/>
        <v>0</v>
      </c>
      <c r="BA320" s="101">
        <f>10+Module!$K$57/($AB$1+1)</f>
        <v>71.82879561327222</v>
      </c>
      <c r="BB320" s="101">
        <f>$AB$1*(25+Module!$I$6)</f>
        <v>151.5</v>
      </c>
      <c r="BC320" s="101">
        <f>(BA320*($AB$1+1)*0.002488974)/($AB$1+1)*Module!$I$5*Module!$I$7</f>
        <v>55.150770979977231</v>
      </c>
      <c r="BD320" s="101">
        <f>$P$120*Module!$I$7*X320*Module!$I$5</f>
        <v>33.871193783847531</v>
      </c>
      <c r="BE320" s="151">
        <f t="shared" si="82"/>
        <v>1000000</v>
      </c>
      <c r="BG320" s="101">
        <f t="shared" si="97"/>
        <v>0</v>
      </c>
      <c r="BH320" s="101">
        <f>10+Module!$K$57/($AC$1+1)</f>
        <v>59.463036490617775</v>
      </c>
      <c r="BI320" s="101">
        <f>$AC$1*(25+Module!$I$6)</f>
        <v>202</v>
      </c>
      <c r="BJ320" s="101">
        <f>(BH320*($AC$1+1)*0.002488974)/($AC$1+1)*Module!$I$5*Module!$I$7</f>
        <v>45.656234094813776</v>
      </c>
      <c r="BK320" s="101">
        <f>$P$120*Module!$I$7*X320*Module!$I$5</f>
        <v>33.871193783847531</v>
      </c>
      <c r="BL320" s="151">
        <f t="shared" si="83"/>
        <v>1000000</v>
      </c>
    </row>
    <row r="321" spans="23:64" ht="15.75" hidden="1" thickBot="1">
      <c r="W321" s="777"/>
      <c r="X321" s="121">
        <f t="shared" si="84"/>
        <v>16</v>
      </c>
      <c r="Y321" s="122">
        <f>'calcul pneu pour calculateur'!P322</f>
        <v>220.99997348159238</v>
      </c>
      <c r="Z321" s="123">
        <f t="shared" si="90"/>
        <v>441.99994696318475</v>
      </c>
      <c r="AA321" s="123">
        <f t="shared" si="91"/>
        <v>662.9999204447771</v>
      </c>
      <c r="AB321" s="123">
        <f t="shared" si="92"/>
        <v>883.99989392636951</v>
      </c>
      <c r="AC321" s="123">
        <f t="shared" si="93"/>
        <v>1104.9998674079618</v>
      </c>
      <c r="AK321" s="121">
        <f t="shared" si="85"/>
        <v>16</v>
      </c>
      <c r="AL321" s="101">
        <f t="shared" si="94"/>
        <v>0</v>
      </c>
      <c r="AM321" s="101">
        <f>10+Module!$K$57/($Z$1+1)</f>
        <v>133.65759122654444</v>
      </c>
      <c r="AN321" s="101">
        <f>$Z$1*(25+Module!$I$6)</f>
        <v>50.5</v>
      </c>
      <c r="AO321" s="101">
        <f>(AM321*($Z$1+1)*0.002488974)/($Z$1+1)*Module!$I$5*Module!$I$7</f>
        <v>102.62345540579445</v>
      </c>
      <c r="AP321" s="101">
        <f>$P$120*Module!$I$7*X321*Module!$I$5</f>
        <v>36.129273369437364</v>
      </c>
      <c r="AQ321" s="151">
        <f t="shared" si="80"/>
        <v>1000000</v>
      </c>
      <c r="AS321" s="101">
        <f t="shared" si="95"/>
        <v>0</v>
      </c>
      <c r="AT321" s="101">
        <f>10+Module!$K$57/($AA$1+1)</f>
        <v>92.438394151029627</v>
      </c>
      <c r="AU321" s="101">
        <f>$AA$1*(25+Module!$I$6)</f>
        <v>101</v>
      </c>
      <c r="AV321" s="101">
        <f>(AT321*($Z$1+1)*0.002488974)/($Z$1+1)*Module!$I$5*Module!$I$7</f>
        <v>70.974999121916298</v>
      </c>
      <c r="AW321" s="101">
        <f>$P$120*Module!$I$7*X321*Module!$I$5</f>
        <v>36.129273369437364</v>
      </c>
      <c r="AX321" s="151">
        <f t="shared" si="81"/>
        <v>1000000</v>
      </c>
      <c r="AZ321" s="101">
        <f t="shared" si="96"/>
        <v>0</v>
      </c>
      <c r="BA321" s="101">
        <f>10+Module!$K$57/($AB$1+1)</f>
        <v>71.82879561327222</v>
      </c>
      <c r="BB321" s="101">
        <f>$AB$1*(25+Module!$I$6)</f>
        <v>151.5</v>
      </c>
      <c r="BC321" s="101">
        <f>(BA321*($AB$1+1)*0.002488974)/($AB$1+1)*Module!$I$5*Module!$I$7</f>
        <v>55.150770979977231</v>
      </c>
      <c r="BD321" s="101">
        <f>$P$120*Module!$I$7*X321*Module!$I$5</f>
        <v>36.129273369437364</v>
      </c>
      <c r="BE321" s="151">
        <f t="shared" si="82"/>
        <v>1000000</v>
      </c>
      <c r="BG321" s="101">
        <f t="shared" si="97"/>
        <v>0</v>
      </c>
      <c r="BH321" s="101">
        <f>10+Module!$K$57/($AC$1+1)</f>
        <v>59.463036490617775</v>
      </c>
      <c r="BI321" s="101">
        <f>$AC$1*(25+Module!$I$6)</f>
        <v>202</v>
      </c>
      <c r="BJ321" s="101">
        <f>(BH321*($AC$1+1)*0.002488974)/($AC$1+1)*Module!$I$5*Module!$I$7</f>
        <v>45.656234094813776</v>
      </c>
      <c r="BK321" s="101">
        <f>$P$120*Module!$I$7*X321*Module!$I$5</f>
        <v>36.129273369437364</v>
      </c>
      <c r="BL321" s="151">
        <f t="shared" si="83"/>
        <v>1000000</v>
      </c>
    </row>
    <row r="322" spans="23:64" ht="15.75" hidden="1" thickBot="1">
      <c r="W322" s="777"/>
      <c r="X322" s="121">
        <f t="shared" si="84"/>
        <v>17</v>
      </c>
      <c r="Y322" s="122">
        <f>'calcul pneu pour calculateur'!P323</f>
        <v>220.34232768721853</v>
      </c>
      <c r="Z322" s="123">
        <f t="shared" si="90"/>
        <v>440.68465537443706</v>
      </c>
      <c r="AA322" s="123">
        <f t="shared" si="91"/>
        <v>661.02698306165553</v>
      </c>
      <c r="AB322" s="123">
        <f t="shared" si="92"/>
        <v>881.36931074887411</v>
      </c>
      <c r="AC322" s="123">
        <f t="shared" si="93"/>
        <v>1101.7116384360927</v>
      </c>
      <c r="AK322" s="121">
        <f t="shared" si="85"/>
        <v>17</v>
      </c>
      <c r="AL322" s="101">
        <f t="shared" si="94"/>
        <v>0</v>
      </c>
      <c r="AM322" s="101">
        <f>10+Module!$K$57/($Z$1+1)</f>
        <v>133.65759122654444</v>
      </c>
      <c r="AN322" s="101">
        <f>$Z$1*(25+Module!$I$6)</f>
        <v>50.5</v>
      </c>
      <c r="AO322" s="101">
        <f>(AM322*($Z$1+1)*0.002488974)/($Z$1+1)*Module!$I$5*Module!$I$7</f>
        <v>102.62345540579445</v>
      </c>
      <c r="AP322" s="101">
        <f>$P$120*Module!$I$7*X322*Module!$I$5</f>
        <v>38.387352955027204</v>
      </c>
      <c r="AQ322" s="151">
        <f t="shared" si="80"/>
        <v>1000000</v>
      </c>
      <c r="AS322" s="101">
        <f t="shared" si="95"/>
        <v>0</v>
      </c>
      <c r="AT322" s="101">
        <f>10+Module!$K$57/($AA$1+1)</f>
        <v>92.438394151029627</v>
      </c>
      <c r="AU322" s="101">
        <f>$AA$1*(25+Module!$I$6)</f>
        <v>101</v>
      </c>
      <c r="AV322" s="101">
        <f>(AT322*($Z$1+1)*0.002488974)/($Z$1+1)*Module!$I$5*Module!$I$7</f>
        <v>70.974999121916298</v>
      </c>
      <c r="AW322" s="101">
        <f>$P$120*Module!$I$7*X322*Module!$I$5</f>
        <v>38.387352955027204</v>
      </c>
      <c r="AX322" s="151">
        <f t="shared" si="81"/>
        <v>1000000</v>
      </c>
      <c r="AZ322" s="101">
        <f t="shared" si="96"/>
        <v>0</v>
      </c>
      <c r="BA322" s="101">
        <f>10+Module!$K$57/($AB$1+1)</f>
        <v>71.82879561327222</v>
      </c>
      <c r="BB322" s="101">
        <f>$AB$1*(25+Module!$I$6)</f>
        <v>151.5</v>
      </c>
      <c r="BC322" s="101">
        <f>(BA322*($AB$1+1)*0.002488974)/($AB$1+1)*Module!$I$5*Module!$I$7</f>
        <v>55.150770979977231</v>
      </c>
      <c r="BD322" s="101">
        <f>$P$120*Module!$I$7*X322*Module!$I$5</f>
        <v>38.387352955027204</v>
      </c>
      <c r="BE322" s="151">
        <f t="shared" si="82"/>
        <v>1000000</v>
      </c>
      <c r="BG322" s="101">
        <f t="shared" si="97"/>
        <v>0</v>
      </c>
      <c r="BH322" s="101">
        <f>10+Module!$K$57/($AC$1+1)</f>
        <v>59.463036490617775</v>
      </c>
      <c r="BI322" s="101">
        <f>$AC$1*(25+Module!$I$6)</f>
        <v>202</v>
      </c>
      <c r="BJ322" s="101">
        <f>(BH322*($AC$1+1)*0.002488974)/($AC$1+1)*Module!$I$5*Module!$I$7</f>
        <v>45.656234094813776</v>
      </c>
      <c r="BK322" s="101">
        <f>$P$120*Module!$I$7*X322*Module!$I$5</f>
        <v>38.387352955027204</v>
      </c>
      <c r="BL322" s="151">
        <f t="shared" si="83"/>
        <v>1000000</v>
      </c>
    </row>
    <row r="323" spans="23:64" ht="15.75" hidden="1" thickBot="1">
      <c r="W323" s="777"/>
      <c r="X323" s="121">
        <f t="shared" si="84"/>
        <v>18</v>
      </c>
      <c r="Y323" s="122">
        <f>'calcul pneu pour calculateur'!P324</f>
        <v>219.68468189284471</v>
      </c>
      <c r="Z323" s="123">
        <f t="shared" si="90"/>
        <v>439.36936378568942</v>
      </c>
      <c r="AA323" s="123">
        <f t="shared" si="91"/>
        <v>659.05404567853407</v>
      </c>
      <c r="AB323" s="123">
        <f t="shared" si="92"/>
        <v>878.73872757137883</v>
      </c>
      <c r="AC323" s="123">
        <f t="shared" si="93"/>
        <v>1098.4234094642236</v>
      </c>
      <c r="AK323" s="121">
        <f t="shared" si="85"/>
        <v>18</v>
      </c>
      <c r="AL323" s="101">
        <f t="shared" si="94"/>
        <v>0</v>
      </c>
      <c r="AM323" s="101">
        <f>10+Module!$K$57/($Z$1+1)</f>
        <v>133.65759122654444</v>
      </c>
      <c r="AN323" s="101">
        <f>$Z$1*(25+Module!$I$6)</f>
        <v>50.5</v>
      </c>
      <c r="AO323" s="101">
        <f>(AM323*($Z$1+1)*0.002488974)/($Z$1+1)*Module!$I$5*Module!$I$7</f>
        <v>102.62345540579445</v>
      </c>
      <c r="AP323" s="101">
        <f>$P$120*Module!$I$7*X323*Module!$I$5</f>
        <v>40.645432540617037</v>
      </c>
      <c r="AQ323" s="151">
        <f t="shared" ref="AQ323:AQ386" si="98">IF(AK323 &gt;$AJ$17,1000000,AL323+AN323+AO323-AP323)</f>
        <v>1000000</v>
      </c>
      <c r="AS323" s="101">
        <f t="shared" si="95"/>
        <v>0</v>
      </c>
      <c r="AT323" s="101">
        <f>10+Module!$K$57/($AA$1+1)</f>
        <v>92.438394151029627</v>
      </c>
      <c r="AU323" s="101">
        <f>$AA$1*(25+Module!$I$6)</f>
        <v>101</v>
      </c>
      <c r="AV323" s="101">
        <f>(AT323*($Z$1+1)*0.002488974)/($Z$1+1)*Module!$I$5*Module!$I$7</f>
        <v>70.974999121916298</v>
      </c>
      <c r="AW323" s="101">
        <f>$P$120*Module!$I$7*X323*Module!$I$5</f>
        <v>40.645432540617037</v>
      </c>
      <c r="AX323" s="151">
        <f t="shared" ref="AX323:AX386" si="99">IF(AK323 &gt;$AJ$17,1000000,AS323+AU323+AV323-AW323)</f>
        <v>1000000</v>
      </c>
      <c r="AZ323" s="101">
        <f t="shared" si="96"/>
        <v>0</v>
      </c>
      <c r="BA323" s="101">
        <f>10+Module!$K$57/($AB$1+1)</f>
        <v>71.82879561327222</v>
      </c>
      <c r="BB323" s="101">
        <f>$AB$1*(25+Module!$I$6)</f>
        <v>151.5</v>
      </c>
      <c r="BC323" s="101">
        <f>(BA323*($AB$1+1)*0.002488974)/($AB$1+1)*Module!$I$5*Module!$I$7</f>
        <v>55.150770979977231</v>
      </c>
      <c r="BD323" s="101">
        <f>$P$120*Module!$I$7*X323*Module!$I$5</f>
        <v>40.645432540617037</v>
      </c>
      <c r="BE323" s="151">
        <f t="shared" ref="BE323:BE386" si="100">IF(AK323 &gt;$AJ$17,1000000,AZ323+BB323+BC323-BD323)</f>
        <v>1000000</v>
      </c>
      <c r="BG323" s="101">
        <f t="shared" si="97"/>
        <v>0</v>
      </c>
      <c r="BH323" s="101">
        <f>10+Module!$K$57/($AC$1+1)</f>
        <v>59.463036490617775</v>
      </c>
      <c r="BI323" s="101">
        <f>$AC$1*(25+Module!$I$6)</f>
        <v>202</v>
      </c>
      <c r="BJ323" s="101">
        <f>(BH323*($AC$1+1)*0.002488974)/($AC$1+1)*Module!$I$5*Module!$I$7</f>
        <v>45.656234094813776</v>
      </c>
      <c r="BK323" s="101">
        <f>$P$120*Module!$I$7*X323*Module!$I$5</f>
        <v>40.645432540617037</v>
      </c>
      <c r="BL323" s="151">
        <f t="shared" ref="BL323:BL386" si="101">IF(AK323 &gt;$AJ$17,1000000,BG323+BI323+BJ323-BK323)</f>
        <v>1000000</v>
      </c>
    </row>
    <row r="324" spans="23:64" ht="15.75" hidden="1" thickBot="1">
      <c r="W324" s="777"/>
      <c r="X324" s="121">
        <f t="shared" ref="X324:X387" si="102">X323+1</f>
        <v>19</v>
      </c>
      <c r="Y324" s="122">
        <f>'calcul pneu pour calculateur'!P325</f>
        <v>219.02703609847089</v>
      </c>
      <c r="Z324" s="123">
        <f t="shared" si="90"/>
        <v>438.05407219694177</v>
      </c>
      <c r="AA324" s="123">
        <f t="shared" si="91"/>
        <v>657.08110829541261</v>
      </c>
      <c r="AB324" s="123">
        <f t="shared" si="92"/>
        <v>876.10814439388355</v>
      </c>
      <c r="AC324" s="123">
        <f t="shared" si="93"/>
        <v>1095.1351804923545</v>
      </c>
      <c r="AK324" s="121">
        <f t="shared" ref="AK324:AK387" si="103">AK323+1</f>
        <v>19</v>
      </c>
      <c r="AL324" s="101">
        <f t="shared" si="94"/>
        <v>0</v>
      </c>
      <c r="AM324" s="101">
        <f>10+Module!$K$57/($Z$1+1)</f>
        <v>133.65759122654444</v>
      </c>
      <c r="AN324" s="101">
        <f>$Z$1*(25+Module!$I$6)</f>
        <v>50.5</v>
      </c>
      <c r="AO324" s="101">
        <f>(AM324*($Z$1+1)*0.002488974)/($Z$1+1)*Module!$I$5*Module!$I$7</f>
        <v>102.62345540579445</v>
      </c>
      <c r="AP324" s="101">
        <f>$P$120*Module!$I$7*X324*Module!$I$5</f>
        <v>42.903512126206877</v>
      </c>
      <c r="AQ324" s="151">
        <f t="shared" si="98"/>
        <v>1000000</v>
      </c>
      <c r="AS324" s="101">
        <f t="shared" si="95"/>
        <v>0</v>
      </c>
      <c r="AT324" s="101">
        <f>10+Module!$K$57/($AA$1+1)</f>
        <v>92.438394151029627</v>
      </c>
      <c r="AU324" s="101">
        <f>$AA$1*(25+Module!$I$6)</f>
        <v>101</v>
      </c>
      <c r="AV324" s="101">
        <f>(AT324*($Z$1+1)*0.002488974)/($Z$1+1)*Module!$I$5*Module!$I$7</f>
        <v>70.974999121916298</v>
      </c>
      <c r="AW324" s="101">
        <f>$P$120*Module!$I$7*X324*Module!$I$5</f>
        <v>42.903512126206877</v>
      </c>
      <c r="AX324" s="151">
        <f t="shared" si="99"/>
        <v>1000000</v>
      </c>
      <c r="AZ324" s="101">
        <f t="shared" si="96"/>
        <v>0</v>
      </c>
      <c r="BA324" s="101">
        <f>10+Module!$K$57/($AB$1+1)</f>
        <v>71.82879561327222</v>
      </c>
      <c r="BB324" s="101">
        <f>$AB$1*(25+Module!$I$6)</f>
        <v>151.5</v>
      </c>
      <c r="BC324" s="101">
        <f>(BA324*($AB$1+1)*0.002488974)/($AB$1+1)*Module!$I$5*Module!$I$7</f>
        <v>55.150770979977231</v>
      </c>
      <c r="BD324" s="101">
        <f>$P$120*Module!$I$7*X324*Module!$I$5</f>
        <v>42.903512126206877</v>
      </c>
      <c r="BE324" s="151">
        <f t="shared" si="100"/>
        <v>1000000</v>
      </c>
      <c r="BG324" s="101">
        <f t="shared" si="97"/>
        <v>0</v>
      </c>
      <c r="BH324" s="101">
        <f>10+Module!$K$57/($AC$1+1)</f>
        <v>59.463036490617775</v>
      </c>
      <c r="BI324" s="101">
        <f>$AC$1*(25+Module!$I$6)</f>
        <v>202</v>
      </c>
      <c r="BJ324" s="101">
        <f>(BH324*($AC$1+1)*0.002488974)/($AC$1+1)*Module!$I$5*Module!$I$7</f>
        <v>45.656234094813776</v>
      </c>
      <c r="BK324" s="101">
        <f>$P$120*Module!$I$7*X324*Module!$I$5</f>
        <v>42.903512126206877</v>
      </c>
      <c r="BL324" s="151">
        <f t="shared" si="101"/>
        <v>1000000</v>
      </c>
    </row>
    <row r="325" spans="23:64" ht="15.75" hidden="1" thickBot="1">
      <c r="W325" s="777"/>
      <c r="X325" s="121">
        <f t="shared" si="102"/>
        <v>20</v>
      </c>
      <c r="Y325" s="122">
        <f>'calcul pneu pour calculateur'!P326</f>
        <v>218.36939030409704</v>
      </c>
      <c r="Z325" s="123">
        <f t="shared" si="90"/>
        <v>436.73878060819408</v>
      </c>
      <c r="AA325" s="123">
        <f t="shared" si="91"/>
        <v>655.10817091229114</v>
      </c>
      <c r="AB325" s="123">
        <f t="shared" si="92"/>
        <v>873.47756121638815</v>
      </c>
      <c r="AC325" s="123">
        <f t="shared" si="93"/>
        <v>1091.8469515204852</v>
      </c>
      <c r="AK325" s="121">
        <f t="shared" si="103"/>
        <v>20</v>
      </c>
      <c r="AL325" s="101">
        <f t="shared" si="94"/>
        <v>0</v>
      </c>
      <c r="AM325" s="101">
        <f>10+Module!$K$57/($Z$1+1)</f>
        <v>133.65759122654444</v>
      </c>
      <c r="AN325" s="101">
        <f>$Z$1*(25+Module!$I$6)</f>
        <v>50.5</v>
      </c>
      <c r="AO325" s="101">
        <f>(AM325*($Z$1+1)*0.002488974)/($Z$1+1)*Module!$I$5*Module!$I$7</f>
        <v>102.62345540579445</v>
      </c>
      <c r="AP325" s="101">
        <f>$P$120*Module!$I$7*X325*Module!$I$5</f>
        <v>45.16159171179671</v>
      </c>
      <c r="AQ325" s="151">
        <f t="shared" si="98"/>
        <v>1000000</v>
      </c>
      <c r="AS325" s="101">
        <f t="shared" si="95"/>
        <v>0</v>
      </c>
      <c r="AT325" s="101">
        <f>10+Module!$K$57/($AA$1+1)</f>
        <v>92.438394151029627</v>
      </c>
      <c r="AU325" s="101">
        <f>$AA$1*(25+Module!$I$6)</f>
        <v>101</v>
      </c>
      <c r="AV325" s="101">
        <f>(AT325*($Z$1+1)*0.002488974)/($Z$1+1)*Module!$I$5*Module!$I$7</f>
        <v>70.974999121916298</v>
      </c>
      <c r="AW325" s="101">
        <f>$P$120*Module!$I$7*X325*Module!$I$5</f>
        <v>45.16159171179671</v>
      </c>
      <c r="AX325" s="151">
        <f t="shared" si="99"/>
        <v>1000000</v>
      </c>
      <c r="AZ325" s="101">
        <f t="shared" si="96"/>
        <v>0</v>
      </c>
      <c r="BA325" s="101">
        <f>10+Module!$K$57/($AB$1+1)</f>
        <v>71.82879561327222</v>
      </c>
      <c r="BB325" s="101">
        <f>$AB$1*(25+Module!$I$6)</f>
        <v>151.5</v>
      </c>
      <c r="BC325" s="101">
        <f>(BA325*($AB$1+1)*0.002488974)/($AB$1+1)*Module!$I$5*Module!$I$7</f>
        <v>55.150770979977231</v>
      </c>
      <c r="BD325" s="101">
        <f>$P$120*Module!$I$7*X325*Module!$I$5</f>
        <v>45.16159171179671</v>
      </c>
      <c r="BE325" s="151">
        <f t="shared" si="100"/>
        <v>1000000</v>
      </c>
      <c r="BG325" s="101">
        <f t="shared" si="97"/>
        <v>0</v>
      </c>
      <c r="BH325" s="101">
        <f>10+Module!$K$57/($AC$1+1)</f>
        <v>59.463036490617775</v>
      </c>
      <c r="BI325" s="101">
        <f>$AC$1*(25+Module!$I$6)</f>
        <v>202</v>
      </c>
      <c r="BJ325" s="101">
        <f>(BH325*($AC$1+1)*0.002488974)/($AC$1+1)*Module!$I$5*Module!$I$7</f>
        <v>45.656234094813776</v>
      </c>
      <c r="BK325" s="101">
        <f>$P$120*Module!$I$7*X325*Module!$I$5</f>
        <v>45.16159171179671</v>
      </c>
      <c r="BL325" s="151">
        <f t="shared" si="101"/>
        <v>1000000</v>
      </c>
    </row>
    <row r="326" spans="23:64" ht="15.75" hidden="1" thickBot="1">
      <c r="W326" s="777"/>
      <c r="X326" s="121">
        <f t="shared" si="102"/>
        <v>21</v>
      </c>
      <c r="Y326" s="122">
        <f>'calcul pneu pour calculateur'!P327</f>
        <v>217.71174450972319</v>
      </c>
      <c r="Z326" s="123">
        <f t="shared" si="90"/>
        <v>435.42348901944638</v>
      </c>
      <c r="AA326" s="123">
        <f t="shared" si="91"/>
        <v>653.13523352916957</v>
      </c>
      <c r="AB326" s="123">
        <f t="shared" si="92"/>
        <v>870.84697803889276</v>
      </c>
      <c r="AC326" s="123">
        <f t="shared" si="93"/>
        <v>1088.5587225486161</v>
      </c>
      <c r="AK326" s="121">
        <f t="shared" si="103"/>
        <v>21</v>
      </c>
      <c r="AL326" s="101">
        <f t="shared" si="94"/>
        <v>0</v>
      </c>
      <c r="AM326" s="101">
        <f>10+Module!$K$57/($Z$1+1)</f>
        <v>133.65759122654444</v>
      </c>
      <c r="AN326" s="101">
        <f>$Z$1*(25+Module!$I$6)</f>
        <v>50.5</v>
      </c>
      <c r="AO326" s="101">
        <f>(AM326*($Z$1+1)*0.002488974)/($Z$1+1)*Module!$I$5*Module!$I$7</f>
        <v>102.62345540579445</v>
      </c>
      <c r="AP326" s="101">
        <f>$P$120*Module!$I$7*X326*Module!$I$5</f>
        <v>47.41967129738655</v>
      </c>
      <c r="AQ326" s="151">
        <f t="shared" si="98"/>
        <v>1000000</v>
      </c>
      <c r="AS326" s="101">
        <f t="shared" si="95"/>
        <v>0</v>
      </c>
      <c r="AT326" s="101">
        <f>10+Module!$K$57/($AA$1+1)</f>
        <v>92.438394151029627</v>
      </c>
      <c r="AU326" s="101">
        <f>$AA$1*(25+Module!$I$6)</f>
        <v>101</v>
      </c>
      <c r="AV326" s="101">
        <f>(AT326*($Z$1+1)*0.002488974)/($Z$1+1)*Module!$I$5*Module!$I$7</f>
        <v>70.974999121916298</v>
      </c>
      <c r="AW326" s="101">
        <f>$P$120*Module!$I$7*X326*Module!$I$5</f>
        <v>47.41967129738655</v>
      </c>
      <c r="AX326" s="151">
        <f t="shared" si="99"/>
        <v>1000000</v>
      </c>
      <c r="AZ326" s="101">
        <f t="shared" si="96"/>
        <v>0</v>
      </c>
      <c r="BA326" s="101">
        <f>10+Module!$K$57/($AB$1+1)</f>
        <v>71.82879561327222</v>
      </c>
      <c r="BB326" s="101">
        <f>$AB$1*(25+Module!$I$6)</f>
        <v>151.5</v>
      </c>
      <c r="BC326" s="101">
        <f>(BA326*($AB$1+1)*0.002488974)/($AB$1+1)*Module!$I$5*Module!$I$7</f>
        <v>55.150770979977231</v>
      </c>
      <c r="BD326" s="101">
        <f>$P$120*Module!$I$7*X326*Module!$I$5</f>
        <v>47.41967129738655</v>
      </c>
      <c r="BE326" s="151">
        <f t="shared" si="100"/>
        <v>1000000</v>
      </c>
      <c r="BG326" s="101">
        <f t="shared" si="97"/>
        <v>0</v>
      </c>
      <c r="BH326" s="101">
        <f>10+Module!$K$57/($AC$1+1)</f>
        <v>59.463036490617775</v>
      </c>
      <c r="BI326" s="101">
        <f>$AC$1*(25+Module!$I$6)</f>
        <v>202</v>
      </c>
      <c r="BJ326" s="101">
        <f>(BH326*($AC$1+1)*0.002488974)/($AC$1+1)*Module!$I$5*Module!$I$7</f>
        <v>45.656234094813776</v>
      </c>
      <c r="BK326" s="101">
        <f>$P$120*Module!$I$7*X326*Module!$I$5</f>
        <v>47.41967129738655</v>
      </c>
      <c r="BL326" s="151">
        <f t="shared" si="101"/>
        <v>1000000</v>
      </c>
    </row>
    <row r="327" spans="23:64" ht="15.75" hidden="1" thickBot="1">
      <c r="W327" s="777"/>
      <c r="X327" s="121">
        <f t="shared" si="102"/>
        <v>22</v>
      </c>
      <c r="Y327" s="122">
        <f>'calcul pneu pour calculateur'!P328</f>
        <v>217.05409871534937</v>
      </c>
      <c r="Z327" s="123">
        <f t="shared" si="90"/>
        <v>434.10819743069874</v>
      </c>
      <c r="AA327" s="123">
        <f t="shared" si="91"/>
        <v>651.16229614604811</v>
      </c>
      <c r="AB327" s="123">
        <f t="shared" si="92"/>
        <v>868.21639486139748</v>
      </c>
      <c r="AC327" s="123">
        <f t="shared" si="93"/>
        <v>1085.270493576747</v>
      </c>
      <c r="AK327" s="121">
        <f t="shared" si="103"/>
        <v>22</v>
      </c>
      <c r="AL327" s="101">
        <f t="shared" si="94"/>
        <v>0</v>
      </c>
      <c r="AM327" s="101">
        <f>10+Module!$K$57/($Z$1+1)</f>
        <v>133.65759122654444</v>
      </c>
      <c r="AN327" s="101">
        <f>$Z$1*(25+Module!$I$6)</f>
        <v>50.5</v>
      </c>
      <c r="AO327" s="101">
        <f>(AM327*($Z$1+1)*0.002488974)/($Z$1+1)*Module!$I$5*Module!$I$7</f>
        <v>102.62345540579445</v>
      </c>
      <c r="AP327" s="101">
        <f>$P$120*Module!$I$7*X327*Module!$I$5</f>
        <v>49.677750882976383</v>
      </c>
      <c r="AQ327" s="151">
        <f t="shared" si="98"/>
        <v>1000000</v>
      </c>
      <c r="AS327" s="101">
        <f t="shared" si="95"/>
        <v>0</v>
      </c>
      <c r="AT327" s="101">
        <f>10+Module!$K$57/($AA$1+1)</f>
        <v>92.438394151029627</v>
      </c>
      <c r="AU327" s="101">
        <f>$AA$1*(25+Module!$I$6)</f>
        <v>101</v>
      </c>
      <c r="AV327" s="101">
        <f>(AT327*($Z$1+1)*0.002488974)/($Z$1+1)*Module!$I$5*Module!$I$7</f>
        <v>70.974999121916298</v>
      </c>
      <c r="AW327" s="101">
        <f>$P$120*Module!$I$7*X327*Module!$I$5</f>
        <v>49.677750882976383</v>
      </c>
      <c r="AX327" s="151">
        <f t="shared" si="99"/>
        <v>1000000</v>
      </c>
      <c r="AZ327" s="101">
        <f t="shared" si="96"/>
        <v>0</v>
      </c>
      <c r="BA327" s="101">
        <f>10+Module!$K$57/($AB$1+1)</f>
        <v>71.82879561327222</v>
      </c>
      <c r="BB327" s="101">
        <f>$AB$1*(25+Module!$I$6)</f>
        <v>151.5</v>
      </c>
      <c r="BC327" s="101">
        <f>(BA327*($AB$1+1)*0.002488974)/($AB$1+1)*Module!$I$5*Module!$I$7</f>
        <v>55.150770979977231</v>
      </c>
      <c r="BD327" s="101">
        <f>$P$120*Module!$I$7*X327*Module!$I$5</f>
        <v>49.677750882976383</v>
      </c>
      <c r="BE327" s="151">
        <f t="shared" si="100"/>
        <v>1000000</v>
      </c>
      <c r="BG327" s="101">
        <f t="shared" si="97"/>
        <v>0</v>
      </c>
      <c r="BH327" s="101">
        <f>10+Module!$K$57/($AC$1+1)</f>
        <v>59.463036490617775</v>
      </c>
      <c r="BI327" s="101">
        <f>$AC$1*(25+Module!$I$6)</f>
        <v>202</v>
      </c>
      <c r="BJ327" s="101">
        <f>(BH327*($AC$1+1)*0.002488974)/($AC$1+1)*Module!$I$5*Module!$I$7</f>
        <v>45.656234094813776</v>
      </c>
      <c r="BK327" s="101">
        <f>$P$120*Module!$I$7*X327*Module!$I$5</f>
        <v>49.677750882976383</v>
      </c>
      <c r="BL327" s="151">
        <f t="shared" si="101"/>
        <v>1000000</v>
      </c>
    </row>
    <row r="328" spans="23:64" ht="15.75" hidden="1" thickBot="1">
      <c r="W328" s="777"/>
      <c r="X328" s="121">
        <f t="shared" si="102"/>
        <v>23</v>
      </c>
      <c r="Y328" s="122">
        <f>'calcul pneu pour calculateur'!P329</f>
        <v>216.39645292097552</v>
      </c>
      <c r="Z328" s="123">
        <f t="shared" si="90"/>
        <v>432.79290584195104</v>
      </c>
      <c r="AA328" s="123">
        <f t="shared" si="91"/>
        <v>649.18935876292653</v>
      </c>
      <c r="AB328" s="123">
        <f t="shared" si="92"/>
        <v>865.58581168390208</v>
      </c>
      <c r="AC328" s="123">
        <f t="shared" si="93"/>
        <v>1081.9822646048776</v>
      </c>
      <c r="AK328" s="121">
        <f t="shared" si="103"/>
        <v>23</v>
      </c>
      <c r="AL328" s="101">
        <f t="shared" si="94"/>
        <v>0</v>
      </c>
      <c r="AM328" s="101">
        <f>10+Module!$K$57/($Z$1+1)</f>
        <v>133.65759122654444</v>
      </c>
      <c r="AN328" s="101">
        <f>$Z$1*(25+Module!$I$6)</f>
        <v>50.5</v>
      </c>
      <c r="AO328" s="101">
        <f>(AM328*($Z$1+1)*0.002488974)/($Z$1+1)*Module!$I$5*Module!$I$7</f>
        <v>102.62345540579445</v>
      </c>
      <c r="AP328" s="101">
        <f>$P$120*Module!$I$7*X328*Module!$I$5</f>
        <v>51.935830468566216</v>
      </c>
      <c r="AQ328" s="151">
        <f t="shared" si="98"/>
        <v>1000000</v>
      </c>
      <c r="AS328" s="101">
        <f t="shared" si="95"/>
        <v>0</v>
      </c>
      <c r="AT328" s="101">
        <f>10+Module!$K$57/($AA$1+1)</f>
        <v>92.438394151029627</v>
      </c>
      <c r="AU328" s="101">
        <f>$AA$1*(25+Module!$I$6)</f>
        <v>101</v>
      </c>
      <c r="AV328" s="101">
        <f>(AT328*($Z$1+1)*0.002488974)/($Z$1+1)*Module!$I$5*Module!$I$7</f>
        <v>70.974999121916298</v>
      </c>
      <c r="AW328" s="101">
        <f>$P$120*Module!$I$7*X328*Module!$I$5</f>
        <v>51.935830468566216</v>
      </c>
      <c r="AX328" s="151">
        <f t="shared" si="99"/>
        <v>1000000</v>
      </c>
      <c r="AZ328" s="101">
        <f t="shared" si="96"/>
        <v>0</v>
      </c>
      <c r="BA328" s="101">
        <f>10+Module!$K$57/($AB$1+1)</f>
        <v>71.82879561327222</v>
      </c>
      <c r="BB328" s="101">
        <f>$AB$1*(25+Module!$I$6)</f>
        <v>151.5</v>
      </c>
      <c r="BC328" s="101">
        <f>(BA328*($AB$1+1)*0.002488974)/($AB$1+1)*Module!$I$5*Module!$I$7</f>
        <v>55.150770979977231</v>
      </c>
      <c r="BD328" s="101">
        <f>$P$120*Module!$I$7*X328*Module!$I$5</f>
        <v>51.935830468566216</v>
      </c>
      <c r="BE328" s="151">
        <f t="shared" si="100"/>
        <v>1000000</v>
      </c>
      <c r="BG328" s="101">
        <f t="shared" si="97"/>
        <v>0</v>
      </c>
      <c r="BH328" s="101">
        <f>10+Module!$K$57/($AC$1+1)</f>
        <v>59.463036490617775</v>
      </c>
      <c r="BI328" s="101">
        <f>$AC$1*(25+Module!$I$6)</f>
        <v>202</v>
      </c>
      <c r="BJ328" s="101">
        <f>(BH328*($AC$1+1)*0.002488974)/($AC$1+1)*Module!$I$5*Module!$I$7</f>
        <v>45.656234094813776</v>
      </c>
      <c r="BK328" s="101">
        <f>$P$120*Module!$I$7*X328*Module!$I$5</f>
        <v>51.935830468566216</v>
      </c>
      <c r="BL328" s="151">
        <f t="shared" si="101"/>
        <v>1000000</v>
      </c>
    </row>
    <row r="329" spans="23:64" ht="15.75" hidden="1" thickBot="1">
      <c r="W329" s="777"/>
      <c r="X329" s="121">
        <f t="shared" si="102"/>
        <v>24</v>
      </c>
      <c r="Y329" s="122">
        <f>'calcul pneu pour calculateur'!P330</f>
        <v>215.7388071266017</v>
      </c>
      <c r="Z329" s="123">
        <f t="shared" si="90"/>
        <v>431.4776142532034</v>
      </c>
      <c r="AA329" s="123">
        <f t="shared" si="91"/>
        <v>647.21642137980507</v>
      </c>
      <c r="AB329" s="123">
        <f t="shared" si="92"/>
        <v>862.9552285064068</v>
      </c>
      <c r="AC329" s="123">
        <f t="shared" si="93"/>
        <v>1078.6940356330085</v>
      </c>
      <c r="AK329" s="121">
        <f t="shared" si="103"/>
        <v>24</v>
      </c>
      <c r="AL329" s="101">
        <f t="shared" si="94"/>
        <v>0</v>
      </c>
      <c r="AM329" s="101">
        <f>10+Module!$K$57/($Z$1+1)</f>
        <v>133.65759122654444</v>
      </c>
      <c r="AN329" s="101">
        <f>$Z$1*(25+Module!$I$6)</f>
        <v>50.5</v>
      </c>
      <c r="AO329" s="101">
        <f>(AM329*($Z$1+1)*0.002488974)/($Z$1+1)*Module!$I$5*Module!$I$7</f>
        <v>102.62345540579445</v>
      </c>
      <c r="AP329" s="101">
        <f>$P$120*Module!$I$7*X329*Module!$I$5</f>
        <v>54.193910054156056</v>
      </c>
      <c r="AQ329" s="151">
        <f t="shared" si="98"/>
        <v>1000000</v>
      </c>
      <c r="AS329" s="101">
        <f t="shared" si="95"/>
        <v>0</v>
      </c>
      <c r="AT329" s="101">
        <f>10+Module!$K$57/($AA$1+1)</f>
        <v>92.438394151029627</v>
      </c>
      <c r="AU329" s="101">
        <f>$AA$1*(25+Module!$I$6)</f>
        <v>101</v>
      </c>
      <c r="AV329" s="101">
        <f>(AT329*($Z$1+1)*0.002488974)/($Z$1+1)*Module!$I$5*Module!$I$7</f>
        <v>70.974999121916298</v>
      </c>
      <c r="AW329" s="101">
        <f>$P$120*Module!$I$7*X329*Module!$I$5</f>
        <v>54.193910054156056</v>
      </c>
      <c r="AX329" s="151">
        <f t="shared" si="99"/>
        <v>1000000</v>
      </c>
      <c r="AZ329" s="101">
        <f t="shared" si="96"/>
        <v>0</v>
      </c>
      <c r="BA329" s="101">
        <f>10+Module!$K$57/($AB$1+1)</f>
        <v>71.82879561327222</v>
      </c>
      <c r="BB329" s="101">
        <f>$AB$1*(25+Module!$I$6)</f>
        <v>151.5</v>
      </c>
      <c r="BC329" s="101">
        <f>(BA329*($AB$1+1)*0.002488974)/($AB$1+1)*Module!$I$5*Module!$I$7</f>
        <v>55.150770979977231</v>
      </c>
      <c r="BD329" s="101">
        <f>$P$120*Module!$I$7*X329*Module!$I$5</f>
        <v>54.193910054156056</v>
      </c>
      <c r="BE329" s="151">
        <f t="shared" si="100"/>
        <v>1000000</v>
      </c>
      <c r="BG329" s="101">
        <f t="shared" si="97"/>
        <v>0</v>
      </c>
      <c r="BH329" s="101">
        <f>10+Module!$K$57/($AC$1+1)</f>
        <v>59.463036490617775</v>
      </c>
      <c r="BI329" s="101">
        <f>$AC$1*(25+Module!$I$6)</f>
        <v>202</v>
      </c>
      <c r="BJ329" s="101">
        <f>(BH329*($AC$1+1)*0.002488974)/($AC$1+1)*Module!$I$5*Module!$I$7</f>
        <v>45.656234094813776</v>
      </c>
      <c r="BK329" s="101">
        <f>$P$120*Module!$I$7*X329*Module!$I$5</f>
        <v>54.193910054156056</v>
      </c>
      <c r="BL329" s="151">
        <f t="shared" si="101"/>
        <v>1000000</v>
      </c>
    </row>
    <row r="330" spans="23:64" ht="15.75" hidden="1" thickBot="1">
      <c r="W330" s="777"/>
      <c r="X330" s="121">
        <f t="shared" si="102"/>
        <v>25</v>
      </c>
      <c r="Y330" s="122">
        <f>'calcul pneu pour calculateur'!P331</f>
        <v>215.08116133222785</v>
      </c>
      <c r="Z330" s="123">
        <f t="shared" si="90"/>
        <v>430.1623226644557</v>
      </c>
      <c r="AA330" s="123">
        <f t="shared" si="91"/>
        <v>645.24348399668361</v>
      </c>
      <c r="AB330" s="123">
        <f t="shared" si="92"/>
        <v>860.3246453289114</v>
      </c>
      <c r="AC330" s="123">
        <f t="shared" si="93"/>
        <v>1075.4058066611392</v>
      </c>
      <c r="AK330" s="121">
        <f t="shared" si="103"/>
        <v>25</v>
      </c>
      <c r="AL330" s="101">
        <f t="shared" si="94"/>
        <v>0</v>
      </c>
      <c r="AM330" s="101">
        <f>10+Module!$K$57/($Z$1+1)</f>
        <v>133.65759122654444</v>
      </c>
      <c r="AN330" s="101">
        <f>$Z$1*(25+Module!$I$6)</f>
        <v>50.5</v>
      </c>
      <c r="AO330" s="101">
        <f>(AM330*($Z$1+1)*0.002488974)/($Z$1+1)*Module!$I$5*Module!$I$7</f>
        <v>102.62345540579445</v>
      </c>
      <c r="AP330" s="101">
        <f>$P$120*Module!$I$7*X330*Module!$I$5</f>
        <v>56.451989639745889</v>
      </c>
      <c r="AQ330" s="151">
        <f t="shared" si="98"/>
        <v>1000000</v>
      </c>
      <c r="AS330" s="101">
        <f t="shared" si="95"/>
        <v>0</v>
      </c>
      <c r="AT330" s="101">
        <f>10+Module!$K$57/($AA$1+1)</f>
        <v>92.438394151029627</v>
      </c>
      <c r="AU330" s="101">
        <f>$AA$1*(25+Module!$I$6)</f>
        <v>101</v>
      </c>
      <c r="AV330" s="101">
        <f>(AT330*($Z$1+1)*0.002488974)/($Z$1+1)*Module!$I$5*Module!$I$7</f>
        <v>70.974999121916298</v>
      </c>
      <c r="AW330" s="101">
        <f>$P$120*Module!$I$7*X330*Module!$I$5</f>
        <v>56.451989639745889</v>
      </c>
      <c r="AX330" s="151">
        <f t="shared" si="99"/>
        <v>1000000</v>
      </c>
      <c r="AZ330" s="101">
        <f t="shared" si="96"/>
        <v>0</v>
      </c>
      <c r="BA330" s="101">
        <f>10+Module!$K$57/($AB$1+1)</f>
        <v>71.82879561327222</v>
      </c>
      <c r="BB330" s="101">
        <f>$AB$1*(25+Module!$I$6)</f>
        <v>151.5</v>
      </c>
      <c r="BC330" s="101">
        <f>(BA330*($AB$1+1)*0.002488974)/($AB$1+1)*Module!$I$5*Module!$I$7</f>
        <v>55.150770979977231</v>
      </c>
      <c r="BD330" s="101">
        <f>$P$120*Module!$I$7*X330*Module!$I$5</f>
        <v>56.451989639745889</v>
      </c>
      <c r="BE330" s="151">
        <f t="shared" si="100"/>
        <v>1000000</v>
      </c>
      <c r="BG330" s="101">
        <f t="shared" si="97"/>
        <v>0</v>
      </c>
      <c r="BH330" s="101">
        <f>10+Module!$K$57/($AC$1+1)</f>
        <v>59.463036490617775</v>
      </c>
      <c r="BI330" s="101">
        <f>$AC$1*(25+Module!$I$6)</f>
        <v>202</v>
      </c>
      <c r="BJ330" s="101">
        <f>(BH330*($AC$1+1)*0.002488974)/($AC$1+1)*Module!$I$5*Module!$I$7</f>
        <v>45.656234094813776</v>
      </c>
      <c r="BK330" s="101">
        <f>$P$120*Module!$I$7*X330*Module!$I$5</f>
        <v>56.451989639745889</v>
      </c>
      <c r="BL330" s="151">
        <f t="shared" si="101"/>
        <v>1000000</v>
      </c>
    </row>
    <row r="331" spans="23:64" ht="15.75" hidden="1" thickBot="1">
      <c r="W331" s="777"/>
      <c r="X331" s="121">
        <f t="shared" si="102"/>
        <v>26</v>
      </c>
      <c r="Y331" s="122">
        <f>'calcul pneu pour calculateur'!P332</f>
        <v>214.42351553785403</v>
      </c>
      <c r="Z331" s="123">
        <f t="shared" si="90"/>
        <v>428.84703107570806</v>
      </c>
      <c r="AA331" s="123">
        <f t="shared" si="91"/>
        <v>643.27054661356215</v>
      </c>
      <c r="AB331" s="123">
        <f t="shared" si="92"/>
        <v>857.69406215141612</v>
      </c>
      <c r="AC331" s="123">
        <f t="shared" si="93"/>
        <v>1072.1175776892701</v>
      </c>
      <c r="AK331" s="121">
        <f t="shared" si="103"/>
        <v>26</v>
      </c>
      <c r="AL331" s="101">
        <f t="shared" si="94"/>
        <v>0</v>
      </c>
      <c r="AM331" s="101">
        <f>10+Module!$K$57/($Z$1+1)</f>
        <v>133.65759122654444</v>
      </c>
      <c r="AN331" s="101">
        <f>$Z$1*(25+Module!$I$6)</f>
        <v>50.5</v>
      </c>
      <c r="AO331" s="101">
        <f>(AM331*($Z$1+1)*0.002488974)/($Z$1+1)*Module!$I$5*Module!$I$7</f>
        <v>102.62345540579445</v>
      </c>
      <c r="AP331" s="101">
        <f>$P$120*Module!$I$7*X331*Module!$I$5</f>
        <v>58.710069225335722</v>
      </c>
      <c r="AQ331" s="151">
        <f t="shared" si="98"/>
        <v>1000000</v>
      </c>
      <c r="AS331" s="101">
        <f t="shared" si="95"/>
        <v>0</v>
      </c>
      <c r="AT331" s="101">
        <f>10+Module!$K$57/($AA$1+1)</f>
        <v>92.438394151029627</v>
      </c>
      <c r="AU331" s="101">
        <f>$AA$1*(25+Module!$I$6)</f>
        <v>101</v>
      </c>
      <c r="AV331" s="101">
        <f>(AT331*($Z$1+1)*0.002488974)/($Z$1+1)*Module!$I$5*Module!$I$7</f>
        <v>70.974999121916298</v>
      </c>
      <c r="AW331" s="101">
        <f>$P$120*Module!$I$7*X331*Module!$I$5</f>
        <v>58.710069225335722</v>
      </c>
      <c r="AX331" s="151">
        <f t="shared" si="99"/>
        <v>1000000</v>
      </c>
      <c r="AZ331" s="101">
        <f t="shared" si="96"/>
        <v>0</v>
      </c>
      <c r="BA331" s="101">
        <f>10+Module!$K$57/($AB$1+1)</f>
        <v>71.82879561327222</v>
      </c>
      <c r="BB331" s="101">
        <f>$AB$1*(25+Module!$I$6)</f>
        <v>151.5</v>
      </c>
      <c r="BC331" s="101">
        <f>(BA331*($AB$1+1)*0.002488974)/($AB$1+1)*Module!$I$5*Module!$I$7</f>
        <v>55.150770979977231</v>
      </c>
      <c r="BD331" s="101">
        <f>$P$120*Module!$I$7*X331*Module!$I$5</f>
        <v>58.710069225335722</v>
      </c>
      <c r="BE331" s="151">
        <f t="shared" si="100"/>
        <v>1000000</v>
      </c>
      <c r="BG331" s="101">
        <f t="shared" si="97"/>
        <v>0</v>
      </c>
      <c r="BH331" s="101">
        <f>10+Module!$K$57/($AC$1+1)</f>
        <v>59.463036490617775</v>
      </c>
      <c r="BI331" s="101">
        <f>$AC$1*(25+Module!$I$6)</f>
        <v>202</v>
      </c>
      <c r="BJ331" s="101">
        <f>(BH331*($AC$1+1)*0.002488974)/($AC$1+1)*Module!$I$5*Module!$I$7</f>
        <v>45.656234094813776</v>
      </c>
      <c r="BK331" s="101">
        <f>$P$120*Module!$I$7*X331*Module!$I$5</f>
        <v>58.710069225335722</v>
      </c>
      <c r="BL331" s="151">
        <f t="shared" si="101"/>
        <v>1000000</v>
      </c>
    </row>
    <row r="332" spans="23:64" ht="15.75" hidden="1" thickBot="1">
      <c r="W332" s="777"/>
      <c r="X332" s="121">
        <f t="shared" si="102"/>
        <v>27</v>
      </c>
      <c r="Y332" s="122">
        <f>'calcul pneu pour calculateur'!P333</f>
        <v>213.76586974348018</v>
      </c>
      <c r="Z332" s="123">
        <f t="shared" si="90"/>
        <v>427.53173948696036</v>
      </c>
      <c r="AA332" s="123">
        <f t="shared" si="91"/>
        <v>641.29760923044057</v>
      </c>
      <c r="AB332" s="123">
        <f t="shared" si="92"/>
        <v>855.06347897392072</v>
      </c>
      <c r="AC332" s="123">
        <f t="shared" si="93"/>
        <v>1068.829348717401</v>
      </c>
      <c r="AK332" s="121">
        <f t="shared" si="103"/>
        <v>27</v>
      </c>
      <c r="AL332" s="101">
        <f t="shared" si="94"/>
        <v>0</v>
      </c>
      <c r="AM332" s="101">
        <f>10+Module!$K$57/($Z$1+1)</f>
        <v>133.65759122654444</v>
      </c>
      <c r="AN332" s="101">
        <f>$Z$1*(25+Module!$I$6)</f>
        <v>50.5</v>
      </c>
      <c r="AO332" s="101">
        <f>(AM332*($Z$1+1)*0.002488974)/($Z$1+1)*Module!$I$5*Module!$I$7</f>
        <v>102.62345540579445</v>
      </c>
      <c r="AP332" s="101">
        <f>$P$120*Module!$I$7*X332*Module!$I$5</f>
        <v>60.968148810925555</v>
      </c>
      <c r="AQ332" s="151">
        <f t="shared" si="98"/>
        <v>1000000</v>
      </c>
      <c r="AS332" s="101">
        <f t="shared" si="95"/>
        <v>0</v>
      </c>
      <c r="AT332" s="101">
        <f>10+Module!$K$57/($AA$1+1)</f>
        <v>92.438394151029627</v>
      </c>
      <c r="AU332" s="101">
        <f>$AA$1*(25+Module!$I$6)</f>
        <v>101</v>
      </c>
      <c r="AV332" s="101">
        <f>(AT332*($Z$1+1)*0.002488974)/($Z$1+1)*Module!$I$5*Module!$I$7</f>
        <v>70.974999121916298</v>
      </c>
      <c r="AW332" s="101">
        <f>$P$120*Module!$I$7*X332*Module!$I$5</f>
        <v>60.968148810925555</v>
      </c>
      <c r="AX332" s="151">
        <f t="shared" si="99"/>
        <v>1000000</v>
      </c>
      <c r="AZ332" s="101">
        <f t="shared" si="96"/>
        <v>0</v>
      </c>
      <c r="BA332" s="101">
        <f>10+Module!$K$57/($AB$1+1)</f>
        <v>71.82879561327222</v>
      </c>
      <c r="BB332" s="101">
        <f>$AB$1*(25+Module!$I$6)</f>
        <v>151.5</v>
      </c>
      <c r="BC332" s="101">
        <f>(BA332*($AB$1+1)*0.002488974)/($AB$1+1)*Module!$I$5*Module!$I$7</f>
        <v>55.150770979977231</v>
      </c>
      <c r="BD332" s="101">
        <f>$P$120*Module!$I$7*X332*Module!$I$5</f>
        <v>60.968148810925555</v>
      </c>
      <c r="BE332" s="151">
        <f t="shared" si="100"/>
        <v>1000000</v>
      </c>
      <c r="BG332" s="101">
        <f t="shared" si="97"/>
        <v>0</v>
      </c>
      <c r="BH332" s="101">
        <f>10+Module!$K$57/($AC$1+1)</f>
        <v>59.463036490617775</v>
      </c>
      <c r="BI332" s="101">
        <f>$AC$1*(25+Module!$I$6)</f>
        <v>202</v>
      </c>
      <c r="BJ332" s="101">
        <f>(BH332*($AC$1+1)*0.002488974)/($AC$1+1)*Module!$I$5*Module!$I$7</f>
        <v>45.656234094813776</v>
      </c>
      <c r="BK332" s="101">
        <f>$P$120*Module!$I$7*X332*Module!$I$5</f>
        <v>60.968148810925555</v>
      </c>
      <c r="BL332" s="151">
        <f t="shared" si="101"/>
        <v>1000000</v>
      </c>
    </row>
    <row r="333" spans="23:64" ht="15.75" hidden="1" thickBot="1">
      <c r="W333" s="777"/>
      <c r="X333" s="121">
        <f t="shared" si="102"/>
        <v>28</v>
      </c>
      <c r="Y333" s="122">
        <f>'calcul pneu pour calculateur'!P334</f>
        <v>213.10822394910636</v>
      </c>
      <c r="Z333" s="123">
        <f t="shared" si="90"/>
        <v>426.21644789821272</v>
      </c>
      <c r="AA333" s="123">
        <f t="shared" si="91"/>
        <v>639.32467184731911</v>
      </c>
      <c r="AB333" s="123">
        <f t="shared" si="92"/>
        <v>852.43289579642544</v>
      </c>
      <c r="AC333" s="123">
        <f t="shared" si="93"/>
        <v>1065.5411197455319</v>
      </c>
      <c r="AK333" s="121">
        <f t="shared" si="103"/>
        <v>28</v>
      </c>
      <c r="AL333" s="101">
        <f t="shared" si="94"/>
        <v>0</v>
      </c>
      <c r="AM333" s="101">
        <f>10+Module!$K$57/($Z$1+1)</f>
        <v>133.65759122654444</v>
      </c>
      <c r="AN333" s="101">
        <f>$Z$1*(25+Module!$I$6)</f>
        <v>50.5</v>
      </c>
      <c r="AO333" s="101">
        <f>(AM333*($Z$1+1)*0.002488974)/($Z$1+1)*Module!$I$5*Module!$I$7</f>
        <v>102.62345540579445</v>
      </c>
      <c r="AP333" s="101">
        <f>$P$120*Module!$I$7*X333*Module!$I$5</f>
        <v>63.226228396515388</v>
      </c>
      <c r="AQ333" s="151">
        <f t="shared" si="98"/>
        <v>1000000</v>
      </c>
      <c r="AS333" s="101">
        <f t="shared" si="95"/>
        <v>0</v>
      </c>
      <c r="AT333" s="101">
        <f>10+Module!$K$57/($AA$1+1)</f>
        <v>92.438394151029627</v>
      </c>
      <c r="AU333" s="101">
        <f>$AA$1*(25+Module!$I$6)</f>
        <v>101</v>
      </c>
      <c r="AV333" s="101">
        <f>(AT333*($Z$1+1)*0.002488974)/($Z$1+1)*Module!$I$5*Module!$I$7</f>
        <v>70.974999121916298</v>
      </c>
      <c r="AW333" s="101">
        <f>$P$120*Module!$I$7*X333*Module!$I$5</f>
        <v>63.226228396515388</v>
      </c>
      <c r="AX333" s="151">
        <f t="shared" si="99"/>
        <v>1000000</v>
      </c>
      <c r="AZ333" s="101">
        <f t="shared" si="96"/>
        <v>0</v>
      </c>
      <c r="BA333" s="101">
        <f>10+Module!$K$57/($AB$1+1)</f>
        <v>71.82879561327222</v>
      </c>
      <c r="BB333" s="101">
        <f>$AB$1*(25+Module!$I$6)</f>
        <v>151.5</v>
      </c>
      <c r="BC333" s="101">
        <f>(BA333*($AB$1+1)*0.002488974)/($AB$1+1)*Module!$I$5*Module!$I$7</f>
        <v>55.150770979977231</v>
      </c>
      <c r="BD333" s="101">
        <f>$P$120*Module!$I$7*X333*Module!$I$5</f>
        <v>63.226228396515388</v>
      </c>
      <c r="BE333" s="151">
        <f t="shared" si="100"/>
        <v>1000000</v>
      </c>
      <c r="BG333" s="101">
        <f t="shared" si="97"/>
        <v>0</v>
      </c>
      <c r="BH333" s="101">
        <f>10+Module!$K$57/($AC$1+1)</f>
        <v>59.463036490617775</v>
      </c>
      <c r="BI333" s="101">
        <f>$AC$1*(25+Module!$I$6)</f>
        <v>202</v>
      </c>
      <c r="BJ333" s="101">
        <f>(BH333*($AC$1+1)*0.002488974)/($AC$1+1)*Module!$I$5*Module!$I$7</f>
        <v>45.656234094813776</v>
      </c>
      <c r="BK333" s="101">
        <f>$P$120*Module!$I$7*X333*Module!$I$5</f>
        <v>63.226228396515388</v>
      </c>
      <c r="BL333" s="151">
        <f t="shared" si="101"/>
        <v>1000000</v>
      </c>
    </row>
    <row r="334" spans="23:64" ht="15.75" hidden="1" thickBot="1">
      <c r="W334" s="777"/>
      <c r="X334" s="121">
        <f t="shared" si="102"/>
        <v>29</v>
      </c>
      <c r="Y334" s="122">
        <f>'calcul pneu pour calculateur'!P335</f>
        <v>212.45057815473251</v>
      </c>
      <c r="Z334" s="123">
        <f t="shared" si="90"/>
        <v>424.90115630946502</v>
      </c>
      <c r="AA334" s="123">
        <f t="shared" si="91"/>
        <v>637.35173446419753</v>
      </c>
      <c r="AB334" s="123">
        <f t="shared" si="92"/>
        <v>849.80231261893005</v>
      </c>
      <c r="AC334" s="123">
        <f t="shared" si="93"/>
        <v>1062.2528907736626</v>
      </c>
      <c r="AK334" s="121">
        <f t="shared" si="103"/>
        <v>29</v>
      </c>
      <c r="AL334" s="101">
        <f t="shared" si="94"/>
        <v>0</v>
      </c>
      <c r="AM334" s="101">
        <f>10+Module!$K$57/($Z$1+1)</f>
        <v>133.65759122654444</v>
      </c>
      <c r="AN334" s="101">
        <f>$Z$1*(25+Module!$I$6)</f>
        <v>50.5</v>
      </c>
      <c r="AO334" s="101">
        <f>(AM334*($Z$1+1)*0.002488974)/($Z$1+1)*Module!$I$5*Module!$I$7</f>
        <v>102.62345540579445</v>
      </c>
      <c r="AP334" s="101">
        <f>$P$120*Module!$I$7*X334*Module!$I$5</f>
        <v>65.484307982105236</v>
      </c>
      <c r="AQ334" s="151">
        <f t="shared" si="98"/>
        <v>1000000</v>
      </c>
      <c r="AS334" s="101">
        <f t="shared" si="95"/>
        <v>0</v>
      </c>
      <c r="AT334" s="101">
        <f>10+Module!$K$57/($AA$1+1)</f>
        <v>92.438394151029627</v>
      </c>
      <c r="AU334" s="101">
        <f>$AA$1*(25+Module!$I$6)</f>
        <v>101</v>
      </c>
      <c r="AV334" s="101">
        <f>(AT334*($Z$1+1)*0.002488974)/($Z$1+1)*Module!$I$5*Module!$I$7</f>
        <v>70.974999121916298</v>
      </c>
      <c r="AW334" s="101">
        <f>$P$120*Module!$I$7*X334*Module!$I$5</f>
        <v>65.484307982105236</v>
      </c>
      <c r="AX334" s="151">
        <f t="shared" si="99"/>
        <v>1000000</v>
      </c>
      <c r="AZ334" s="101">
        <f t="shared" si="96"/>
        <v>0</v>
      </c>
      <c r="BA334" s="101">
        <f>10+Module!$K$57/($AB$1+1)</f>
        <v>71.82879561327222</v>
      </c>
      <c r="BB334" s="101">
        <f>$AB$1*(25+Module!$I$6)</f>
        <v>151.5</v>
      </c>
      <c r="BC334" s="101">
        <f>(BA334*($AB$1+1)*0.002488974)/($AB$1+1)*Module!$I$5*Module!$I$7</f>
        <v>55.150770979977231</v>
      </c>
      <c r="BD334" s="101">
        <f>$P$120*Module!$I$7*X334*Module!$I$5</f>
        <v>65.484307982105236</v>
      </c>
      <c r="BE334" s="151">
        <f t="shared" si="100"/>
        <v>1000000</v>
      </c>
      <c r="BG334" s="101">
        <f t="shared" si="97"/>
        <v>0</v>
      </c>
      <c r="BH334" s="101">
        <f>10+Module!$K$57/($AC$1+1)</f>
        <v>59.463036490617775</v>
      </c>
      <c r="BI334" s="101">
        <f>$AC$1*(25+Module!$I$6)</f>
        <v>202</v>
      </c>
      <c r="BJ334" s="101">
        <f>(BH334*($AC$1+1)*0.002488974)/($AC$1+1)*Module!$I$5*Module!$I$7</f>
        <v>45.656234094813776</v>
      </c>
      <c r="BK334" s="101">
        <f>$P$120*Module!$I$7*X334*Module!$I$5</f>
        <v>65.484307982105236</v>
      </c>
      <c r="BL334" s="151">
        <f t="shared" si="101"/>
        <v>1000000</v>
      </c>
    </row>
    <row r="335" spans="23:64" ht="15.75" hidden="1" thickBot="1">
      <c r="W335" s="777"/>
      <c r="X335" s="121">
        <f t="shared" si="102"/>
        <v>30</v>
      </c>
      <c r="Y335" s="122">
        <f>'calcul pneu pour calculateur'!P336</f>
        <v>211.79293236035869</v>
      </c>
      <c r="Z335" s="123">
        <f t="shared" si="90"/>
        <v>423.58586472071738</v>
      </c>
      <c r="AA335" s="123">
        <f t="shared" si="91"/>
        <v>635.37879708107607</v>
      </c>
      <c r="AB335" s="123">
        <f t="shared" si="92"/>
        <v>847.17172944143476</v>
      </c>
      <c r="AC335" s="123">
        <f t="shared" si="93"/>
        <v>1058.9646618017935</v>
      </c>
      <c r="AK335" s="121">
        <f t="shared" si="103"/>
        <v>30</v>
      </c>
      <c r="AL335" s="101">
        <f t="shared" si="94"/>
        <v>0</v>
      </c>
      <c r="AM335" s="101">
        <f>10+Module!$K$57/($Z$1+1)</f>
        <v>133.65759122654444</v>
      </c>
      <c r="AN335" s="101">
        <f>$Z$1*(25+Module!$I$6)</f>
        <v>50.5</v>
      </c>
      <c r="AO335" s="101">
        <f>(AM335*($Z$1+1)*0.002488974)/($Z$1+1)*Module!$I$5*Module!$I$7</f>
        <v>102.62345540579445</v>
      </c>
      <c r="AP335" s="101">
        <f>$P$120*Module!$I$7*X335*Module!$I$5</f>
        <v>67.742387567695062</v>
      </c>
      <c r="AQ335" s="151">
        <f t="shared" si="98"/>
        <v>1000000</v>
      </c>
      <c r="AS335" s="101">
        <f t="shared" si="95"/>
        <v>0</v>
      </c>
      <c r="AT335" s="101">
        <f>10+Module!$K$57/($AA$1+1)</f>
        <v>92.438394151029627</v>
      </c>
      <c r="AU335" s="101">
        <f>$AA$1*(25+Module!$I$6)</f>
        <v>101</v>
      </c>
      <c r="AV335" s="101">
        <f>(AT335*($Z$1+1)*0.002488974)/($Z$1+1)*Module!$I$5*Module!$I$7</f>
        <v>70.974999121916298</v>
      </c>
      <c r="AW335" s="101">
        <f>$P$120*Module!$I$7*X335*Module!$I$5</f>
        <v>67.742387567695062</v>
      </c>
      <c r="AX335" s="151">
        <f t="shared" si="99"/>
        <v>1000000</v>
      </c>
      <c r="AZ335" s="101">
        <f t="shared" si="96"/>
        <v>0</v>
      </c>
      <c r="BA335" s="101">
        <f>10+Module!$K$57/($AB$1+1)</f>
        <v>71.82879561327222</v>
      </c>
      <c r="BB335" s="101">
        <f>$AB$1*(25+Module!$I$6)</f>
        <v>151.5</v>
      </c>
      <c r="BC335" s="101">
        <f>(BA335*($AB$1+1)*0.002488974)/($AB$1+1)*Module!$I$5*Module!$I$7</f>
        <v>55.150770979977231</v>
      </c>
      <c r="BD335" s="101">
        <f>$P$120*Module!$I$7*X335*Module!$I$5</f>
        <v>67.742387567695062</v>
      </c>
      <c r="BE335" s="151">
        <f t="shared" si="100"/>
        <v>1000000</v>
      </c>
      <c r="BG335" s="101">
        <f t="shared" si="97"/>
        <v>0</v>
      </c>
      <c r="BH335" s="101">
        <f>10+Module!$K$57/($AC$1+1)</f>
        <v>59.463036490617775</v>
      </c>
      <c r="BI335" s="101">
        <f>$AC$1*(25+Module!$I$6)</f>
        <v>202</v>
      </c>
      <c r="BJ335" s="101">
        <f>(BH335*($AC$1+1)*0.002488974)/($AC$1+1)*Module!$I$5*Module!$I$7</f>
        <v>45.656234094813776</v>
      </c>
      <c r="BK335" s="101">
        <f>$P$120*Module!$I$7*X335*Module!$I$5</f>
        <v>67.742387567695062</v>
      </c>
      <c r="BL335" s="151">
        <f t="shared" si="101"/>
        <v>1000000</v>
      </c>
    </row>
    <row r="336" spans="23:64" ht="15.75" hidden="1" thickBot="1">
      <c r="W336" s="777"/>
      <c r="X336" s="121">
        <f t="shared" si="102"/>
        <v>31</v>
      </c>
      <c r="Y336" s="122">
        <f>'calcul pneu pour calculateur'!P337</f>
        <v>211.13528656598487</v>
      </c>
      <c r="Z336" s="123">
        <f t="shared" si="90"/>
        <v>422.27057313196974</v>
      </c>
      <c r="AA336" s="123">
        <f t="shared" si="91"/>
        <v>633.40585969795461</v>
      </c>
      <c r="AB336" s="123">
        <f t="shared" si="92"/>
        <v>844.54114626393948</v>
      </c>
      <c r="AC336" s="123">
        <f t="shared" si="93"/>
        <v>1055.6764328299244</v>
      </c>
      <c r="AK336" s="121">
        <f t="shared" si="103"/>
        <v>31</v>
      </c>
      <c r="AL336" s="101">
        <f t="shared" si="94"/>
        <v>0</v>
      </c>
      <c r="AM336" s="101">
        <f>10+Module!$K$57/($Z$1+1)</f>
        <v>133.65759122654444</v>
      </c>
      <c r="AN336" s="101">
        <f>$Z$1*(25+Module!$I$6)</f>
        <v>50.5</v>
      </c>
      <c r="AO336" s="101">
        <f>(AM336*($Z$1+1)*0.002488974)/($Z$1+1)*Module!$I$5*Module!$I$7</f>
        <v>102.62345540579445</v>
      </c>
      <c r="AP336" s="101">
        <f>$P$120*Module!$I$7*X336*Module!$I$5</f>
        <v>70.000467153284902</v>
      </c>
      <c r="AQ336" s="151">
        <f t="shared" si="98"/>
        <v>1000000</v>
      </c>
      <c r="AS336" s="101">
        <f t="shared" si="95"/>
        <v>0</v>
      </c>
      <c r="AT336" s="101">
        <f>10+Module!$K$57/($AA$1+1)</f>
        <v>92.438394151029627</v>
      </c>
      <c r="AU336" s="101">
        <f>$AA$1*(25+Module!$I$6)</f>
        <v>101</v>
      </c>
      <c r="AV336" s="101">
        <f>(AT336*($Z$1+1)*0.002488974)/($Z$1+1)*Module!$I$5*Module!$I$7</f>
        <v>70.974999121916298</v>
      </c>
      <c r="AW336" s="101">
        <f>$P$120*Module!$I$7*X336*Module!$I$5</f>
        <v>70.000467153284902</v>
      </c>
      <c r="AX336" s="151">
        <f t="shared" si="99"/>
        <v>1000000</v>
      </c>
      <c r="AZ336" s="101">
        <f t="shared" si="96"/>
        <v>0</v>
      </c>
      <c r="BA336" s="101">
        <f>10+Module!$K$57/($AB$1+1)</f>
        <v>71.82879561327222</v>
      </c>
      <c r="BB336" s="101">
        <f>$AB$1*(25+Module!$I$6)</f>
        <v>151.5</v>
      </c>
      <c r="BC336" s="101">
        <f>(BA336*($AB$1+1)*0.002488974)/($AB$1+1)*Module!$I$5*Module!$I$7</f>
        <v>55.150770979977231</v>
      </c>
      <c r="BD336" s="101">
        <f>$P$120*Module!$I$7*X336*Module!$I$5</f>
        <v>70.000467153284902</v>
      </c>
      <c r="BE336" s="151">
        <f t="shared" si="100"/>
        <v>1000000</v>
      </c>
      <c r="BG336" s="101">
        <f t="shared" si="97"/>
        <v>0</v>
      </c>
      <c r="BH336" s="101">
        <f>10+Module!$K$57/($AC$1+1)</f>
        <v>59.463036490617775</v>
      </c>
      <c r="BI336" s="101">
        <f>$AC$1*(25+Module!$I$6)</f>
        <v>202</v>
      </c>
      <c r="BJ336" s="101">
        <f>(BH336*($AC$1+1)*0.002488974)/($AC$1+1)*Module!$I$5*Module!$I$7</f>
        <v>45.656234094813776</v>
      </c>
      <c r="BK336" s="101">
        <f>$P$120*Module!$I$7*X336*Module!$I$5</f>
        <v>70.000467153284902</v>
      </c>
      <c r="BL336" s="151">
        <f t="shared" si="101"/>
        <v>1000000</v>
      </c>
    </row>
    <row r="337" spans="23:64" ht="15.75" hidden="1" thickBot="1">
      <c r="W337" s="777"/>
      <c r="X337" s="121">
        <f t="shared" si="102"/>
        <v>32</v>
      </c>
      <c r="Y337" s="122">
        <f>'calcul pneu pour calculateur'!P338</f>
        <v>210.47764077161099</v>
      </c>
      <c r="Z337" s="123">
        <f t="shared" si="90"/>
        <v>420.95528154322199</v>
      </c>
      <c r="AA337" s="123">
        <f t="shared" si="91"/>
        <v>631.43292231483292</v>
      </c>
      <c r="AB337" s="123">
        <f t="shared" si="92"/>
        <v>841.91056308644397</v>
      </c>
      <c r="AC337" s="123">
        <f t="shared" si="93"/>
        <v>1052.388203858055</v>
      </c>
      <c r="AK337" s="121">
        <f t="shared" si="103"/>
        <v>32</v>
      </c>
      <c r="AL337" s="101">
        <f t="shared" si="94"/>
        <v>0</v>
      </c>
      <c r="AM337" s="101">
        <f>10+Module!$K$57/($Z$1+1)</f>
        <v>133.65759122654444</v>
      </c>
      <c r="AN337" s="101">
        <f>$Z$1*(25+Module!$I$6)</f>
        <v>50.5</v>
      </c>
      <c r="AO337" s="101">
        <f>(AM337*($Z$1+1)*0.002488974)/($Z$1+1)*Module!$I$5*Module!$I$7</f>
        <v>102.62345540579445</v>
      </c>
      <c r="AP337" s="101">
        <f>$P$120*Module!$I$7*X337*Module!$I$5</f>
        <v>72.258546738874728</v>
      </c>
      <c r="AQ337" s="151">
        <f t="shared" si="98"/>
        <v>1000000</v>
      </c>
      <c r="AS337" s="101">
        <f t="shared" si="95"/>
        <v>0</v>
      </c>
      <c r="AT337" s="101">
        <f>10+Module!$K$57/($AA$1+1)</f>
        <v>92.438394151029627</v>
      </c>
      <c r="AU337" s="101">
        <f>$AA$1*(25+Module!$I$6)</f>
        <v>101</v>
      </c>
      <c r="AV337" s="101">
        <f>(AT337*($Z$1+1)*0.002488974)/($Z$1+1)*Module!$I$5*Module!$I$7</f>
        <v>70.974999121916298</v>
      </c>
      <c r="AW337" s="101">
        <f>$P$120*Module!$I$7*X337*Module!$I$5</f>
        <v>72.258546738874728</v>
      </c>
      <c r="AX337" s="151">
        <f t="shared" si="99"/>
        <v>1000000</v>
      </c>
      <c r="AZ337" s="101">
        <f t="shared" si="96"/>
        <v>0</v>
      </c>
      <c r="BA337" s="101">
        <f>10+Module!$K$57/($AB$1+1)</f>
        <v>71.82879561327222</v>
      </c>
      <c r="BB337" s="101">
        <f>$AB$1*(25+Module!$I$6)</f>
        <v>151.5</v>
      </c>
      <c r="BC337" s="101">
        <f>(BA337*($AB$1+1)*0.002488974)/($AB$1+1)*Module!$I$5*Module!$I$7</f>
        <v>55.150770979977231</v>
      </c>
      <c r="BD337" s="101">
        <f>$P$120*Module!$I$7*X337*Module!$I$5</f>
        <v>72.258546738874728</v>
      </c>
      <c r="BE337" s="151">
        <f t="shared" si="100"/>
        <v>1000000</v>
      </c>
      <c r="BG337" s="101">
        <f t="shared" si="97"/>
        <v>0</v>
      </c>
      <c r="BH337" s="101">
        <f>10+Module!$K$57/($AC$1+1)</f>
        <v>59.463036490617775</v>
      </c>
      <c r="BI337" s="101">
        <f>$AC$1*(25+Module!$I$6)</f>
        <v>202</v>
      </c>
      <c r="BJ337" s="101">
        <f>(BH337*($AC$1+1)*0.002488974)/($AC$1+1)*Module!$I$5*Module!$I$7</f>
        <v>45.656234094813776</v>
      </c>
      <c r="BK337" s="101">
        <f>$P$120*Module!$I$7*X337*Module!$I$5</f>
        <v>72.258546738874728</v>
      </c>
      <c r="BL337" s="151">
        <f t="shared" si="101"/>
        <v>1000000</v>
      </c>
    </row>
    <row r="338" spans="23:64" ht="15.75" hidden="1" thickBot="1">
      <c r="W338" s="777"/>
      <c r="X338" s="121">
        <f t="shared" si="102"/>
        <v>33</v>
      </c>
      <c r="Y338" s="122">
        <f>'calcul pneu pour calculateur'!P339</f>
        <v>209.81999497723717</v>
      </c>
      <c r="Z338" s="123">
        <f t="shared" si="90"/>
        <v>419.63998995447434</v>
      </c>
      <c r="AA338" s="123">
        <f t="shared" si="91"/>
        <v>629.45998493171146</v>
      </c>
      <c r="AB338" s="123">
        <f t="shared" si="92"/>
        <v>839.27997990894869</v>
      </c>
      <c r="AC338" s="123">
        <f t="shared" si="93"/>
        <v>1049.0999748861859</v>
      </c>
      <c r="AK338" s="121">
        <f t="shared" si="103"/>
        <v>33</v>
      </c>
      <c r="AL338" s="101">
        <f t="shared" si="94"/>
        <v>0</v>
      </c>
      <c r="AM338" s="101">
        <f>10+Module!$K$57/($Z$1+1)</f>
        <v>133.65759122654444</v>
      </c>
      <c r="AN338" s="101">
        <f>$Z$1*(25+Module!$I$6)</f>
        <v>50.5</v>
      </c>
      <c r="AO338" s="101">
        <f>(AM338*($Z$1+1)*0.002488974)/($Z$1+1)*Module!$I$5*Module!$I$7</f>
        <v>102.62345540579445</v>
      </c>
      <c r="AP338" s="101">
        <f>$P$120*Module!$I$7*X338*Module!$I$5</f>
        <v>74.516626324464568</v>
      </c>
      <c r="AQ338" s="151">
        <f t="shared" si="98"/>
        <v>1000000</v>
      </c>
      <c r="AS338" s="101">
        <f t="shared" si="95"/>
        <v>0</v>
      </c>
      <c r="AT338" s="101">
        <f>10+Module!$K$57/($AA$1+1)</f>
        <v>92.438394151029627</v>
      </c>
      <c r="AU338" s="101">
        <f>$AA$1*(25+Module!$I$6)</f>
        <v>101</v>
      </c>
      <c r="AV338" s="101">
        <f>(AT338*($Z$1+1)*0.002488974)/($Z$1+1)*Module!$I$5*Module!$I$7</f>
        <v>70.974999121916298</v>
      </c>
      <c r="AW338" s="101">
        <f>$P$120*Module!$I$7*X338*Module!$I$5</f>
        <v>74.516626324464568</v>
      </c>
      <c r="AX338" s="151">
        <f t="shared" si="99"/>
        <v>1000000</v>
      </c>
      <c r="AZ338" s="101">
        <f t="shared" si="96"/>
        <v>0</v>
      </c>
      <c r="BA338" s="101">
        <f>10+Module!$K$57/($AB$1+1)</f>
        <v>71.82879561327222</v>
      </c>
      <c r="BB338" s="101">
        <f>$AB$1*(25+Module!$I$6)</f>
        <v>151.5</v>
      </c>
      <c r="BC338" s="101">
        <f>(BA338*($AB$1+1)*0.002488974)/($AB$1+1)*Module!$I$5*Module!$I$7</f>
        <v>55.150770979977231</v>
      </c>
      <c r="BD338" s="101">
        <f>$P$120*Module!$I$7*X338*Module!$I$5</f>
        <v>74.516626324464568</v>
      </c>
      <c r="BE338" s="151">
        <f t="shared" si="100"/>
        <v>1000000</v>
      </c>
      <c r="BG338" s="101">
        <f t="shared" si="97"/>
        <v>0</v>
      </c>
      <c r="BH338" s="101">
        <f>10+Module!$K$57/($AC$1+1)</f>
        <v>59.463036490617775</v>
      </c>
      <c r="BI338" s="101">
        <f>$AC$1*(25+Module!$I$6)</f>
        <v>202</v>
      </c>
      <c r="BJ338" s="101">
        <f>(BH338*($AC$1+1)*0.002488974)/($AC$1+1)*Module!$I$5*Module!$I$7</f>
        <v>45.656234094813776</v>
      </c>
      <c r="BK338" s="101">
        <f>$P$120*Module!$I$7*X338*Module!$I$5</f>
        <v>74.516626324464568</v>
      </c>
      <c r="BL338" s="151">
        <f t="shared" si="101"/>
        <v>1000000</v>
      </c>
    </row>
    <row r="339" spans="23:64" ht="15.75" hidden="1" thickBot="1">
      <c r="W339" s="777"/>
      <c r="X339" s="121">
        <f t="shared" si="102"/>
        <v>34</v>
      </c>
      <c r="Y339" s="122">
        <f>'calcul pneu pour calculateur'!P340</f>
        <v>209.16234918286335</v>
      </c>
      <c r="Z339" s="123">
        <f t="shared" si="90"/>
        <v>418.3246983657267</v>
      </c>
      <c r="AA339" s="123">
        <f t="shared" si="91"/>
        <v>627.48704754859</v>
      </c>
      <c r="AB339" s="123">
        <f t="shared" si="92"/>
        <v>836.64939673145341</v>
      </c>
      <c r="AC339" s="123">
        <f t="shared" si="93"/>
        <v>1045.8117459143168</v>
      </c>
      <c r="AK339" s="121">
        <f t="shared" si="103"/>
        <v>34</v>
      </c>
      <c r="AL339" s="101">
        <f t="shared" si="94"/>
        <v>0</v>
      </c>
      <c r="AM339" s="101">
        <f>10+Module!$K$57/($Z$1+1)</f>
        <v>133.65759122654444</v>
      </c>
      <c r="AN339" s="101">
        <f>$Z$1*(25+Module!$I$6)</f>
        <v>50.5</v>
      </c>
      <c r="AO339" s="101">
        <f>(AM339*($Z$1+1)*0.002488974)/($Z$1+1)*Module!$I$5*Module!$I$7</f>
        <v>102.62345540579445</v>
      </c>
      <c r="AP339" s="101">
        <f>$P$120*Module!$I$7*X339*Module!$I$5</f>
        <v>76.774705910054408</v>
      </c>
      <c r="AQ339" s="151">
        <f t="shared" si="98"/>
        <v>1000000</v>
      </c>
      <c r="AS339" s="101">
        <f t="shared" si="95"/>
        <v>0</v>
      </c>
      <c r="AT339" s="101">
        <f>10+Module!$K$57/($AA$1+1)</f>
        <v>92.438394151029627</v>
      </c>
      <c r="AU339" s="101">
        <f>$AA$1*(25+Module!$I$6)</f>
        <v>101</v>
      </c>
      <c r="AV339" s="101">
        <f>(AT339*($Z$1+1)*0.002488974)/($Z$1+1)*Module!$I$5*Module!$I$7</f>
        <v>70.974999121916298</v>
      </c>
      <c r="AW339" s="101">
        <f>$P$120*Module!$I$7*X339*Module!$I$5</f>
        <v>76.774705910054408</v>
      </c>
      <c r="AX339" s="151">
        <f t="shared" si="99"/>
        <v>1000000</v>
      </c>
      <c r="AZ339" s="101">
        <f t="shared" si="96"/>
        <v>0</v>
      </c>
      <c r="BA339" s="101">
        <f>10+Module!$K$57/($AB$1+1)</f>
        <v>71.82879561327222</v>
      </c>
      <c r="BB339" s="101">
        <f>$AB$1*(25+Module!$I$6)</f>
        <v>151.5</v>
      </c>
      <c r="BC339" s="101">
        <f>(BA339*($AB$1+1)*0.002488974)/($AB$1+1)*Module!$I$5*Module!$I$7</f>
        <v>55.150770979977231</v>
      </c>
      <c r="BD339" s="101">
        <f>$P$120*Module!$I$7*X339*Module!$I$5</f>
        <v>76.774705910054408</v>
      </c>
      <c r="BE339" s="151">
        <f t="shared" si="100"/>
        <v>1000000</v>
      </c>
      <c r="BG339" s="101">
        <f t="shared" si="97"/>
        <v>0</v>
      </c>
      <c r="BH339" s="101">
        <f>10+Module!$K$57/($AC$1+1)</f>
        <v>59.463036490617775</v>
      </c>
      <c r="BI339" s="101">
        <f>$AC$1*(25+Module!$I$6)</f>
        <v>202</v>
      </c>
      <c r="BJ339" s="101">
        <f>(BH339*($AC$1+1)*0.002488974)/($AC$1+1)*Module!$I$5*Module!$I$7</f>
        <v>45.656234094813776</v>
      </c>
      <c r="BK339" s="101">
        <f>$P$120*Module!$I$7*X339*Module!$I$5</f>
        <v>76.774705910054408</v>
      </c>
      <c r="BL339" s="151">
        <f t="shared" si="101"/>
        <v>1000000</v>
      </c>
    </row>
    <row r="340" spans="23:64" ht="15.75" hidden="1" thickBot="1">
      <c r="W340" s="777"/>
      <c r="X340" s="121">
        <f t="shared" si="102"/>
        <v>35</v>
      </c>
      <c r="Y340" s="122">
        <f>'calcul pneu pour calculateur'!P341</f>
        <v>208.5047033884895</v>
      </c>
      <c r="Z340" s="123">
        <f t="shared" si="90"/>
        <v>417.00940677697901</v>
      </c>
      <c r="AA340" s="123">
        <f t="shared" si="91"/>
        <v>625.51411016546854</v>
      </c>
      <c r="AB340" s="123">
        <f t="shared" si="92"/>
        <v>834.01881355395801</v>
      </c>
      <c r="AC340" s="123">
        <f t="shared" si="93"/>
        <v>1042.5235169424475</v>
      </c>
      <c r="AK340" s="121">
        <f t="shared" si="103"/>
        <v>35</v>
      </c>
      <c r="AL340" s="101">
        <f t="shared" si="94"/>
        <v>0</v>
      </c>
      <c r="AM340" s="101">
        <f>10+Module!$K$57/($Z$1+1)</f>
        <v>133.65759122654444</v>
      </c>
      <c r="AN340" s="101">
        <f>$Z$1*(25+Module!$I$6)</f>
        <v>50.5</v>
      </c>
      <c r="AO340" s="101">
        <f>(AM340*($Z$1+1)*0.002488974)/($Z$1+1)*Module!$I$5*Module!$I$7</f>
        <v>102.62345540579445</v>
      </c>
      <c r="AP340" s="101">
        <f>$P$120*Module!$I$7*X340*Module!$I$5</f>
        <v>79.032785495644234</v>
      </c>
      <c r="AQ340" s="151">
        <f t="shared" si="98"/>
        <v>1000000</v>
      </c>
      <c r="AS340" s="101">
        <f t="shared" si="95"/>
        <v>0</v>
      </c>
      <c r="AT340" s="101">
        <f>10+Module!$K$57/($AA$1+1)</f>
        <v>92.438394151029627</v>
      </c>
      <c r="AU340" s="101">
        <f>$AA$1*(25+Module!$I$6)</f>
        <v>101</v>
      </c>
      <c r="AV340" s="101">
        <f>(AT340*($Z$1+1)*0.002488974)/($Z$1+1)*Module!$I$5*Module!$I$7</f>
        <v>70.974999121916298</v>
      </c>
      <c r="AW340" s="101">
        <f>$P$120*Module!$I$7*X340*Module!$I$5</f>
        <v>79.032785495644234</v>
      </c>
      <c r="AX340" s="151">
        <f t="shared" si="99"/>
        <v>1000000</v>
      </c>
      <c r="AZ340" s="101">
        <f t="shared" si="96"/>
        <v>0</v>
      </c>
      <c r="BA340" s="101">
        <f>10+Module!$K$57/($AB$1+1)</f>
        <v>71.82879561327222</v>
      </c>
      <c r="BB340" s="101">
        <f>$AB$1*(25+Module!$I$6)</f>
        <v>151.5</v>
      </c>
      <c r="BC340" s="101">
        <f>(BA340*($AB$1+1)*0.002488974)/($AB$1+1)*Module!$I$5*Module!$I$7</f>
        <v>55.150770979977231</v>
      </c>
      <c r="BD340" s="101">
        <f>$P$120*Module!$I$7*X340*Module!$I$5</f>
        <v>79.032785495644234</v>
      </c>
      <c r="BE340" s="151">
        <f t="shared" si="100"/>
        <v>1000000</v>
      </c>
      <c r="BG340" s="101">
        <f t="shared" si="97"/>
        <v>0</v>
      </c>
      <c r="BH340" s="101">
        <f>10+Module!$K$57/($AC$1+1)</f>
        <v>59.463036490617775</v>
      </c>
      <c r="BI340" s="101">
        <f>$AC$1*(25+Module!$I$6)</f>
        <v>202</v>
      </c>
      <c r="BJ340" s="101">
        <f>(BH340*($AC$1+1)*0.002488974)/($AC$1+1)*Module!$I$5*Module!$I$7</f>
        <v>45.656234094813776</v>
      </c>
      <c r="BK340" s="101">
        <f>$P$120*Module!$I$7*X340*Module!$I$5</f>
        <v>79.032785495644234</v>
      </c>
      <c r="BL340" s="151">
        <f t="shared" si="101"/>
        <v>1000000</v>
      </c>
    </row>
    <row r="341" spans="23:64" ht="15.75" hidden="1" thickBot="1">
      <c r="W341" s="777"/>
      <c r="X341" s="121">
        <f t="shared" si="102"/>
        <v>36</v>
      </c>
      <c r="Y341" s="122">
        <f>'calcul pneu pour calculateur'!P342</f>
        <v>207.84705759411568</v>
      </c>
      <c r="Z341" s="123">
        <f t="shared" si="90"/>
        <v>415.69411518823136</v>
      </c>
      <c r="AA341" s="123">
        <f t="shared" si="91"/>
        <v>623.54117278234708</v>
      </c>
      <c r="AB341" s="123">
        <f t="shared" si="92"/>
        <v>831.38823037646273</v>
      </c>
      <c r="AC341" s="123">
        <f t="shared" si="93"/>
        <v>1039.2352879705784</v>
      </c>
      <c r="AK341" s="121">
        <f t="shared" si="103"/>
        <v>36</v>
      </c>
      <c r="AL341" s="101">
        <f t="shared" si="94"/>
        <v>0</v>
      </c>
      <c r="AM341" s="101">
        <f>10+Module!$K$57/($Z$1+1)</f>
        <v>133.65759122654444</v>
      </c>
      <c r="AN341" s="101">
        <f>$Z$1*(25+Module!$I$6)</f>
        <v>50.5</v>
      </c>
      <c r="AO341" s="101">
        <f>(AM341*($Z$1+1)*0.002488974)/($Z$1+1)*Module!$I$5*Module!$I$7</f>
        <v>102.62345540579445</v>
      </c>
      <c r="AP341" s="101">
        <f>$P$120*Module!$I$7*X341*Module!$I$5</f>
        <v>81.290865081234074</v>
      </c>
      <c r="AQ341" s="151">
        <f t="shared" si="98"/>
        <v>1000000</v>
      </c>
      <c r="AS341" s="101">
        <f t="shared" si="95"/>
        <v>0</v>
      </c>
      <c r="AT341" s="101">
        <f>10+Module!$K$57/($AA$1+1)</f>
        <v>92.438394151029627</v>
      </c>
      <c r="AU341" s="101">
        <f>$AA$1*(25+Module!$I$6)</f>
        <v>101</v>
      </c>
      <c r="AV341" s="101">
        <f>(AT341*($Z$1+1)*0.002488974)/($Z$1+1)*Module!$I$5*Module!$I$7</f>
        <v>70.974999121916298</v>
      </c>
      <c r="AW341" s="101">
        <f>$P$120*Module!$I$7*X341*Module!$I$5</f>
        <v>81.290865081234074</v>
      </c>
      <c r="AX341" s="151">
        <f t="shared" si="99"/>
        <v>1000000</v>
      </c>
      <c r="AZ341" s="101">
        <f t="shared" si="96"/>
        <v>0</v>
      </c>
      <c r="BA341" s="101">
        <f>10+Module!$K$57/($AB$1+1)</f>
        <v>71.82879561327222</v>
      </c>
      <c r="BB341" s="101">
        <f>$AB$1*(25+Module!$I$6)</f>
        <v>151.5</v>
      </c>
      <c r="BC341" s="101">
        <f>(BA341*($AB$1+1)*0.002488974)/($AB$1+1)*Module!$I$5*Module!$I$7</f>
        <v>55.150770979977231</v>
      </c>
      <c r="BD341" s="101">
        <f>$P$120*Module!$I$7*X341*Module!$I$5</f>
        <v>81.290865081234074</v>
      </c>
      <c r="BE341" s="151">
        <f t="shared" si="100"/>
        <v>1000000</v>
      </c>
      <c r="BG341" s="101">
        <f t="shared" si="97"/>
        <v>0</v>
      </c>
      <c r="BH341" s="101">
        <f>10+Module!$K$57/($AC$1+1)</f>
        <v>59.463036490617775</v>
      </c>
      <c r="BI341" s="101">
        <f>$AC$1*(25+Module!$I$6)</f>
        <v>202</v>
      </c>
      <c r="BJ341" s="101">
        <f>(BH341*($AC$1+1)*0.002488974)/($AC$1+1)*Module!$I$5*Module!$I$7</f>
        <v>45.656234094813776</v>
      </c>
      <c r="BK341" s="101">
        <f>$P$120*Module!$I$7*X341*Module!$I$5</f>
        <v>81.290865081234074</v>
      </c>
      <c r="BL341" s="151">
        <f t="shared" si="101"/>
        <v>1000000</v>
      </c>
    </row>
    <row r="342" spans="23:64" ht="15.75" hidden="1" thickBot="1">
      <c r="W342" s="777"/>
      <c r="X342" s="121">
        <f t="shared" si="102"/>
        <v>37</v>
      </c>
      <c r="Y342" s="122">
        <f>'calcul pneu pour calculateur'!P343</f>
        <v>207.18941179974183</v>
      </c>
      <c r="Z342" s="123">
        <f t="shared" si="90"/>
        <v>414.37882359948367</v>
      </c>
      <c r="AA342" s="123">
        <f t="shared" si="91"/>
        <v>621.5682353992255</v>
      </c>
      <c r="AB342" s="123">
        <f t="shared" si="92"/>
        <v>828.75764719896733</v>
      </c>
      <c r="AC342" s="123">
        <f t="shared" si="93"/>
        <v>1035.9470589987091</v>
      </c>
      <c r="AK342" s="121">
        <f t="shared" si="103"/>
        <v>37</v>
      </c>
      <c r="AL342" s="101">
        <f t="shared" si="94"/>
        <v>0</v>
      </c>
      <c r="AM342" s="101">
        <f>10+Module!$K$57/($Z$1+1)</f>
        <v>133.65759122654444</v>
      </c>
      <c r="AN342" s="101">
        <f>$Z$1*(25+Module!$I$6)</f>
        <v>50.5</v>
      </c>
      <c r="AO342" s="101">
        <f>(AM342*($Z$1+1)*0.002488974)/($Z$1+1)*Module!$I$5*Module!$I$7</f>
        <v>102.62345540579445</v>
      </c>
      <c r="AP342" s="101">
        <f>$P$120*Module!$I$7*X342*Module!$I$5</f>
        <v>83.548944666823914</v>
      </c>
      <c r="AQ342" s="151">
        <f t="shared" si="98"/>
        <v>1000000</v>
      </c>
      <c r="AS342" s="101">
        <f t="shared" si="95"/>
        <v>0</v>
      </c>
      <c r="AT342" s="101">
        <f>10+Module!$K$57/($AA$1+1)</f>
        <v>92.438394151029627</v>
      </c>
      <c r="AU342" s="101">
        <f>$AA$1*(25+Module!$I$6)</f>
        <v>101</v>
      </c>
      <c r="AV342" s="101">
        <f>(AT342*($Z$1+1)*0.002488974)/($Z$1+1)*Module!$I$5*Module!$I$7</f>
        <v>70.974999121916298</v>
      </c>
      <c r="AW342" s="101">
        <f>$P$120*Module!$I$7*X342*Module!$I$5</f>
        <v>83.548944666823914</v>
      </c>
      <c r="AX342" s="151">
        <f t="shared" si="99"/>
        <v>1000000</v>
      </c>
      <c r="AZ342" s="101">
        <f t="shared" si="96"/>
        <v>0</v>
      </c>
      <c r="BA342" s="101">
        <f>10+Module!$K$57/($AB$1+1)</f>
        <v>71.82879561327222</v>
      </c>
      <c r="BB342" s="101">
        <f>$AB$1*(25+Module!$I$6)</f>
        <v>151.5</v>
      </c>
      <c r="BC342" s="101">
        <f>(BA342*($AB$1+1)*0.002488974)/($AB$1+1)*Module!$I$5*Module!$I$7</f>
        <v>55.150770979977231</v>
      </c>
      <c r="BD342" s="101">
        <f>$P$120*Module!$I$7*X342*Module!$I$5</f>
        <v>83.548944666823914</v>
      </c>
      <c r="BE342" s="151">
        <f t="shared" si="100"/>
        <v>1000000</v>
      </c>
      <c r="BG342" s="101">
        <f t="shared" si="97"/>
        <v>0</v>
      </c>
      <c r="BH342" s="101">
        <f>10+Module!$K$57/($AC$1+1)</f>
        <v>59.463036490617775</v>
      </c>
      <c r="BI342" s="101">
        <f>$AC$1*(25+Module!$I$6)</f>
        <v>202</v>
      </c>
      <c r="BJ342" s="101">
        <f>(BH342*($AC$1+1)*0.002488974)/($AC$1+1)*Module!$I$5*Module!$I$7</f>
        <v>45.656234094813776</v>
      </c>
      <c r="BK342" s="101">
        <f>$P$120*Module!$I$7*X342*Module!$I$5</f>
        <v>83.548944666823914</v>
      </c>
      <c r="BL342" s="151">
        <f t="shared" si="101"/>
        <v>1000000</v>
      </c>
    </row>
    <row r="343" spans="23:64" ht="15.75" hidden="1" thickBot="1">
      <c r="W343" s="777"/>
      <c r="X343" s="121">
        <f t="shared" si="102"/>
        <v>38</v>
      </c>
      <c r="Y343" s="122">
        <f>'calcul pneu pour calculateur'!P344</f>
        <v>206.53176600536801</v>
      </c>
      <c r="Z343" s="123">
        <f t="shared" si="90"/>
        <v>413.06353201073603</v>
      </c>
      <c r="AA343" s="123">
        <f t="shared" si="91"/>
        <v>619.59529801610404</v>
      </c>
      <c r="AB343" s="123">
        <f t="shared" si="92"/>
        <v>826.12706402147205</v>
      </c>
      <c r="AC343" s="123">
        <f t="shared" si="93"/>
        <v>1032.65883002684</v>
      </c>
      <c r="AK343" s="121">
        <f t="shared" si="103"/>
        <v>38</v>
      </c>
      <c r="AL343" s="101">
        <f t="shared" si="94"/>
        <v>0</v>
      </c>
      <c r="AM343" s="101">
        <f>10+Module!$K$57/($Z$1+1)</f>
        <v>133.65759122654444</v>
      </c>
      <c r="AN343" s="101">
        <f>$Z$1*(25+Module!$I$6)</f>
        <v>50.5</v>
      </c>
      <c r="AO343" s="101">
        <f>(AM343*($Z$1+1)*0.002488974)/($Z$1+1)*Module!$I$5*Module!$I$7</f>
        <v>102.62345540579445</v>
      </c>
      <c r="AP343" s="101">
        <f>$P$120*Module!$I$7*X343*Module!$I$5</f>
        <v>85.807024252413754</v>
      </c>
      <c r="AQ343" s="151">
        <f t="shared" si="98"/>
        <v>1000000</v>
      </c>
      <c r="AS343" s="101">
        <f t="shared" si="95"/>
        <v>0</v>
      </c>
      <c r="AT343" s="101">
        <f>10+Module!$K$57/($AA$1+1)</f>
        <v>92.438394151029627</v>
      </c>
      <c r="AU343" s="101">
        <f>$AA$1*(25+Module!$I$6)</f>
        <v>101</v>
      </c>
      <c r="AV343" s="101">
        <f>(AT343*($Z$1+1)*0.002488974)/($Z$1+1)*Module!$I$5*Module!$I$7</f>
        <v>70.974999121916298</v>
      </c>
      <c r="AW343" s="101">
        <f>$P$120*Module!$I$7*X343*Module!$I$5</f>
        <v>85.807024252413754</v>
      </c>
      <c r="AX343" s="151">
        <f t="shared" si="99"/>
        <v>1000000</v>
      </c>
      <c r="AZ343" s="101">
        <f t="shared" si="96"/>
        <v>0</v>
      </c>
      <c r="BA343" s="101">
        <f>10+Module!$K$57/($AB$1+1)</f>
        <v>71.82879561327222</v>
      </c>
      <c r="BB343" s="101">
        <f>$AB$1*(25+Module!$I$6)</f>
        <v>151.5</v>
      </c>
      <c r="BC343" s="101">
        <f>(BA343*($AB$1+1)*0.002488974)/($AB$1+1)*Module!$I$5*Module!$I$7</f>
        <v>55.150770979977231</v>
      </c>
      <c r="BD343" s="101">
        <f>$P$120*Module!$I$7*X343*Module!$I$5</f>
        <v>85.807024252413754</v>
      </c>
      <c r="BE343" s="151">
        <f t="shared" si="100"/>
        <v>1000000</v>
      </c>
      <c r="BG343" s="101">
        <f t="shared" si="97"/>
        <v>0</v>
      </c>
      <c r="BH343" s="101">
        <f>10+Module!$K$57/($AC$1+1)</f>
        <v>59.463036490617775</v>
      </c>
      <c r="BI343" s="101">
        <f>$AC$1*(25+Module!$I$6)</f>
        <v>202</v>
      </c>
      <c r="BJ343" s="101">
        <f>(BH343*($AC$1+1)*0.002488974)/($AC$1+1)*Module!$I$5*Module!$I$7</f>
        <v>45.656234094813776</v>
      </c>
      <c r="BK343" s="101">
        <f>$P$120*Module!$I$7*X343*Module!$I$5</f>
        <v>85.807024252413754</v>
      </c>
      <c r="BL343" s="151">
        <f t="shared" si="101"/>
        <v>1000000</v>
      </c>
    </row>
    <row r="344" spans="23:64" ht="15.75" hidden="1" thickBot="1">
      <c r="W344" s="777"/>
      <c r="X344" s="121">
        <f t="shared" si="102"/>
        <v>39</v>
      </c>
      <c r="Y344" s="122">
        <f>'calcul pneu pour calculateur'!P345</f>
        <v>205.87412021099416</v>
      </c>
      <c r="Z344" s="123">
        <f t="shared" si="90"/>
        <v>411.74824042198833</v>
      </c>
      <c r="AA344" s="123">
        <f t="shared" si="91"/>
        <v>617.62236063298246</v>
      </c>
      <c r="AB344" s="123">
        <f t="shared" si="92"/>
        <v>823.49648084397666</v>
      </c>
      <c r="AC344" s="123">
        <f t="shared" si="93"/>
        <v>1029.3706010549708</v>
      </c>
      <c r="AK344" s="121">
        <f t="shared" si="103"/>
        <v>39</v>
      </c>
      <c r="AL344" s="101">
        <f t="shared" si="94"/>
        <v>0</v>
      </c>
      <c r="AM344" s="101">
        <f>10+Module!$K$57/($Z$1+1)</f>
        <v>133.65759122654444</v>
      </c>
      <c r="AN344" s="101">
        <f>$Z$1*(25+Module!$I$6)</f>
        <v>50.5</v>
      </c>
      <c r="AO344" s="101">
        <f>(AM344*($Z$1+1)*0.002488974)/($Z$1+1)*Module!$I$5*Module!$I$7</f>
        <v>102.62345540579445</v>
      </c>
      <c r="AP344" s="101">
        <f>$P$120*Module!$I$7*X344*Module!$I$5</f>
        <v>88.06510383800358</v>
      </c>
      <c r="AQ344" s="151">
        <f t="shared" si="98"/>
        <v>1000000</v>
      </c>
      <c r="AS344" s="101">
        <f t="shared" si="95"/>
        <v>0</v>
      </c>
      <c r="AT344" s="101">
        <f>10+Module!$K$57/($AA$1+1)</f>
        <v>92.438394151029627</v>
      </c>
      <c r="AU344" s="101">
        <f>$AA$1*(25+Module!$I$6)</f>
        <v>101</v>
      </c>
      <c r="AV344" s="101">
        <f>(AT344*($Z$1+1)*0.002488974)/($Z$1+1)*Module!$I$5*Module!$I$7</f>
        <v>70.974999121916298</v>
      </c>
      <c r="AW344" s="101">
        <f>$P$120*Module!$I$7*X344*Module!$I$5</f>
        <v>88.06510383800358</v>
      </c>
      <c r="AX344" s="151">
        <f t="shared" si="99"/>
        <v>1000000</v>
      </c>
      <c r="AZ344" s="101">
        <f t="shared" si="96"/>
        <v>0</v>
      </c>
      <c r="BA344" s="101">
        <f>10+Module!$K$57/($AB$1+1)</f>
        <v>71.82879561327222</v>
      </c>
      <c r="BB344" s="101">
        <f>$AB$1*(25+Module!$I$6)</f>
        <v>151.5</v>
      </c>
      <c r="BC344" s="101">
        <f>(BA344*($AB$1+1)*0.002488974)/($AB$1+1)*Module!$I$5*Module!$I$7</f>
        <v>55.150770979977231</v>
      </c>
      <c r="BD344" s="101">
        <f>$P$120*Module!$I$7*X344*Module!$I$5</f>
        <v>88.06510383800358</v>
      </c>
      <c r="BE344" s="151">
        <f t="shared" si="100"/>
        <v>1000000</v>
      </c>
      <c r="BG344" s="101">
        <f t="shared" si="97"/>
        <v>0</v>
      </c>
      <c r="BH344" s="101">
        <f>10+Module!$K$57/($AC$1+1)</f>
        <v>59.463036490617775</v>
      </c>
      <c r="BI344" s="101">
        <f>$AC$1*(25+Module!$I$6)</f>
        <v>202</v>
      </c>
      <c r="BJ344" s="101">
        <f>(BH344*($AC$1+1)*0.002488974)/($AC$1+1)*Module!$I$5*Module!$I$7</f>
        <v>45.656234094813776</v>
      </c>
      <c r="BK344" s="101">
        <f>$P$120*Module!$I$7*X344*Module!$I$5</f>
        <v>88.06510383800358</v>
      </c>
      <c r="BL344" s="151">
        <f t="shared" si="101"/>
        <v>1000000</v>
      </c>
    </row>
    <row r="345" spans="23:64" ht="15.75" hidden="1" thickBot="1">
      <c r="W345" s="777"/>
      <c r="X345" s="121">
        <f t="shared" si="102"/>
        <v>40</v>
      </c>
      <c r="Y345" s="122">
        <f>'calcul pneu pour calculateur'!P346</f>
        <v>205.21647441662031</v>
      </c>
      <c r="Z345" s="123">
        <f t="shared" si="90"/>
        <v>410.43294883324063</v>
      </c>
      <c r="AA345" s="123">
        <f t="shared" si="91"/>
        <v>615.649423249861</v>
      </c>
      <c r="AB345" s="123">
        <f t="shared" si="92"/>
        <v>820.86589766648126</v>
      </c>
      <c r="AC345" s="123">
        <f t="shared" si="93"/>
        <v>1026.0823720831015</v>
      </c>
      <c r="AK345" s="121">
        <f t="shared" si="103"/>
        <v>40</v>
      </c>
      <c r="AL345" s="101">
        <f t="shared" si="94"/>
        <v>0</v>
      </c>
      <c r="AM345" s="101">
        <f>10+Module!$K$57/($Z$1+1)</f>
        <v>133.65759122654444</v>
      </c>
      <c r="AN345" s="101">
        <f>$Z$1*(25+Module!$I$6)</f>
        <v>50.5</v>
      </c>
      <c r="AO345" s="101">
        <f>(AM345*($Z$1+1)*0.002488974)/($Z$1+1)*Module!$I$5*Module!$I$7</f>
        <v>102.62345540579445</v>
      </c>
      <c r="AP345" s="101">
        <f>$P$120*Module!$I$7*X345*Module!$I$5</f>
        <v>90.32318342359342</v>
      </c>
      <c r="AQ345" s="151">
        <f t="shared" si="98"/>
        <v>1000000</v>
      </c>
      <c r="AS345" s="101">
        <f t="shared" si="95"/>
        <v>0</v>
      </c>
      <c r="AT345" s="101">
        <f>10+Module!$K$57/($AA$1+1)</f>
        <v>92.438394151029627</v>
      </c>
      <c r="AU345" s="101">
        <f>$AA$1*(25+Module!$I$6)</f>
        <v>101</v>
      </c>
      <c r="AV345" s="101">
        <f>(AT345*($Z$1+1)*0.002488974)/($Z$1+1)*Module!$I$5*Module!$I$7</f>
        <v>70.974999121916298</v>
      </c>
      <c r="AW345" s="101">
        <f>$P$120*Module!$I$7*X345*Module!$I$5</f>
        <v>90.32318342359342</v>
      </c>
      <c r="AX345" s="151">
        <f t="shared" si="99"/>
        <v>1000000</v>
      </c>
      <c r="AZ345" s="101">
        <f t="shared" si="96"/>
        <v>0</v>
      </c>
      <c r="BA345" s="101">
        <f>10+Module!$K$57/($AB$1+1)</f>
        <v>71.82879561327222</v>
      </c>
      <c r="BB345" s="101">
        <f>$AB$1*(25+Module!$I$6)</f>
        <v>151.5</v>
      </c>
      <c r="BC345" s="101">
        <f>(BA345*($AB$1+1)*0.002488974)/($AB$1+1)*Module!$I$5*Module!$I$7</f>
        <v>55.150770979977231</v>
      </c>
      <c r="BD345" s="101">
        <f>$P$120*Module!$I$7*X345*Module!$I$5</f>
        <v>90.32318342359342</v>
      </c>
      <c r="BE345" s="151">
        <f t="shared" si="100"/>
        <v>1000000</v>
      </c>
      <c r="BG345" s="101">
        <f t="shared" si="97"/>
        <v>0</v>
      </c>
      <c r="BH345" s="101">
        <f>10+Module!$K$57/($AC$1+1)</f>
        <v>59.463036490617775</v>
      </c>
      <c r="BI345" s="101">
        <f>$AC$1*(25+Module!$I$6)</f>
        <v>202</v>
      </c>
      <c r="BJ345" s="101">
        <f>(BH345*($AC$1+1)*0.002488974)/($AC$1+1)*Module!$I$5*Module!$I$7</f>
        <v>45.656234094813776</v>
      </c>
      <c r="BK345" s="101">
        <f>$P$120*Module!$I$7*X345*Module!$I$5</f>
        <v>90.32318342359342</v>
      </c>
      <c r="BL345" s="151">
        <f t="shared" si="101"/>
        <v>1000000</v>
      </c>
    </row>
    <row r="346" spans="23:64" ht="15.75" hidden="1" thickBot="1">
      <c r="W346" s="777"/>
      <c r="X346" s="121">
        <f t="shared" si="102"/>
        <v>41</v>
      </c>
      <c r="Y346" s="122">
        <f>'calcul pneu pour calculateur'!P347</f>
        <v>204.55882862224649</v>
      </c>
      <c r="Z346" s="123">
        <f t="shared" si="90"/>
        <v>409.11765724449299</v>
      </c>
      <c r="AA346" s="123">
        <f t="shared" si="91"/>
        <v>613.67648586673954</v>
      </c>
      <c r="AB346" s="123">
        <f t="shared" si="92"/>
        <v>818.23531448898598</v>
      </c>
      <c r="AC346" s="123">
        <f t="shared" si="93"/>
        <v>1022.7941431112324</v>
      </c>
      <c r="AK346" s="121">
        <f t="shared" si="103"/>
        <v>41</v>
      </c>
      <c r="AL346" s="101">
        <f t="shared" si="94"/>
        <v>0</v>
      </c>
      <c r="AM346" s="101">
        <f>10+Module!$K$57/($Z$1+1)</f>
        <v>133.65759122654444</v>
      </c>
      <c r="AN346" s="101">
        <f>$Z$1*(25+Module!$I$6)</f>
        <v>50.5</v>
      </c>
      <c r="AO346" s="101">
        <f>(AM346*($Z$1+1)*0.002488974)/($Z$1+1)*Module!$I$5*Module!$I$7</f>
        <v>102.62345540579445</v>
      </c>
      <c r="AP346" s="101">
        <f>$P$120*Module!$I$7*X346*Module!$I$5</f>
        <v>92.581263009183246</v>
      </c>
      <c r="AQ346" s="151">
        <f t="shared" si="98"/>
        <v>1000000</v>
      </c>
      <c r="AS346" s="101">
        <f t="shared" si="95"/>
        <v>0</v>
      </c>
      <c r="AT346" s="101">
        <f>10+Module!$K$57/($AA$1+1)</f>
        <v>92.438394151029627</v>
      </c>
      <c r="AU346" s="101">
        <f>$AA$1*(25+Module!$I$6)</f>
        <v>101</v>
      </c>
      <c r="AV346" s="101">
        <f>(AT346*($Z$1+1)*0.002488974)/($Z$1+1)*Module!$I$5*Module!$I$7</f>
        <v>70.974999121916298</v>
      </c>
      <c r="AW346" s="101">
        <f>$P$120*Module!$I$7*X346*Module!$I$5</f>
        <v>92.581263009183246</v>
      </c>
      <c r="AX346" s="151">
        <f t="shared" si="99"/>
        <v>1000000</v>
      </c>
      <c r="AZ346" s="101">
        <f t="shared" si="96"/>
        <v>0</v>
      </c>
      <c r="BA346" s="101">
        <f>10+Module!$K$57/($AB$1+1)</f>
        <v>71.82879561327222</v>
      </c>
      <c r="BB346" s="101">
        <f>$AB$1*(25+Module!$I$6)</f>
        <v>151.5</v>
      </c>
      <c r="BC346" s="101">
        <f>(BA346*($AB$1+1)*0.002488974)/($AB$1+1)*Module!$I$5*Module!$I$7</f>
        <v>55.150770979977231</v>
      </c>
      <c r="BD346" s="101">
        <f>$P$120*Module!$I$7*X346*Module!$I$5</f>
        <v>92.581263009183246</v>
      </c>
      <c r="BE346" s="151">
        <f t="shared" si="100"/>
        <v>1000000</v>
      </c>
      <c r="BG346" s="101">
        <f t="shared" si="97"/>
        <v>0</v>
      </c>
      <c r="BH346" s="101">
        <f>10+Module!$K$57/($AC$1+1)</f>
        <v>59.463036490617775</v>
      </c>
      <c r="BI346" s="101">
        <f>$AC$1*(25+Module!$I$6)</f>
        <v>202</v>
      </c>
      <c r="BJ346" s="101">
        <f>(BH346*($AC$1+1)*0.002488974)/($AC$1+1)*Module!$I$5*Module!$I$7</f>
        <v>45.656234094813776</v>
      </c>
      <c r="BK346" s="101">
        <f>$P$120*Module!$I$7*X346*Module!$I$5</f>
        <v>92.581263009183246</v>
      </c>
      <c r="BL346" s="151">
        <f t="shared" si="101"/>
        <v>1000000</v>
      </c>
    </row>
    <row r="347" spans="23:64" ht="15.75" hidden="1" thickBot="1">
      <c r="W347" s="777"/>
      <c r="X347" s="121">
        <f t="shared" si="102"/>
        <v>42</v>
      </c>
      <c r="Y347" s="122">
        <f>'calcul pneu pour calculateur'!P348</f>
        <v>203.90118282787267</v>
      </c>
      <c r="Z347" s="123">
        <f t="shared" si="90"/>
        <v>407.80236565574535</v>
      </c>
      <c r="AA347" s="123">
        <f t="shared" si="91"/>
        <v>611.70354848361808</v>
      </c>
      <c r="AB347" s="123">
        <f t="shared" si="92"/>
        <v>815.6047313114907</v>
      </c>
      <c r="AC347" s="123">
        <f t="shared" si="93"/>
        <v>1019.5059141393633</v>
      </c>
      <c r="AK347" s="121">
        <f t="shared" si="103"/>
        <v>42</v>
      </c>
      <c r="AL347" s="101">
        <f t="shared" si="94"/>
        <v>0</v>
      </c>
      <c r="AM347" s="101">
        <f>10+Module!$K$57/($Z$1+1)</f>
        <v>133.65759122654444</v>
      </c>
      <c r="AN347" s="101">
        <f>$Z$1*(25+Module!$I$6)</f>
        <v>50.5</v>
      </c>
      <c r="AO347" s="101">
        <f>(AM347*($Z$1+1)*0.002488974)/($Z$1+1)*Module!$I$5*Module!$I$7</f>
        <v>102.62345540579445</v>
      </c>
      <c r="AP347" s="101">
        <f>$P$120*Module!$I$7*X347*Module!$I$5</f>
        <v>94.8393425947731</v>
      </c>
      <c r="AQ347" s="151">
        <f t="shared" si="98"/>
        <v>1000000</v>
      </c>
      <c r="AS347" s="101">
        <f t="shared" si="95"/>
        <v>0</v>
      </c>
      <c r="AT347" s="101">
        <f>10+Module!$K$57/($AA$1+1)</f>
        <v>92.438394151029627</v>
      </c>
      <c r="AU347" s="101">
        <f>$AA$1*(25+Module!$I$6)</f>
        <v>101</v>
      </c>
      <c r="AV347" s="101">
        <f>(AT347*($Z$1+1)*0.002488974)/($Z$1+1)*Module!$I$5*Module!$I$7</f>
        <v>70.974999121916298</v>
      </c>
      <c r="AW347" s="101">
        <f>$P$120*Module!$I$7*X347*Module!$I$5</f>
        <v>94.8393425947731</v>
      </c>
      <c r="AX347" s="151">
        <f t="shared" si="99"/>
        <v>1000000</v>
      </c>
      <c r="AZ347" s="101">
        <f t="shared" si="96"/>
        <v>0</v>
      </c>
      <c r="BA347" s="101">
        <f>10+Module!$K$57/($AB$1+1)</f>
        <v>71.82879561327222</v>
      </c>
      <c r="BB347" s="101">
        <f>$AB$1*(25+Module!$I$6)</f>
        <v>151.5</v>
      </c>
      <c r="BC347" s="101">
        <f>(BA347*($AB$1+1)*0.002488974)/($AB$1+1)*Module!$I$5*Module!$I$7</f>
        <v>55.150770979977231</v>
      </c>
      <c r="BD347" s="101">
        <f>$P$120*Module!$I$7*X347*Module!$I$5</f>
        <v>94.8393425947731</v>
      </c>
      <c r="BE347" s="151">
        <f t="shared" si="100"/>
        <v>1000000</v>
      </c>
      <c r="BG347" s="101">
        <f t="shared" si="97"/>
        <v>0</v>
      </c>
      <c r="BH347" s="101">
        <f>10+Module!$K$57/($AC$1+1)</f>
        <v>59.463036490617775</v>
      </c>
      <c r="BI347" s="101">
        <f>$AC$1*(25+Module!$I$6)</f>
        <v>202</v>
      </c>
      <c r="BJ347" s="101">
        <f>(BH347*($AC$1+1)*0.002488974)/($AC$1+1)*Module!$I$5*Module!$I$7</f>
        <v>45.656234094813776</v>
      </c>
      <c r="BK347" s="101">
        <f>$P$120*Module!$I$7*X347*Module!$I$5</f>
        <v>94.8393425947731</v>
      </c>
      <c r="BL347" s="151">
        <f t="shared" si="101"/>
        <v>1000000</v>
      </c>
    </row>
    <row r="348" spans="23:64" ht="15.75" hidden="1" thickBot="1">
      <c r="W348" s="777"/>
      <c r="X348" s="121">
        <f t="shared" si="102"/>
        <v>43</v>
      </c>
      <c r="Y348" s="122">
        <f>'calcul pneu pour calculateur'!P349</f>
        <v>203.24353703349882</v>
      </c>
      <c r="Z348" s="123">
        <f t="shared" si="90"/>
        <v>406.48707406699765</v>
      </c>
      <c r="AA348" s="123">
        <f t="shared" si="91"/>
        <v>609.7306111004965</v>
      </c>
      <c r="AB348" s="123">
        <f t="shared" si="92"/>
        <v>812.9741481339953</v>
      </c>
      <c r="AC348" s="123">
        <f t="shared" si="93"/>
        <v>1016.2176851674941</v>
      </c>
      <c r="AK348" s="121">
        <f t="shared" si="103"/>
        <v>43</v>
      </c>
      <c r="AL348" s="101">
        <f t="shared" si="94"/>
        <v>0</v>
      </c>
      <c r="AM348" s="101">
        <f>10+Module!$K$57/($Z$1+1)</f>
        <v>133.65759122654444</v>
      </c>
      <c r="AN348" s="101">
        <f>$Z$1*(25+Module!$I$6)</f>
        <v>50.5</v>
      </c>
      <c r="AO348" s="101">
        <f>(AM348*($Z$1+1)*0.002488974)/($Z$1+1)*Module!$I$5*Module!$I$7</f>
        <v>102.62345540579445</v>
      </c>
      <c r="AP348" s="101">
        <f>$P$120*Module!$I$7*X348*Module!$I$5</f>
        <v>97.097422180362926</v>
      </c>
      <c r="AQ348" s="151">
        <f t="shared" si="98"/>
        <v>1000000</v>
      </c>
      <c r="AS348" s="101">
        <f t="shared" si="95"/>
        <v>0</v>
      </c>
      <c r="AT348" s="101">
        <f>10+Module!$K$57/($AA$1+1)</f>
        <v>92.438394151029627</v>
      </c>
      <c r="AU348" s="101">
        <f>$AA$1*(25+Module!$I$6)</f>
        <v>101</v>
      </c>
      <c r="AV348" s="101">
        <f>(AT348*($Z$1+1)*0.002488974)/($Z$1+1)*Module!$I$5*Module!$I$7</f>
        <v>70.974999121916298</v>
      </c>
      <c r="AW348" s="101">
        <f>$P$120*Module!$I$7*X348*Module!$I$5</f>
        <v>97.097422180362926</v>
      </c>
      <c r="AX348" s="151">
        <f t="shared" si="99"/>
        <v>1000000</v>
      </c>
      <c r="AZ348" s="101">
        <f t="shared" si="96"/>
        <v>0</v>
      </c>
      <c r="BA348" s="101">
        <f>10+Module!$K$57/($AB$1+1)</f>
        <v>71.82879561327222</v>
      </c>
      <c r="BB348" s="101">
        <f>$AB$1*(25+Module!$I$6)</f>
        <v>151.5</v>
      </c>
      <c r="BC348" s="101">
        <f>(BA348*($AB$1+1)*0.002488974)/($AB$1+1)*Module!$I$5*Module!$I$7</f>
        <v>55.150770979977231</v>
      </c>
      <c r="BD348" s="101">
        <f>$P$120*Module!$I$7*X348*Module!$I$5</f>
        <v>97.097422180362926</v>
      </c>
      <c r="BE348" s="151">
        <f t="shared" si="100"/>
        <v>1000000</v>
      </c>
      <c r="BG348" s="101">
        <f t="shared" si="97"/>
        <v>0</v>
      </c>
      <c r="BH348" s="101">
        <f>10+Module!$K$57/($AC$1+1)</f>
        <v>59.463036490617775</v>
      </c>
      <c r="BI348" s="101">
        <f>$AC$1*(25+Module!$I$6)</f>
        <v>202</v>
      </c>
      <c r="BJ348" s="101">
        <f>(BH348*($AC$1+1)*0.002488974)/($AC$1+1)*Module!$I$5*Module!$I$7</f>
        <v>45.656234094813776</v>
      </c>
      <c r="BK348" s="101">
        <f>$P$120*Module!$I$7*X348*Module!$I$5</f>
        <v>97.097422180362926</v>
      </c>
      <c r="BL348" s="151">
        <f t="shared" si="101"/>
        <v>1000000</v>
      </c>
    </row>
    <row r="349" spans="23:64" ht="15.75" hidden="1" thickBot="1">
      <c r="W349" s="777"/>
      <c r="X349" s="121">
        <f t="shared" si="102"/>
        <v>44</v>
      </c>
      <c r="Y349" s="122">
        <f>'calcul pneu pour calculateur'!P350</f>
        <v>202.58589123912498</v>
      </c>
      <c r="Z349" s="123">
        <f t="shared" si="90"/>
        <v>405.17178247824995</v>
      </c>
      <c r="AA349" s="123">
        <f t="shared" si="91"/>
        <v>607.75767371737493</v>
      </c>
      <c r="AB349" s="123">
        <f t="shared" si="92"/>
        <v>810.3435649564999</v>
      </c>
      <c r="AC349" s="123">
        <f t="shared" si="93"/>
        <v>1012.9294561956249</v>
      </c>
      <c r="AK349" s="121">
        <f t="shared" si="103"/>
        <v>44</v>
      </c>
      <c r="AL349" s="101">
        <f t="shared" si="94"/>
        <v>0</v>
      </c>
      <c r="AM349" s="101">
        <f>10+Module!$K$57/($Z$1+1)</f>
        <v>133.65759122654444</v>
      </c>
      <c r="AN349" s="101">
        <f>$Z$1*(25+Module!$I$6)</f>
        <v>50.5</v>
      </c>
      <c r="AO349" s="101">
        <f>(AM349*($Z$1+1)*0.002488974)/($Z$1+1)*Module!$I$5*Module!$I$7</f>
        <v>102.62345540579445</v>
      </c>
      <c r="AP349" s="101">
        <f>$P$120*Module!$I$7*X349*Module!$I$5</f>
        <v>99.355501765952766</v>
      </c>
      <c r="AQ349" s="151">
        <f t="shared" si="98"/>
        <v>1000000</v>
      </c>
      <c r="AS349" s="101">
        <f t="shared" si="95"/>
        <v>0</v>
      </c>
      <c r="AT349" s="101">
        <f>10+Module!$K$57/($AA$1+1)</f>
        <v>92.438394151029627</v>
      </c>
      <c r="AU349" s="101">
        <f>$AA$1*(25+Module!$I$6)</f>
        <v>101</v>
      </c>
      <c r="AV349" s="101">
        <f>(AT349*($Z$1+1)*0.002488974)/($Z$1+1)*Module!$I$5*Module!$I$7</f>
        <v>70.974999121916298</v>
      </c>
      <c r="AW349" s="101">
        <f>$P$120*Module!$I$7*X349*Module!$I$5</f>
        <v>99.355501765952766</v>
      </c>
      <c r="AX349" s="151">
        <f t="shared" si="99"/>
        <v>1000000</v>
      </c>
      <c r="AZ349" s="101">
        <f t="shared" si="96"/>
        <v>0</v>
      </c>
      <c r="BA349" s="101">
        <f>10+Module!$K$57/($AB$1+1)</f>
        <v>71.82879561327222</v>
      </c>
      <c r="BB349" s="101">
        <f>$AB$1*(25+Module!$I$6)</f>
        <v>151.5</v>
      </c>
      <c r="BC349" s="101">
        <f>(BA349*($AB$1+1)*0.002488974)/($AB$1+1)*Module!$I$5*Module!$I$7</f>
        <v>55.150770979977231</v>
      </c>
      <c r="BD349" s="101">
        <f>$P$120*Module!$I$7*X349*Module!$I$5</f>
        <v>99.355501765952766</v>
      </c>
      <c r="BE349" s="151">
        <f t="shared" si="100"/>
        <v>1000000</v>
      </c>
      <c r="BG349" s="101">
        <f t="shared" si="97"/>
        <v>0</v>
      </c>
      <c r="BH349" s="101">
        <f>10+Module!$K$57/($AC$1+1)</f>
        <v>59.463036490617775</v>
      </c>
      <c r="BI349" s="101">
        <f>$AC$1*(25+Module!$I$6)</f>
        <v>202</v>
      </c>
      <c r="BJ349" s="101">
        <f>(BH349*($AC$1+1)*0.002488974)/($AC$1+1)*Module!$I$5*Module!$I$7</f>
        <v>45.656234094813776</v>
      </c>
      <c r="BK349" s="101">
        <f>$P$120*Module!$I$7*X349*Module!$I$5</f>
        <v>99.355501765952766</v>
      </c>
      <c r="BL349" s="151">
        <f t="shared" si="101"/>
        <v>1000000</v>
      </c>
    </row>
    <row r="350" spans="23:64" ht="15.75" hidden="1" thickBot="1">
      <c r="W350" s="777"/>
      <c r="X350" s="121">
        <f t="shared" si="102"/>
        <v>45</v>
      </c>
      <c r="Y350" s="122">
        <f>'calcul pneu pour calculateur'!P351</f>
        <v>201.92824544475116</v>
      </c>
      <c r="Z350" s="123">
        <f t="shared" si="90"/>
        <v>403.85649088950231</v>
      </c>
      <c r="AA350" s="123">
        <f t="shared" si="91"/>
        <v>605.78473633425347</v>
      </c>
      <c r="AB350" s="123">
        <f t="shared" si="92"/>
        <v>807.71298177900462</v>
      </c>
      <c r="AC350" s="123">
        <f t="shared" si="93"/>
        <v>1009.6412272237558</v>
      </c>
      <c r="AK350" s="121">
        <f t="shared" si="103"/>
        <v>45</v>
      </c>
      <c r="AL350" s="101">
        <f t="shared" si="94"/>
        <v>0</v>
      </c>
      <c r="AM350" s="101">
        <f>10+Module!$K$57/($Z$1+1)</f>
        <v>133.65759122654444</v>
      </c>
      <c r="AN350" s="101">
        <f>$Z$1*(25+Module!$I$6)</f>
        <v>50.5</v>
      </c>
      <c r="AO350" s="101">
        <f>(AM350*($Z$1+1)*0.002488974)/($Z$1+1)*Module!$I$5*Module!$I$7</f>
        <v>102.62345540579445</v>
      </c>
      <c r="AP350" s="101">
        <f>$P$120*Module!$I$7*X350*Module!$I$5</f>
        <v>101.61358135154259</v>
      </c>
      <c r="AQ350" s="151">
        <f t="shared" si="98"/>
        <v>1000000</v>
      </c>
      <c r="AS350" s="101">
        <f t="shared" si="95"/>
        <v>0</v>
      </c>
      <c r="AT350" s="101">
        <f>10+Module!$K$57/($AA$1+1)</f>
        <v>92.438394151029627</v>
      </c>
      <c r="AU350" s="101">
        <f>$AA$1*(25+Module!$I$6)</f>
        <v>101</v>
      </c>
      <c r="AV350" s="101">
        <f>(AT350*($Z$1+1)*0.002488974)/($Z$1+1)*Module!$I$5*Module!$I$7</f>
        <v>70.974999121916298</v>
      </c>
      <c r="AW350" s="101">
        <f>$P$120*Module!$I$7*X350*Module!$I$5</f>
        <v>101.61358135154259</v>
      </c>
      <c r="AX350" s="151">
        <f t="shared" si="99"/>
        <v>1000000</v>
      </c>
      <c r="AZ350" s="101">
        <f t="shared" si="96"/>
        <v>0</v>
      </c>
      <c r="BA350" s="101">
        <f>10+Module!$K$57/($AB$1+1)</f>
        <v>71.82879561327222</v>
      </c>
      <c r="BB350" s="101">
        <f>$AB$1*(25+Module!$I$6)</f>
        <v>151.5</v>
      </c>
      <c r="BC350" s="101">
        <f>(BA350*($AB$1+1)*0.002488974)/($AB$1+1)*Module!$I$5*Module!$I$7</f>
        <v>55.150770979977231</v>
      </c>
      <c r="BD350" s="101">
        <f>$P$120*Module!$I$7*X350*Module!$I$5</f>
        <v>101.61358135154259</v>
      </c>
      <c r="BE350" s="151">
        <f t="shared" si="100"/>
        <v>1000000</v>
      </c>
      <c r="BG350" s="101">
        <f t="shared" si="97"/>
        <v>0</v>
      </c>
      <c r="BH350" s="101">
        <f>10+Module!$K$57/($AC$1+1)</f>
        <v>59.463036490617775</v>
      </c>
      <c r="BI350" s="101">
        <f>$AC$1*(25+Module!$I$6)</f>
        <v>202</v>
      </c>
      <c r="BJ350" s="101">
        <f>(BH350*($AC$1+1)*0.002488974)/($AC$1+1)*Module!$I$5*Module!$I$7</f>
        <v>45.656234094813776</v>
      </c>
      <c r="BK350" s="101">
        <f>$P$120*Module!$I$7*X350*Module!$I$5</f>
        <v>101.61358135154259</v>
      </c>
      <c r="BL350" s="151">
        <f t="shared" si="101"/>
        <v>1000000</v>
      </c>
    </row>
    <row r="351" spans="23:64" ht="15.75" hidden="1" thickBot="1">
      <c r="W351" s="777"/>
      <c r="X351" s="121">
        <f t="shared" si="102"/>
        <v>46</v>
      </c>
      <c r="Y351" s="122">
        <f>'calcul pneu pour calculateur'!P352</f>
        <v>201.27059965037733</v>
      </c>
      <c r="Z351" s="123">
        <f t="shared" si="90"/>
        <v>402.54119930075467</v>
      </c>
      <c r="AA351" s="123">
        <f t="shared" si="91"/>
        <v>603.811798951132</v>
      </c>
      <c r="AB351" s="123">
        <f t="shared" si="92"/>
        <v>805.08239860150934</v>
      </c>
      <c r="AC351" s="123">
        <f t="shared" si="93"/>
        <v>1006.3529982518867</v>
      </c>
      <c r="AK351" s="121">
        <f t="shared" si="103"/>
        <v>46</v>
      </c>
      <c r="AL351" s="101">
        <f t="shared" si="94"/>
        <v>0</v>
      </c>
      <c r="AM351" s="101">
        <f>10+Module!$K$57/($Z$1+1)</f>
        <v>133.65759122654444</v>
      </c>
      <c r="AN351" s="101">
        <f>$Z$1*(25+Module!$I$6)</f>
        <v>50.5</v>
      </c>
      <c r="AO351" s="101">
        <f>(AM351*($Z$1+1)*0.002488974)/($Z$1+1)*Module!$I$5*Module!$I$7</f>
        <v>102.62345540579445</v>
      </c>
      <c r="AP351" s="101">
        <f>$P$120*Module!$I$7*X351*Module!$I$5</f>
        <v>103.87166093713243</v>
      </c>
      <c r="AQ351" s="151">
        <f t="shared" si="98"/>
        <v>1000000</v>
      </c>
      <c r="AS351" s="101">
        <f t="shared" si="95"/>
        <v>0</v>
      </c>
      <c r="AT351" s="101">
        <f>10+Module!$K$57/($AA$1+1)</f>
        <v>92.438394151029627</v>
      </c>
      <c r="AU351" s="101">
        <f>$AA$1*(25+Module!$I$6)</f>
        <v>101</v>
      </c>
      <c r="AV351" s="101">
        <f>(AT351*($Z$1+1)*0.002488974)/($Z$1+1)*Module!$I$5*Module!$I$7</f>
        <v>70.974999121916298</v>
      </c>
      <c r="AW351" s="101">
        <f>$P$120*Module!$I$7*X351*Module!$I$5</f>
        <v>103.87166093713243</v>
      </c>
      <c r="AX351" s="151">
        <f t="shared" si="99"/>
        <v>1000000</v>
      </c>
      <c r="AZ351" s="101">
        <f t="shared" si="96"/>
        <v>0</v>
      </c>
      <c r="BA351" s="101">
        <f>10+Module!$K$57/($AB$1+1)</f>
        <v>71.82879561327222</v>
      </c>
      <c r="BB351" s="101">
        <f>$AB$1*(25+Module!$I$6)</f>
        <v>151.5</v>
      </c>
      <c r="BC351" s="101">
        <f>(BA351*($AB$1+1)*0.002488974)/($AB$1+1)*Module!$I$5*Module!$I$7</f>
        <v>55.150770979977231</v>
      </c>
      <c r="BD351" s="101">
        <f>$P$120*Module!$I$7*X351*Module!$I$5</f>
        <v>103.87166093713243</v>
      </c>
      <c r="BE351" s="151">
        <f t="shared" si="100"/>
        <v>1000000</v>
      </c>
      <c r="BG351" s="101">
        <f t="shared" si="97"/>
        <v>0</v>
      </c>
      <c r="BH351" s="101">
        <f>10+Module!$K$57/($AC$1+1)</f>
        <v>59.463036490617775</v>
      </c>
      <c r="BI351" s="101">
        <f>$AC$1*(25+Module!$I$6)</f>
        <v>202</v>
      </c>
      <c r="BJ351" s="101">
        <f>(BH351*($AC$1+1)*0.002488974)/($AC$1+1)*Module!$I$5*Module!$I$7</f>
        <v>45.656234094813776</v>
      </c>
      <c r="BK351" s="101">
        <f>$P$120*Module!$I$7*X351*Module!$I$5</f>
        <v>103.87166093713243</v>
      </c>
      <c r="BL351" s="151">
        <f t="shared" si="101"/>
        <v>1000000</v>
      </c>
    </row>
    <row r="352" spans="23:64" ht="15.75" hidden="1" thickBot="1">
      <c r="W352" s="777"/>
      <c r="X352" s="121">
        <f t="shared" si="102"/>
        <v>47</v>
      </c>
      <c r="Y352" s="122">
        <f>'calcul pneu pour calculateur'!P353</f>
        <v>200.61295385600349</v>
      </c>
      <c r="Z352" s="123">
        <f t="shared" si="90"/>
        <v>401.22590771200697</v>
      </c>
      <c r="AA352" s="123">
        <f t="shared" si="91"/>
        <v>601.83886156801043</v>
      </c>
      <c r="AB352" s="123">
        <f t="shared" si="92"/>
        <v>802.45181542401394</v>
      </c>
      <c r="AC352" s="123">
        <f t="shared" si="93"/>
        <v>1003.0647692800175</v>
      </c>
      <c r="AK352" s="121">
        <f t="shared" si="103"/>
        <v>47</v>
      </c>
      <c r="AL352" s="101">
        <f t="shared" si="94"/>
        <v>0</v>
      </c>
      <c r="AM352" s="101">
        <f>10+Module!$K$57/($Z$1+1)</f>
        <v>133.65759122654444</v>
      </c>
      <c r="AN352" s="101">
        <f>$Z$1*(25+Module!$I$6)</f>
        <v>50.5</v>
      </c>
      <c r="AO352" s="101">
        <f>(AM352*($Z$1+1)*0.002488974)/($Z$1+1)*Module!$I$5*Module!$I$7</f>
        <v>102.62345540579445</v>
      </c>
      <c r="AP352" s="101">
        <f>$P$120*Module!$I$7*X352*Module!$I$5</f>
        <v>106.12974052272226</v>
      </c>
      <c r="AQ352" s="151">
        <f t="shared" si="98"/>
        <v>1000000</v>
      </c>
      <c r="AS352" s="101">
        <f t="shared" si="95"/>
        <v>0</v>
      </c>
      <c r="AT352" s="101">
        <f>10+Module!$K$57/($AA$1+1)</f>
        <v>92.438394151029627</v>
      </c>
      <c r="AU352" s="101">
        <f>$AA$1*(25+Module!$I$6)</f>
        <v>101</v>
      </c>
      <c r="AV352" s="101">
        <f>(AT352*($Z$1+1)*0.002488974)/($Z$1+1)*Module!$I$5*Module!$I$7</f>
        <v>70.974999121916298</v>
      </c>
      <c r="AW352" s="101">
        <f>$P$120*Module!$I$7*X352*Module!$I$5</f>
        <v>106.12974052272226</v>
      </c>
      <c r="AX352" s="151">
        <f t="shared" si="99"/>
        <v>1000000</v>
      </c>
      <c r="AZ352" s="101">
        <f t="shared" si="96"/>
        <v>0</v>
      </c>
      <c r="BA352" s="101">
        <f>10+Module!$K$57/($AB$1+1)</f>
        <v>71.82879561327222</v>
      </c>
      <c r="BB352" s="101">
        <f>$AB$1*(25+Module!$I$6)</f>
        <v>151.5</v>
      </c>
      <c r="BC352" s="101">
        <f>(BA352*($AB$1+1)*0.002488974)/($AB$1+1)*Module!$I$5*Module!$I$7</f>
        <v>55.150770979977231</v>
      </c>
      <c r="BD352" s="101">
        <f>$P$120*Module!$I$7*X352*Module!$I$5</f>
        <v>106.12974052272226</v>
      </c>
      <c r="BE352" s="151">
        <f t="shared" si="100"/>
        <v>1000000</v>
      </c>
      <c r="BG352" s="101">
        <f t="shared" si="97"/>
        <v>0</v>
      </c>
      <c r="BH352" s="101">
        <f>10+Module!$K$57/($AC$1+1)</f>
        <v>59.463036490617775</v>
      </c>
      <c r="BI352" s="101">
        <f>$AC$1*(25+Module!$I$6)</f>
        <v>202</v>
      </c>
      <c r="BJ352" s="101">
        <f>(BH352*($AC$1+1)*0.002488974)/($AC$1+1)*Module!$I$5*Module!$I$7</f>
        <v>45.656234094813776</v>
      </c>
      <c r="BK352" s="101">
        <f>$P$120*Module!$I$7*X352*Module!$I$5</f>
        <v>106.12974052272226</v>
      </c>
      <c r="BL352" s="151">
        <f t="shared" si="101"/>
        <v>1000000</v>
      </c>
    </row>
    <row r="353" spans="23:64" ht="15.75" hidden="1" thickBot="1">
      <c r="W353" s="777"/>
      <c r="X353" s="121">
        <f t="shared" si="102"/>
        <v>48</v>
      </c>
      <c r="Y353" s="122">
        <f>'calcul pneu pour calculateur'!P354</f>
        <v>199.95530806162967</v>
      </c>
      <c r="Z353" s="123">
        <f t="shared" si="90"/>
        <v>399.91061612325933</v>
      </c>
      <c r="AA353" s="123">
        <f t="shared" si="91"/>
        <v>599.86592418488897</v>
      </c>
      <c r="AB353" s="123">
        <f t="shared" si="92"/>
        <v>799.82123224651866</v>
      </c>
      <c r="AC353" s="123">
        <f t="shared" si="93"/>
        <v>999.77654030814836</v>
      </c>
      <c r="AK353" s="121">
        <f t="shared" si="103"/>
        <v>48</v>
      </c>
      <c r="AL353" s="101">
        <f t="shared" si="94"/>
        <v>0</v>
      </c>
      <c r="AM353" s="101">
        <f>10+Module!$K$57/($Z$1+1)</f>
        <v>133.65759122654444</v>
      </c>
      <c r="AN353" s="101">
        <f>$Z$1*(25+Module!$I$6)</f>
        <v>50.5</v>
      </c>
      <c r="AO353" s="101">
        <f>(AM353*($Z$1+1)*0.002488974)/($Z$1+1)*Module!$I$5*Module!$I$7</f>
        <v>102.62345540579445</v>
      </c>
      <c r="AP353" s="101">
        <f>$P$120*Module!$I$7*X353*Module!$I$5</f>
        <v>108.38782010831211</v>
      </c>
      <c r="AQ353" s="151">
        <f t="shared" si="98"/>
        <v>1000000</v>
      </c>
      <c r="AS353" s="101">
        <f t="shared" si="95"/>
        <v>0</v>
      </c>
      <c r="AT353" s="101">
        <f>10+Module!$K$57/($AA$1+1)</f>
        <v>92.438394151029627</v>
      </c>
      <c r="AU353" s="101">
        <f>$AA$1*(25+Module!$I$6)</f>
        <v>101</v>
      </c>
      <c r="AV353" s="101">
        <f>(AT353*($Z$1+1)*0.002488974)/($Z$1+1)*Module!$I$5*Module!$I$7</f>
        <v>70.974999121916298</v>
      </c>
      <c r="AW353" s="101">
        <f>$P$120*Module!$I$7*X353*Module!$I$5</f>
        <v>108.38782010831211</v>
      </c>
      <c r="AX353" s="151">
        <f t="shared" si="99"/>
        <v>1000000</v>
      </c>
      <c r="AZ353" s="101">
        <f t="shared" si="96"/>
        <v>0</v>
      </c>
      <c r="BA353" s="101">
        <f>10+Module!$K$57/($AB$1+1)</f>
        <v>71.82879561327222</v>
      </c>
      <c r="BB353" s="101">
        <f>$AB$1*(25+Module!$I$6)</f>
        <v>151.5</v>
      </c>
      <c r="BC353" s="101">
        <f>(BA353*($AB$1+1)*0.002488974)/($AB$1+1)*Module!$I$5*Module!$I$7</f>
        <v>55.150770979977231</v>
      </c>
      <c r="BD353" s="101">
        <f>$P$120*Module!$I$7*X353*Module!$I$5</f>
        <v>108.38782010831211</v>
      </c>
      <c r="BE353" s="151">
        <f t="shared" si="100"/>
        <v>1000000</v>
      </c>
      <c r="BG353" s="101">
        <f t="shared" si="97"/>
        <v>0</v>
      </c>
      <c r="BH353" s="101">
        <f>10+Module!$K$57/($AC$1+1)</f>
        <v>59.463036490617775</v>
      </c>
      <c r="BI353" s="101">
        <f>$AC$1*(25+Module!$I$6)</f>
        <v>202</v>
      </c>
      <c r="BJ353" s="101">
        <f>(BH353*($AC$1+1)*0.002488974)/($AC$1+1)*Module!$I$5*Module!$I$7</f>
        <v>45.656234094813776</v>
      </c>
      <c r="BK353" s="101">
        <f>$P$120*Module!$I$7*X353*Module!$I$5</f>
        <v>108.38782010831211</v>
      </c>
      <c r="BL353" s="151">
        <f t="shared" si="101"/>
        <v>1000000</v>
      </c>
    </row>
    <row r="354" spans="23:64" ht="15.75" hidden="1" thickBot="1">
      <c r="W354" s="777"/>
      <c r="X354" s="121">
        <f t="shared" si="102"/>
        <v>49</v>
      </c>
      <c r="Y354" s="122">
        <f>'calcul pneu pour calculateur'!P355</f>
        <v>199.29766226725582</v>
      </c>
      <c r="Z354" s="123">
        <f t="shared" si="90"/>
        <v>398.59532453451163</v>
      </c>
      <c r="AA354" s="123">
        <f t="shared" si="91"/>
        <v>597.89298680176739</v>
      </c>
      <c r="AB354" s="123">
        <f t="shared" si="92"/>
        <v>797.19064906902327</v>
      </c>
      <c r="AC354" s="123">
        <f t="shared" si="93"/>
        <v>996.48831133627914</v>
      </c>
      <c r="AK354" s="121">
        <f t="shared" si="103"/>
        <v>49</v>
      </c>
      <c r="AL354" s="101">
        <f t="shared" si="94"/>
        <v>0</v>
      </c>
      <c r="AM354" s="101">
        <f>10+Module!$K$57/($Z$1+1)</f>
        <v>133.65759122654444</v>
      </c>
      <c r="AN354" s="101">
        <f>$Z$1*(25+Module!$I$6)</f>
        <v>50.5</v>
      </c>
      <c r="AO354" s="101">
        <f>(AM354*($Z$1+1)*0.002488974)/($Z$1+1)*Module!$I$5*Module!$I$7</f>
        <v>102.62345540579445</v>
      </c>
      <c r="AP354" s="101">
        <f>$P$120*Module!$I$7*X354*Module!$I$5</f>
        <v>110.64589969390194</v>
      </c>
      <c r="AQ354" s="151">
        <f t="shared" si="98"/>
        <v>1000000</v>
      </c>
      <c r="AS354" s="101">
        <f t="shared" si="95"/>
        <v>0</v>
      </c>
      <c r="AT354" s="101">
        <f>10+Module!$K$57/($AA$1+1)</f>
        <v>92.438394151029627</v>
      </c>
      <c r="AU354" s="101">
        <f>$AA$1*(25+Module!$I$6)</f>
        <v>101</v>
      </c>
      <c r="AV354" s="101">
        <f>(AT354*($Z$1+1)*0.002488974)/($Z$1+1)*Module!$I$5*Module!$I$7</f>
        <v>70.974999121916298</v>
      </c>
      <c r="AW354" s="101">
        <f>$P$120*Module!$I$7*X354*Module!$I$5</f>
        <v>110.64589969390194</v>
      </c>
      <c r="AX354" s="151">
        <f t="shared" si="99"/>
        <v>1000000</v>
      </c>
      <c r="AZ354" s="101">
        <f t="shared" si="96"/>
        <v>0</v>
      </c>
      <c r="BA354" s="101">
        <f>10+Module!$K$57/($AB$1+1)</f>
        <v>71.82879561327222</v>
      </c>
      <c r="BB354" s="101">
        <f>$AB$1*(25+Module!$I$6)</f>
        <v>151.5</v>
      </c>
      <c r="BC354" s="101">
        <f>(BA354*($AB$1+1)*0.002488974)/($AB$1+1)*Module!$I$5*Module!$I$7</f>
        <v>55.150770979977231</v>
      </c>
      <c r="BD354" s="101">
        <f>$P$120*Module!$I$7*X354*Module!$I$5</f>
        <v>110.64589969390194</v>
      </c>
      <c r="BE354" s="151">
        <f t="shared" si="100"/>
        <v>1000000</v>
      </c>
      <c r="BG354" s="101">
        <f t="shared" si="97"/>
        <v>0</v>
      </c>
      <c r="BH354" s="101">
        <f>10+Module!$K$57/($AC$1+1)</f>
        <v>59.463036490617775</v>
      </c>
      <c r="BI354" s="101">
        <f>$AC$1*(25+Module!$I$6)</f>
        <v>202</v>
      </c>
      <c r="BJ354" s="101">
        <f>(BH354*($AC$1+1)*0.002488974)/($AC$1+1)*Module!$I$5*Module!$I$7</f>
        <v>45.656234094813776</v>
      </c>
      <c r="BK354" s="101">
        <f>$P$120*Module!$I$7*X354*Module!$I$5</f>
        <v>110.64589969390194</v>
      </c>
      <c r="BL354" s="151">
        <f t="shared" si="101"/>
        <v>1000000</v>
      </c>
    </row>
    <row r="355" spans="23:64" ht="15.75" hidden="1" thickBot="1">
      <c r="W355" s="777"/>
      <c r="X355" s="121">
        <f t="shared" si="102"/>
        <v>50</v>
      </c>
      <c r="Y355" s="122">
        <f>'calcul pneu pour calculateur'!P356</f>
        <v>198.64001647288197</v>
      </c>
      <c r="Z355" s="123">
        <f t="shared" si="90"/>
        <v>397.28003294576394</v>
      </c>
      <c r="AA355" s="123">
        <f t="shared" si="91"/>
        <v>595.92004941864593</v>
      </c>
      <c r="AB355" s="123">
        <f t="shared" si="92"/>
        <v>794.56006589152787</v>
      </c>
      <c r="AC355" s="123">
        <f t="shared" si="93"/>
        <v>993.20008236440981</v>
      </c>
      <c r="AK355" s="121">
        <f t="shared" si="103"/>
        <v>50</v>
      </c>
      <c r="AL355" s="101">
        <f t="shared" si="94"/>
        <v>0</v>
      </c>
      <c r="AM355" s="101">
        <f>10+Module!$K$57/($Z$1+1)</f>
        <v>133.65759122654444</v>
      </c>
      <c r="AN355" s="101">
        <f>$Z$1*(25+Module!$I$6)</f>
        <v>50.5</v>
      </c>
      <c r="AO355" s="101">
        <f>(AM355*($Z$1+1)*0.002488974)/($Z$1+1)*Module!$I$5*Module!$I$7</f>
        <v>102.62345540579445</v>
      </c>
      <c r="AP355" s="101">
        <f>$P$120*Module!$I$7*X355*Module!$I$5</f>
        <v>112.90397927949178</v>
      </c>
      <c r="AQ355" s="151">
        <f t="shared" si="98"/>
        <v>1000000</v>
      </c>
      <c r="AS355" s="101">
        <f t="shared" si="95"/>
        <v>0</v>
      </c>
      <c r="AT355" s="101">
        <f>10+Module!$K$57/($AA$1+1)</f>
        <v>92.438394151029627</v>
      </c>
      <c r="AU355" s="101">
        <f>$AA$1*(25+Module!$I$6)</f>
        <v>101</v>
      </c>
      <c r="AV355" s="101">
        <f>(AT355*($Z$1+1)*0.002488974)/($Z$1+1)*Module!$I$5*Module!$I$7</f>
        <v>70.974999121916298</v>
      </c>
      <c r="AW355" s="101">
        <f>$P$120*Module!$I$7*X355*Module!$I$5</f>
        <v>112.90397927949178</v>
      </c>
      <c r="AX355" s="151">
        <f t="shared" si="99"/>
        <v>1000000</v>
      </c>
      <c r="AZ355" s="101">
        <f t="shared" si="96"/>
        <v>0</v>
      </c>
      <c r="BA355" s="101">
        <f>10+Module!$K$57/($AB$1+1)</f>
        <v>71.82879561327222</v>
      </c>
      <c r="BB355" s="101">
        <f>$AB$1*(25+Module!$I$6)</f>
        <v>151.5</v>
      </c>
      <c r="BC355" s="101">
        <f>(BA355*($AB$1+1)*0.002488974)/($AB$1+1)*Module!$I$5*Module!$I$7</f>
        <v>55.150770979977231</v>
      </c>
      <c r="BD355" s="101">
        <f>$P$120*Module!$I$7*X355*Module!$I$5</f>
        <v>112.90397927949178</v>
      </c>
      <c r="BE355" s="151">
        <f t="shared" si="100"/>
        <v>1000000</v>
      </c>
      <c r="BG355" s="101">
        <f t="shared" si="97"/>
        <v>0</v>
      </c>
      <c r="BH355" s="101">
        <f>10+Module!$K$57/($AC$1+1)</f>
        <v>59.463036490617775</v>
      </c>
      <c r="BI355" s="101">
        <f>$AC$1*(25+Module!$I$6)</f>
        <v>202</v>
      </c>
      <c r="BJ355" s="101">
        <f>(BH355*($AC$1+1)*0.002488974)/($AC$1+1)*Module!$I$5*Module!$I$7</f>
        <v>45.656234094813776</v>
      </c>
      <c r="BK355" s="101">
        <f>$P$120*Module!$I$7*X355*Module!$I$5</f>
        <v>112.90397927949178</v>
      </c>
      <c r="BL355" s="151">
        <f t="shared" si="101"/>
        <v>1000000</v>
      </c>
    </row>
    <row r="356" spans="23:64" ht="15.75" hidden="1" thickBot="1">
      <c r="W356" s="777"/>
      <c r="X356" s="121">
        <f t="shared" si="102"/>
        <v>51</v>
      </c>
      <c r="Y356" s="122">
        <f>'calcul pneu pour calculateur'!P357</f>
        <v>197.98237067850815</v>
      </c>
      <c r="Z356" s="123">
        <f t="shared" si="90"/>
        <v>395.96474135701629</v>
      </c>
      <c r="AA356" s="123">
        <f t="shared" si="91"/>
        <v>593.94711203552447</v>
      </c>
      <c r="AB356" s="123">
        <f t="shared" si="92"/>
        <v>791.92948271403259</v>
      </c>
      <c r="AC356" s="123">
        <f t="shared" si="93"/>
        <v>989.91185339254071</v>
      </c>
      <c r="AK356" s="121">
        <f t="shared" si="103"/>
        <v>51</v>
      </c>
      <c r="AL356" s="101">
        <f t="shared" si="94"/>
        <v>0</v>
      </c>
      <c r="AM356" s="101">
        <f>10+Module!$K$57/($Z$1+1)</f>
        <v>133.65759122654444</v>
      </c>
      <c r="AN356" s="101">
        <f>$Z$1*(25+Module!$I$6)</f>
        <v>50.5</v>
      </c>
      <c r="AO356" s="101">
        <f>(AM356*($Z$1+1)*0.002488974)/($Z$1+1)*Module!$I$5*Module!$I$7</f>
        <v>102.62345540579445</v>
      </c>
      <c r="AP356" s="101">
        <f>$P$120*Module!$I$7*X356*Module!$I$5</f>
        <v>115.1620588650816</v>
      </c>
      <c r="AQ356" s="151">
        <f t="shared" si="98"/>
        <v>1000000</v>
      </c>
      <c r="AS356" s="101">
        <f t="shared" si="95"/>
        <v>0</v>
      </c>
      <c r="AT356" s="101">
        <f>10+Module!$K$57/($AA$1+1)</f>
        <v>92.438394151029627</v>
      </c>
      <c r="AU356" s="101">
        <f>$AA$1*(25+Module!$I$6)</f>
        <v>101</v>
      </c>
      <c r="AV356" s="101">
        <f>(AT356*($Z$1+1)*0.002488974)/($Z$1+1)*Module!$I$5*Module!$I$7</f>
        <v>70.974999121916298</v>
      </c>
      <c r="AW356" s="101">
        <f>$P$120*Module!$I$7*X356*Module!$I$5</f>
        <v>115.1620588650816</v>
      </c>
      <c r="AX356" s="151">
        <f t="shared" si="99"/>
        <v>1000000</v>
      </c>
      <c r="AZ356" s="101">
        <f t="shared" si="96"/>
        <v>0</v>
      </c>
      <c r="BA356" s="101">
        <f>10+Module!$K$57/($AB$1+1)</f>
        <v>71.82879561327222</v>
      </c>
      <c r="BB356" s="101">
        <f>$AB$1*(25+Module!$I$6)</f>
        <v>151.5</v>
      </c>
      <c r="BC356" s="101">
        <f>(BA356*($AB$1+1)*0.002488974)/($AB$1+1)*Module!$I$5*Module!$I$7</f>
        <v>55.150770979977231</v>
      </c>
      <c r="BD356" s="101">
        <f>$P$120*Module!$I$7*X356*Module!$I$5</f>
        <v>115.1620588650816</v>
      </c>
      <c r="BE356" s="151">
        <f t="shared" si="100"/>
        <v>1000000</v>
      </c>
      <c r="BG356" s="101">
        <f t="shared" si="97"/>
        <v>0</v>
      </c>
      <c r="BH356" s="101">
        <f>10+Module!$K$57/($AC$1+1)</f>
        <v>59.463036490617775</v>
      </c>
      <c r="BI356" s="101">
        <f>$AC$1*(25+Module!$I$6)</f>
        <v>202</v>
      </c>
      <c r="BJ356" s="101">
        <f>(BH356*($AC$1+1)*0.002488974)/($AC$1+1)*Module!$I$5*Module!$I$7</f>
        <v>45.656234094813776</v>
      </c>
      <c r="BK356" s="101">
        <f>$P$120*Module!$I$7*X356*Module!$I$5</f>
        <v>115.1620588650816</v>
      </c>
      <c r="BL356" s="151">
        <f t="shared" si="101"/>
        <v>1000000</v>
      </c>
    </row>
    <row r="357" spans="23:64" ht="15.75" hidden="1" thickBot="1">
      <c r="W357" s="777"/>
      <c r="X357" s="121">
        <f t="shared" si="102"/>
        <v>52</v>
      </c>
      <c r="Y357" s="122">
        <f>'calcul pneu pour calculateur'!P358</f>
        <v>197.32472488413433</v>
      </c>
      <c r="Z357" s="123">
        <f t="shared" si="90"/>
        <v>394.64944976826865</v>
      </c>
      <c r="AA357" s="123">
        <f t="shared" si="91"/>
        <v>591.97417465240301</v>
      </c>
      <c r="AB357" s="123">
        <f t="shared" si="92"/>
        <v>789.29889953653731</v>
      </c>
      <c r="AC357" s="123">
        <f t="shared" si="93"/>
        <v>986.6236244206716</v>
      </c>
      <c r="AK357" s="121">
        <f t="shared" si="103"/>
        <v>52</v>
      </c>
      <c r="AL357" s="101">
        <f t="shared" si="94"/>
        <v>0</v>
      </c>
      <c r="AM357" s="101">
        <f>10+Module!$K$57/($Z$1+1)</f>
        <v>133.65759122654444</v>
      </c>
      <c r="AN357" s="101">
        <f>$Z$1*(25+Module!$I$6)</f>
        <v>50.5</v>
      </c>
      <c r="AO357" s="101">
        <f>(AM357*($Z$1+1)*0.002488974)/($Z$1+1)*Module!$I$5*Module!$I$7</f>
        <v>102.62345540579445</v>
      </c>
      <c r="AP357" s="101">
        <f>$P$120*Module!$I$7*X357*Module!$I$5</f>
        <v>117.42013845067144</v>
      </c>
      <c r="AQ357" s="151">
        <f t="shared" si="98"/>
        <v>1000000</v>
      </c>
      <c r="AS357" s="101">
        <f t="shared" si="95"/>
        <v>0</v>
      </c>
      <c r="AT357" s="101">
        <f>10+Module!$K$57/($AA$1+1)</f>
        <v>92.438394151029627</v>
      </c>
      <c r="AU357" s="101">
        <f>$AA$1*(25+Module!$I$6)</f>
        <v>101</v>
      </c>
      <c r="AV357" s="101">
        <f>(AT357*($Z$1+1)*0.002488974)/($Z$1+1)*Module!$I$5*Module!$I$7</f>
        <v>70.974999121916298</v>
      </c>
      <c r="AW357" s="101">
        <f>$P$120*Module!$I$7*X357*Module!$I$5</f>
        <v>117.42013845067144</v>
      </c>
      <c r="AX357" s="151">
        <f t="shared" si="99"/>
        <v>1000000</v>
      </c>
      <c r="AZ357" s="101">
        <f t="shared" si="96"/>
        <v>0</v>
      </c>
      <c r="BA357" s="101">
        <f>10+Module!$K$57/($AB$1+1)</f>
        <v>71.82879561327222</v>
      </c>
      <c r="BB357" s="101">
        <f>$AB$1*(25+Module!$I$6)</f>
        <v>151.5</v>
      </c>
      <c r="BC357" s="101">
        <f>(BA357*($AB$1+1)*0.002488974)/($AB$1+1)*Module!$I$5*Module!$I$7</f>
        <v>55.150770979977231</v>
      </c>
      <c r="BD357" s="101">
        <f>$P$120*Module!$I$7*X357*Module!$I$5</f>
        <v>117.42013845067144</v>
      </c>
      <c r="BE357" s="151">
        <f t="shared" si="100"/>
        <v>1000000</v>
      </c>
      <c r="BG357" s="101">
        <f t="shared" si="97"/>
        <v>0</v>
      </c>
      <c r="BH357" s="101">
        <f>10+Module!$K$57/($AC$1+1)</f>
        <v>59.463036490617775</v>
      </c>
      <c r="BI357" s="101">
        <f>$AC$1*(25+Module!$I$6)</f>
        <v>202</v>
      </c>
      <c r="BJ357" s="101">
        <f>(BH357*($AC$1+1)*0.002488974)/($AC$1+1)*Module!$I$5*Module!$I$7</f>
        <v>45.656234094813776</v>
      </c>
      <c r="BK357" s="101">
        <f>$P$120*Module!$I$7*X357*Module!$I$5</f>
        <v>117.42013845067144</v>
      </c>
      <c r="BL357" s="151">
        <f t="shared" si="101"/>
        <v>1000000</v>
      </c>
    </row>
    <row r="358" spans="23:64" ht="15.75" hidden="1" thickBot="1">
      <c r="W358" s="777"/>
      <c r="X358" s="121">
        <f t="shared" si="102"/>
        <v>53</v>
      </c>
      <c r="Y358" s="122">
        <f>'calcul pneu pour calculateur'!P359</f>
        <v>196.66707908976048</v>
      </c>
      <c r="Z358" s="123">
        <f t="shared" si="90"/>
        <v>393.33415817952095</v>
      </c>
      <c r="AA358" s="123">
        <f t="shared" si="91"/>
        <v>590.00123726928143</v>
      </c>
      <c r="AB358" s="123">
        <f t="shared" si="92"/>
        <v>786.66831635904191</v>
      </c>
      <c r="AC358" s="123">
        <f t="shared" si="93"/>
        <v>983.33539544880239</v>
      </c>
      <c r="AK358" s="121">
        <f t="shared" si="103"/>
        <v>53</v>
      </c>
      <c r="AL358" s="101">
        <f t="shared" si="94"/>
        <v>0</v>
      </c>
      <c r="AM358" s="101">
        <f>10+Module!$K$57/($Z$1+1)</f>
        <v>133.65759122654444</v>
      </c>
      <c r="AN358" s="101">
        <f>$Z$1*(25+Module!$I$6)</f>
        <v>50.5</v>
      </c>
      <c r="AO358" s="101">
        <f>(AM358*($Z$1+1)*0.002488974)/($Z$1+1)*Module!$I$5*Module!$I$7</f>
        <v>102.62345540579445</v>
      </c>
      <c r="AP358" s="101">
        <f>$P$120*Module!$I$7*X358*Module!$I$5</f>
        <v>119.67821803626127</v>
      </c>
      <c r="AQ358" s="151">
        <f t="shared" si="98"/>
        <v>1000000</v>
      </c>
      <c r="AS358" s="101">
        <f t="shared" si="95"/>
        <v>0</v>
      </c>
      <c r="AT358" s="101">
        <f>10+Module!$K$57/($AA$1+1)</f>
        <v>92.438394151029627</v>
      </c>
      <c r="AU358" s="101">
        <f>$AA$1*(25+Module!$I$6)</f>
        <v>101</v>
      </c>
      <c r="AV358" s="101">
        <f>(AT358*($Z$1+1)*0.002488974)/($Z$1+1)*Module!$I$5*Module!$I$7</f>
        <v>70.974999121916298</v>
      </c>
      <c r="AW358" s="101">
        <f>$P$120*Module!$I$7*X358*Module!$I$5</f>
        <v>119.67821803626127</v>
      </c>
      <c r="AX358" s="151">
        <f t="shared" si="99"/>
        <v>1000000</v>
      </c>
      <c r="AZ358" s="101">
        <f t="shared" si="96"/>
        <v>0</v>
      </c>
      <c r="BA358" s="101">
        <f>10+Module!$K$57/($AB$1+1)</f>
        <v>71.82879561327222</v>
      </c>
      <c r="BB358" s="101">
        <f>$AB$1*(25+Module!$I$6)</f>
        <v>151.5</v>
      </c>
      <c r="BC358" s="101">
        <f>(BA358*($AB$1+1)*0.002488974)/($AB$1+1)*Module!$I$5*Module!$I$7</f>
        <v>55.150770979977231</v>
      </c>
      <c r="BD358" s="101">
        <f>$P$120*Module!$I$7*X358*Module!$I$5</f>
        <v>119.67821803626127</v>
      </c>
      <c r="BE358" s="151">
        <f t="shared" si="100"/>
        <v>1000000</v>
      </c>
      <c r="BG358" s="101">
        <f t="shared" si="97"/>
        <v>0</v>
      </c>
      <c r="BH358" s="101">
        <f>10+Module!$K$57/($AC$1+1)</f>
        <v>59.463036490617775</v>
      </c>
      <c r="BI358" s="101">
        <f>$AC$1*(25+Module!$I$6)</f>
        <v>202</v>
      </c>
      <c r="BJ358" s="101">
        <f>(BH358*($AC$1+1)*0.002488974)/($AC$1+1)*Module!$I$5*Module!$I$7</f>
        <v>45.656234094813776</v>
      </c>
      <c r="BK358" s="101">
        <f>$P$120*Module!$I$7*X358*Module!$I$5</f>
        <v>119.67821803626127</v>
      </c>
      <c r="BL358" s="151">
        <f t="shared" si="101"/>
        <v>1000000</v>
      </c>
    </row>
    <row r="359" spans="23:64" ht="15.75" hidden="1" thickBot="1">
      <c r="W359" s="777"/>
      <c r="X359" s="121">
        <f t="shared" si="102"/>
        <v>54</v>
      </c>
      <c r="Y359" s="122">
        <f>'calcul pneu pour calculateur'!P360</f>
        <v>196.00943329538663</v>
      </c>
      <c r="Z359" s="123">
        <f t="shared" si="90"/>
        <v>392.01886659077326</v>
      </c>
      <c r="AA359" s="123">
        <f t="shared" si="91"/>
        <v>588.02829988615986</v>
      </c>
      <c r="AB359" s="123">
        <f t="shared" si="92"/>
        <v>784.03773318154651</v>
      </c>
      <c r="AC359" s="123">
        <f t="shared" si="93"/>
        <v>980.04716647693317</v>
      </c>
      <c r="AK359" s="121">
        <f t="shared" si="103"/>
        <v>54</v>
      </c>
      <c r="AL359" s="101">
        <f t="shared" si="94"/>
        <v>0</v>
      </c>
      <c r="AM359" s="101">
        <f>10+Module!$K$57/($Z$1+1)</f>
        <v>133.65759122654444</v>
      </c>
      <c r="AN359" s="101">
        <f>$Z$1*(25+Module!$I$6)</f>
        <v>50.5</v>
      </c>
      <c r="AO359" s="101">
        <f>(AM359*($Z$1+1)*0.002488974)/($Z$1+1)*Module!$I$5*Module!$I$7</f>
        <v>102.62345540579445</v>
      </c>
      <c r="AP359" s="101">
        <f>$P$120*Module!$I$7*X359*Module!$I$5</f>
        <v>121.93629762185111</v>
      </c>
      <c r="AQ359" s="151">
        <f t="shared" si="98"/>
        <v>1000000</v>
      </c>
      <c r="AS359" s="101">
        <f t="shared" si="95"/>
        <v>0</v>
      </c>
      <c r="AT359" s="101">
        <f>10+Module!$K$57/($AA$1+1)</f>
        <v>92.438394151029627</v>
      </c>
      <c r="AU359" s="101">
        <f>$AA$1*(25+Module!$I$6)</f>
        <v>101</v>
      </c>
      <c r="AV359" s="101">
        <f>(AT359*($Z$1+1)*0.002488974)/($Z$1+1)*Module!$I$5*Module!$I$7</f>
        <v>70.974999121916298</v>
      </c>
      <c r="AW359" s="101">
        <f>$P$120*Module!$I$7*X359*Module!$I$5</f>
        <v>121.93629762185111</v>
      </c>
      <c r="AX359" s="151">
        <f t="shared" si="99"/>
        <v>1000000</v>
      </c>
      <c r="AZ359" s="101">
        <f t="shared" si="96"/>
        <v>0</v>
      </c>
      <c r="BA359" s="101">
        <f>10+Module!$K$57/($AB$1+1)</f>
        <v>71.82879561327222</v>
      </c>
      <c r="BB359" s="101">
        <f>$AB$1*(25+Module!$I$6)</f>
        <v>151.5</v>
      </c>
      <c r="BC359" s="101">
        <f>(BA359*($AB$1+1)*0.002488974)/($AB$1+1)*Module!$I$5*Module!$I$7</f>
        <v>55.150770979977231</v>
      </c>
      <c r="BD359" s="101">
        <f>$P$120*Module!$I$7*X359*Module!$I$5</f>
        <v>121.93629762185111</v>
      </c>
      <c r="BE359" s="151">
        <f t="shared" si="100"/>
        <v>1000000</v>
      </c>
      <c r="BG359" s="101">
        <f t="shared" si="97"/>
        <v>0</v>
      </c>
      <c r="BH359" s="101">
        <f>10+Module!$K$57/($AC$1+1)</f>
        <v>59.463036490617775</v>
      </c>
      <c r="BI359" s="101">
        <f>$AC$1*(25+Module!$I$6)</f>
        <v>202</v>
      </c>
      <c r="BJ359" s="101">
        <f>(BH359*($AC$1+1)*0.002488974)/($AC$1+1)*Module!$I$5*Module!$I$7</f>
        <v>45.656234094813776</v>
      </c>
      <c r="BK359" s="101">
        <f>$P$120*Module!$I$7*X359*Module!$I$5</f>
        <v>121.93629762185111</v>
      </c>
      <c r="BL359" s="151">
        <f t="shared" si="101"/>
        <v>1000000</v>
      </c>
    </row>
    <row r="360" spans="23:64" ht="15.75" hidden="1" thickBot="1">
      <c r="W360" s="777"/>
      <c r="X360" s="121">
        <f t="shared" si="102"/>
        <v>55</v>
      </c>
      <c r="Y360" s="122">
        <f>'calcul pneu pour calculateur'!P361</f>
        <v>195.35178750101281</v>
      </c>
      <c r="Z360" s="123">
        <f t="shared" si="90"/>
        <v>390.70357500202562</v>
      </c>
      <c r="AA360" s="123">
        <f t="shared" si="91"/>
        <v>586.0553625030384</v>
      </c>
      <c r="AB360" s="123">
        <f t="shared" si="92"/>
        <v>781.40715000405123</v>
      </c>
      <c r="AC360" s="123">
        <f t="shared" si="93"/>
        <v>976.75893750506407</v>
      </c>
      <c r="AK360" s="121">
        <f t="shared" si="103"/>
        <v>55</v>
      </c>
      <c r="AL360" s="101">
        <f t="shared" si="94"/>
        <v>0</v>
      </c>
      <c r="AM360" s="101">
        <f>10+Module!$K$57/($Z$1+1)</f>
        <v>133.65759122654444</v>
      </c>
      <c r="AN360" s="101">
        <f>$Z$1*(25+Module!$I$6)</f>
        <v>50.5</v>
      </c>
      <c r="AO360" s="101">
        <f>(AM360*($Z$1+1)*0.002488974)/($Z$1+1)*Module!$I$5*Module!$I$7</f>
        <v>102.62345540579445</v>
      </c>
      <c r="AP360" s="101">
        <f>$P$120*Module!$I$7*X360*Module!$I$5</f>
        <v>124.19437720744094</v>
      </c>
      <c r="AQ360" s="151">
        <f t="shared" si="98"/>
        <v>1000000</v>
      </c>
      <c r="AS360" s="101">
        <f t="shared" si="95"/>
        <v>0</v>
      </c>
      <c r="AT360" s="101">
        <f>10+Module!$K$57/($AA$1+1)</f>
        <v>92.438394151029627</v>
      </c>
      <c r="AU360" s="101">
        <f>$AA$1*(25+Module!$I$6)</f>
        <v>101</v>
      </c>
      <c r="AV360" s="101">
        <f>(AT360*($Z$1+1)*0.002488974)/($Z$1+1)*Module!$I$5*Module!$I$7</f>
        <v>70.974999121916298</v>
      </c>
      <c r="AW360" s="101">
        <f>$P$120*Module!$I$7*X360*Module!$I$5</f>
        <v>124.19437720744094</v>
      </c>
      <c r="AX360" s="151">
        <f t="shared" si="99"/>
        <v>1000000</v>
      </c>
      <c r="AZ360" s="101">
        <f t="shared" si="96"/>
        <v>0</v>
      </c>
      <c r="BA360" s="101">
        <f>10+Module!$K$57/($AB$1+1)</f>
        <v>71.82879561327222</v>
      </c>
      <c r="BB360" s="101">
        <f>$AB$1*(25+Module!$I$6)</f>
        <v>151.5</v>
      </c>
      <c r="BC360" s="101">
        <f>(BA360*($AB$1+1)*0.002488974)/($AB$1+1)*Module!$I$5*Module!$I$7</f>
        <v>55.150770979977231</v>
      </c>
      <c r="BD360" s="101">
        <f>$P$120*Module!$I$7*X360*Module!$I$5</f>
        <v>124.19437720744094</v>
      </c>
      <c r="BE360" s="151">
        <f t="shared" si="100"/>
        <v>1000000</v>
      </c>
      <c r="BG360" s="101">
        <f t="shared" si="97"/>
        <v>0</v>
      </c>
      <c r="BH360" s="101">
        <f>10+Module!$K$57/($AC$1+1)</f>
        <v>59.463036490617775</v>
      </c>
      <c r="BI360" s="101">
        <f>$AC$1*(25+Module!$I$6)</f>
        <v>202</v>
      </c>
      <c r="BJ360" s="101">
        <f>(BH360*($AC$1+1)*0.002488974)/($AC$1+1)*Module!$I$5*Module!$I$7</f>
        <v>45.656234094813776</v>
      </c>
      <c r="BK360" s="101">
        <f>$P$120*Module!$I$7*X360*Module!$I$5</f>
        <v>124.19437720744094</v>
      </c>
      <c r="BL360" s="151">
        <f t="shared" si="101"/>
        <v>1000000</v>
      </c>
    </row>
    <row r="361" spans="23:64" ht="15.75" hidden="1" thickBot="1">
      <c r="W361" s="777"/>
      <c r="X361" s="121">
        <f t="shared" si="102"/>
        <v>56</v>
      </c>
      <c r="Y361" s="122">
        <f>'calcul pneu pour calculateur'!P362</f>
        <v>194.69414170663896</v>
      </c>
      <c r="Z361" s="123">
        <f t="shared" si="90"/>
        <v>389.38828341327792</v>
      </c>
      <c r="AA361" s="123">
        <f t="shared" si="91"/>
        <v>584.08242511991693</v>
      </c>
      <c r="AB361" s="123">
        <f t="shared" si="92"/>
        <v>778.77656682655584</v>
      </c>
      <c r="AC361" s="123">
        <f t="shared" si="93"/>
        <v>973.47070853319474</v>
      </c>
      <c r="AK361" s="121">
        <f t="shared" si="103"/>
        <v>56</v>
      </c>
      <c r="AL361" s="101">
        <f t="shared" si="94"/>
        <v>0</v>
      </c>
      <c r="AM361" s="101">
        <f>10+Module!$K$57/($Z$1+1)</f>
        <v>133.65759122654444</v>
      </c>
      <c r="AN361" s="101">
        <f>$Z$1*(25+Module!$I$6)</f>
        <v>50.5</v>
      </c>
      <c r="AO361" s="101">
        <f>(AM361*($Z$1+1)*0.002488974)/($Z$1+1)*Module!$I$5*Module!$I$7</f>
        <v>102.62345540579445</v>
      </c>
      <c r="AP361" s="101">
        <f>$P$120*Module!$I$7*X361*Module!$I$5</f>
        <v>126.45245679303078</v>
      </c>
      <c r="AQ361" s="151">
        <f t="shared" si="98"/>
        <v>1000000</v>
      </c>
      <c r="AS361" s="101">
        <f t="shared" si="95"/>
        <v>0</v>
      </c>
      <c r="AT361" s="101">
        <f>10+Module!$K$57/($AA$1+1)</f>
        <v>92.438394151029627</v>
      </c>
      <c r="AU361" s="101">
        <f>$AA$1*(25+Module!$I$6)</f>
        <v>101</v>
      </c>
      <c r="AV361" s="101">
        <f>(AT361*($Z$1+1)*0.002488974)/($Z$1+1)*Module!$I$5*Module!$I$7</f>
        <v>70.974999121916298</v>
      </c>
      <c r="AW361" s="101">
        <f>$P$120*Module!$I$7*X361*Module!$I$5</f>
        <v>126.45245679303078</v>
      </c>
      <c r="AX361" s="151">
        <f t="shared" si="99"/>
        <v>1000000</v>
      </c>
      <c r="AZ361" s="101">
        <f t="shared" si="96"/>
        <v>0</v>
      </c>
      <c r="BA361" s="101">
        <f>10+Module!$K$57/($AB$1+1)</f>
        <v>71.82879561327222</v>
      </c>
      <c r="BB361" s="101">
        <f>$AB$1*(25+Module!$I$6)</f>
        <v>151.5</v>
      </c>
      <c r="BC361" s="101">
        <f>(BA361*($AB$1+1)*0.002488974)/($AB$1+1)*Module!$I$5*Module!$I$7</f>
        <v>55.150770979977231</v>
      </c>
      <c r="BD361" s="101">
        <f>$P$120*Module!$I$7*X361*Module!$I$5</f>
        <v>126.45245679303078</v>
      </c>
      <c r="BE361" s="151">
        <f t="shared" si="100"/>
        <v>1000000</v>
      </c>
      <c r="BG361" s="101">
        <f t="shared" si="97"/>
        <v>0</v>
      </c>
      <c r="BH361" s="101">
        <f>10+Module!$K$57/($AC$1+1)</f>
        <v>59.463036490617775</v>
      </c>
      <c r="BI361" s="101">
        <f>$AC$1*(25+Module!$I$6)</f>
        <v>202</v>
      </c>
      <c r="BJ361" s="101">
        <f>(BH361*($AC$1+1)*0.002488974)/($AC$1+1)*Module!$I$5*Module!$I$7</f>
        <v>45.656234094813776</v>
      </c>
      <c r="BK361" s="101">
        <f>$P$120*Module!$I$7*X361*Module!$I$5</f>
        <v>126.45245679303078</v>
      </c>
      <c r="BL361" s="151">
        <f t="shared" si="101"/>
        <v>1000000</v>
      </c>
    </row>
    <row r="362" spans="23:64" ht="15.75" hidden="1" thickBot="1">
      <c r="W362" s="777"/>
      <c r="X362" s="121">
        <f t="shared" si="102"/>
        <v>57</v>
      </c>
      <c r="Y362" s="122">
        <f>'calcul pneu pour calculateur'!P363</f>
        <v>194.03649591226514</v>
      </c>
      <c r="Z362" s="123">
        <f t="shared" si="90"/>
        <v>388.07299182453028</v>
      </c>
      <c r="AA362" s="123">
        <f t="shared" si="91"/>
        <v>582.10948773679547</v>
      </c>
      <c r="AB362" s="123">
        <f t="shared" si="92"/>
        <v>776.14598364906055</v>
      </c>
      <c r="AC362" s="123">
        <f t="shared" si="93"/>
        <v>970.18247956132564</v>
      </c>
      <c r="AK362" s="121">
        <f t="shared" si="103"/>
        <v>57</v>
      </c>
      <c r="AL362" s="101">
        <f t="shared" si="94"/>
        <v>0</v>
      </c>
      <c r="AM362" s="101">
        <f>10+Module!$K$57/($Z$1+1)</f>
        <v>133.65759122654444</v>
      </c>
      <c r="AN362" s="101">
        <f>$Z$1*(25+Module!$I$6)</f>
        <v>50.5</v>
      </c>
      <c r="AO362" s="101">
        <f>(AM362*($Z$1+1)*0.002488974)/($Z$1+1)*Module!$I$5*Module!$I$7</f>
        <v>102.62345540579445</v>
      </c>
      <c r="AP362" s="101">
        <f>$P$120*Module!$I$7*X362*Module!$I$5</f>
        <v>128.71053637862062</v>
      </c>
      <c r="AQ362" s="151">
        <f t="shared" si="98"/>
        <v>1000000</v>
      </c>
      <c r="AS362" s="101">
        <f t="shared" si="95"/>
        <v>0</v>
      </c>
      <c r="AT362" s="101">
        <f>10+Module!$K$57/($AA$1+1)</f>
        <v>92.438394151029627</v>
      </c>
      <c r="AU362" s="101">
        <f>$AA$1*(25+Module!$I$6)</f>
        <v>101</v>
      </c>
      <c r="AV362" s="101">
        <f>(AT362*($Z$1+1)*0.002488974)/($Z$1+1)*Module!$I$5*Module!$I$7</f>
        <v>70.974999121916298</v>
      </c>
      <c r="AW362" s="101">
        <f>$P$120*Module!$I$7*X362*Module!$I$5</f>
        <v>128.71053637862062</v>
      </c>
      <c r="AX362" s="151">
        <f t="shared" si="99"/>
        <v>1000000</v>
      </c>
      <c r="AZ362" s="101">
        <f t="shared" si="96"/>
        <v>0</v>
      </c>
      <c r="BA362" s="101">
        <f>10+Module!$K$57/($AB$1+1)</f>
        <v>71.82879561327222</v>
      </c>
      <c r="BB362" s="101">
        <f>$AB$1*(25+Module!$I$6)</f>
        <v>151.5</v>
      </c>
      <c r="BC362" s="101">
        <f>(BA362*($AB$1+1)*0.002488974)/($AB$1+1)*Module!$I$5*Module!$I$7</f>
        <v>55.150770979977231</v>
      </c>
      <c r="BD362" s="101">
        <f>$P$120*Module!$I$7*X362*Module!$I$5</f>
        <v>128.71053637862062</v>
      </c>
      <c r="BE362" s="151">
        <f t="shared" si="100"/>
        <v>1000000</v>
      </c>
      <c r="BG362" s="101">
        <f t="shared" si="97"/>
        <v>0</v>
      </c>
      <c r="BH362" s="101">
        <f>10+Module!$K$57/($AC$1+1)</f>
        <v>59.463036490617775</v>
      </c>
      <c r="BI362" s="101">
        <f>$AC$1*(25+Module!$I$6)</f>
        <v>202</v>
      </c>
      <c r="BJ362" s="101">
        <f>(BH362*($AC$1+1)*0.002488974)/($AC$1+1)*Module!$I$5*Module!$I$7</f>
        <v>45.656234094813776</v>
      </c>
      <c r="BK362" s="101">
        <f>$P$120*Module!$I$7*X362*Module!$I$5</f>
        <v>128.71053637862062</v>
      </c>
      <c r="BL362" s="151">
        <f t="shared" si="101"/>
        <v>1000000</v>
      </c>
    </row>
    <row r="363" spans="23:64" ht="15.75" hidden="1" thickBot="1">
      <c r="W363" s="777"/>
      <c r="X363" s="121">
        <f t="shared" si="102"/>
        <v>58</v>
      </c>
      <c r="Y363" s="122">
        <f>'calcul pneu pour calculateur'!P364</f>
        <v>193.37885011789132</v>
      </c>
      <c r="Z363" s="123">
        <f t="shared" ref="Z363:Z426" si="104">Y363*2</f>
        <v>386.75770023578264</v>
      </c>
      <c r="AA363" s="123">
        <f t="shared" ref="AA363:AA426" si="105">Y363*3</f>
        <v>580.13655035367401</v>
      </c>
      <c r="AB363" s="123">
        <f t="shared" ref="AB363:AB426" si="106">Y363*4</f>
        <v>773.51540047156527</v>
      </c>
      <c r="AC363" s="123">
        <f t="shared" ref="AC363:AC426" si="107">Y363*5</f>
        <v>966.89425058945653</v>
      </c>
      <c r="AK363" s="121">
        <f t="shared" si="103"/>
        <v>58</v>
      </c>
      <c r="AL363" s="101">
        <f t="shared" si="94"/>
        <v>0</v>
      </c>
      <c r="AM363" s="101">
        <f>10+Module!$K$57/($Z$1+1)</f>
        <v>133.65759122654444</v>
      </c>
      <c r="AN363" s="101">
        <f>$Z$1*(25+Module!$I$6)</f>
        <v>50.5</v>
      </c>
      <c r="AO363" s="101">
        <f>(AM363*($Z$1+1)*0.002488974)/($Z$1+1)*Module!$I$5*Module!$I$7</f>
        <v>102.62345540579445</v>
      </c>
      <c r="AP363" s="101">
        <f>$P$120*Module!$I$7*X363*Module!$I$5</f>
        <v>130.96861596421047</v>
      </c>
      <c r="AQ363" s="151">
        <f t="shared" si="98"/>
        <v>1000000</v>
      </c>
      <c r="AS363" s="101">
        <f t="shared" si="95"/>
        <v>0</v>
      </c>
      <c r="AT363" s="101">
        <f>10+Module!$K$57/($AA$1+1)</f>
        <v>92.438394151029627</v>
      </c>
      <c r="AU363" s="101">
        <f>$AA$1*(25+Module!$I$6)</f>
        <v>101</v>
      </c>
      <c r="AV363" s="101">
        <f>(AT363*($Z$1+1)*0.002488974)/($Z$1+1)*Module!$I$5*Module!$I$7</f>
        <v>70.974999121916298</v>
      </c>
      <c r="AW363" s="101">
        <f>$P$120*Module!$I$7*X363*Module!$I$5</f>
        <v>130.96861596421047</v>
      </c>
      <c r="AX363" s="151">
        <f t="shared" si="99"/>
        <v>1000000</v>
      </c>
      <c r="AZ363" s="101">
        <f t="shared" si="96"/>
        <v>0</v>
      </c>
      <c r="BA363" s="101">
        <f>10+Module!$K$57/($AB$1+1)</f>
        <v>71.82879561327222</v>
      </c>
      <c r="BB363" s="101">
        <f>$AB$1*(25+Module!$I$6)</f>
        <v>151.5</v>
      </c>
      <c r="BC363" s="101">
        <f>(BA363*($AB$1+1)*0.002488974)/($AB$1+1)*Module!$I$5*Module!$I$7</f>
        <v>55.150770979977231</v>
      </c>
      <c r="BD363" s="101">
        <f>$P$120*Module!$I$7*X363*Module!$I$5</f>
        <v>130.96861596421047</v>
      </c>
      <c r="BE363" s="151">
        <f t="shared" si="100"/>
        <v>1000000</v>
      </c>
      <c r="BG363" s="101">
        <f t="shared" si="97"/>
        <v>0</v>
      </c>
      <c r="BH363" s="101">
        <f>10+Module!$K$57/($AC$1+1)</f>
        <v>59.463036490617775</v>
      </c>
      <c r="BI363" s="101">
        <f>$AC$1*(25+Module!$I$6)</f>
        <v>202</v>
      </c>
      <c r="BJ363" s="101">
        <f>(BH363*($AC$1+1)*0.002488974)/($AC$1+1)*Module!$I$5*Module!$I$7</f>
        <v>45.656234094813776</v>
      </c>
      <c r="BK363" s="101">
        <f>$P$120*Module!$I$7*X363*Module!$I$5</f>
        <v>130.96861596421047</v>
      </c>
      <c r="BL363" s="151">
        <f t="shared" si="101"/>
        <v>1000000</v>
      </c>
    </row>
    <row r="364" spans="23:64" ht="15.75" hidden="1" thickBot="1">
      <c r="W364" s="777"/>
      <c r="X364" s="121">
        <f t="shared" si="102"/>
        <v>59</v>
      </c>
      <c r="Y364" s="122">
        <f>'calcul pneu pour calculateur'!P365</f>
        <v>192.72120432351747</v>
      </c>
      <c r="Z364" s="123">
        <f t="shared" si="104"/>
        <v>385.44240864703494</v>
      </c>
      <c r="AA364" s="123">
        <f t="shared" si="105"/>
        <v>578.16361297055244</v>
      </c>
      <c r="AB364" s="123">
        <f t="shared" si="106"/>
        <v>770.88481729406988</v>
      </c>
      <c r="AC364" s="123">
        <f t="shared" si="107"/>
        <v>963.60602161758732</v>
      </c>
      <c r="AK364" s="121">
        <f t="shared" si="103"/>
        <v>59</v>
      </c>
      <c r="AL364" s="101">
        <f t="shared" si="94"/>
        <v>0</v>
      </c>
      <c r="AM364" s="101">
        <f>10+Module!$K$57/($Z$1+1)</f>
        <v>133.65759122654444</v>
      </c>
      <c r="AN364" s="101">
        <f>$Z$1*(25+Module!$I$6)</f>
        <v>50.5</v>
      </c>
      <c r="AO364" s="101">
        <f>(AM364*($Z$1+1)*0.002488974)/($Z$1+1)*Module!$I$5*Module!$I$7</f>
        <v>102.62345540579445</v>
      </c>
      <c r="AP364" s="101">
        <f>$P$120*Module!$I$7*X364*Module!$I$5</f>
        <v>133.2266955498003</v>
      </c>
      <c r="AQ364" s="151">
        <f t="shared" si="98"/>
        <v>1000000</v>
      </c>
      <c r="AS364" s="101">
        <f t="shared" si="95"/>
        <v>0</v>
      </c>
      <c r="AT364" s="101">
        <f>10+Module!$K$57/($AA$1+1)</f>
        <v>92.438394151029627</v>
      </c>
      <c r="AU364" s="101">
        <f>$AA$1*(25+Module!$I$6)</f>
        <v>101</v>
      </c>
      <c r="AV364" s="101">
        <f>(AT364*($Z$1+1)*0.002488974)/($Z$1+1)*Module!$I$5*Module!$I$7</f>
        <v>70.974999121916298</v>
      </c>
      <c r="AW364" s="101">
        <f>$P$120*Module!$I$7*X364*Module!$I$5</f>
        <v>133.2266955498003</v>
      </c>
      <c r="AX364" s="151">
        <f t="shared" si="99"/>
        <v>1000000</v>
      </c>
      <c r="AZ364" s="101">
        <f t="shared" si="96"/>
        <v>0</v>
      </c>
      <c r="BA364" s="101">
        <f>10+Module!$K$57/($AB$1+1)</f>
        <v>71.82879561327222</v>
      </c>
      <c r="BB364" s="101">
        <f>$AB$1*(25+Module!$I$6)</f>
        <v>151.5</v>
      </c>
      <c r="BC364" s="101">
        <f>(BA364*($AB$1+1)*0.002488974)/($AB$1+1)*Module!$I$5*Module!$I$7</f>
        <v>55.150770979977231</v>
      </c>
      <c r="BD364" s="101">
        <f>$P$120*Module!$I$7*X364*Module!$I$5</f>
        <v>133.2266955498003</v>
      </c>
      <c r="BE364" s="151">
        <f t="shared" si="100"/>
        <v>1000000</v>
      </c>
      <c r="BG364" s="101">
        <f t="shared" si="97"/>
        <v>0</v>
      </c>
      <c r="BH364" s="101">
        <f>10+Module!$K$57/($AC$1+1)</f>
        <v>59.463036490617775</v>
      </c>
      <c r="BI364" s="101">
        <f>$AC$1*(25+Module!$I$6)</f>
        <v>202</v>
      </c>
      <c r="BJ364" s="101">
        <f>(BH364*($AC$1+1)*0.002488974)/($AC$1+1)*Module!$I$5*Module!$I$7</f>
        <v>45.656234094813776</v>
      </c>
      <c r="BK364" s="101">
        <f>$P$120*Module!$I$7*X364*Module!$I$5</f>
        <v>133.2266955498003</v>
      </c>
      <c r="BL364" s="151">
        <f t="shared" si="101"/>
        <v>1000000</v>
      </c>
    </row>
    <row r="365" spans="23:64" ht="15.75" hidden="1" thickBot="1">
      <c r="W365" s="777"/>
      <c r="X365" s="121">
        <f t="shared" si="102"/>
        <v>60</v>
      </c>
      <c r="Y365" s="122">
        <f>'calcul pneu pour calculateur'!P366</f>
        <v>192.06355852914362</v>
      </c>
      <c r="Z365" s="123">
        <f t="shared" si="104"/>
        <v>384.12711705828724</v>
      </c>
      <c r="AA365" s="123">
        <f t="shared" si="105"/>
        <v>576.19067558743086</v>
      </c>
      <c r="AB365" s="123">
        <f t="shared" si="106"/>
        <v>768.25423411657448</v>
      </c>
      <c r="AC365" s="123">
        <f t="shared" si="107"/>
        <v>960.3177926457181</v>
      </c>
      <c r="AK365" s="121">
        <f t="shared" si="103"/>
        <v>60</v>
      </c>
      <c r="AL365" s="101">
        <f t="shared" si="94"/>
        <v>0</v>
      </c>
      <c r="AM365" s="101">
        <f>10+Module!$K$57/($Z$1+1)</f>
        <v>133.65759122654444</v>
      </c>
      <c r="AN365" s="101">
        <f>$Z$1*(25+Module!$I$6)</f>
        <v>50.5</v>
      </c>
      <c r="AO365" s="101">
        <f>(AM365*($Z$1+1)*0.002488974)/($Z$1+1)*Module!$I$5*Module!$I$7</f>
        <v>102.62345540579445</v>
      </c>
      <c r="AP365" s="101">
        <f>$P$120*Module!$I$7*X365*Module!$I$5</f>
        <v>135.48477513539012</v>
      </c>
      <c r="AQ365" s="151">
        <f t="shared" si="98"/>
        <v>1000000</v>
      </c>
      <c r="AS365" s="101">
        <f t="shared" si="95"/>
        <v>0</v>
      </c>
      <c r="AT365" s="101">
        <f>10+Module!$K$57/($AA$1+1)</f>
        <v>92.438394151029627</v>
      </c>
      <c r="AU365" s="101">
        <f>$AA$1*(25+Module!$I$6)</f>
        <v>101</v>
      </c>
      <c r="AV365" s="101">
        <f>(AT365*($Z$1+1)*0.002488974)/($Z$1+1)*Module!$I$5*Module!$I$7</f>
        <v>70.974999121916298</v>
      </c>
      <c r="AW365" s="101">
        <f>$P$120*Module!$I$7*X365*Module!$I$5</f>
        <v>135.48477513539012</v>
      </c>
      <c r="AX365" s="151">
        <f t="shared" si="99"/>
        <v>1000000</v>
      </c>
      <c r="AZ365" s="101">
        <f t="shared" si="96"/>
        <v>0</v>
      </c>
      <c r="BA365" s="101">
        <f>10+Module!$K$57/($AB$1+1)</f>
        <v>71.82879561327222</v>
      </c>
      <c r="BB365" s="101">
        <f>$AB$1*(25+Module!$I$6)</f>
        <v>151.5</v>
      </c>
      <c r="BC365" s="101">
        <f>(BA365*($AB$1+1)*0.002488974)/($AB$1+1)*Module!$I$5*Module!$I$7</f>
        <v>55.150770979977231</v>
      </c>
      <c r="BD365" s="101">
        <f>$P$120*Module!$I$7*X365*Module!$I$5</f>
        <v>135.48477513539012</v>
      </c>
      <c r="BE365" s="151">
        <f t="shared" si="100"/>
        <v>1000000</v>
      </c>
      <c r="BG365" s="101">
        <f t="shared" si="97"/>
        <v>0</v>
      </c>
      <c r="BH365" s="101">
        <f>10+Module!$K$57/($AC$1+1)</f>
        <v>59.463036490617775</v>
      </c>
      <c r="BI365" s="101">
        <f>$AC$1*(25+Module!$I$6)</f>
        <v>202</v>
      </c>
      <c r="BJ365" s="101">
        <f>(BH365*($AC$1+1)*0.002488974)/($AC$1+1)*Module!$I$5*Module!$I$7</f>
        <v>45.656234094813776</v>
      </c>
      <c r="BK365" s="101">
        <f>$P$120*Module!$I$7*X365*Module!$I$5</f>
        <v>135.48477513539012</v>
      </c>
      <c r="BL365" s="151">
        <f t="shared" si="101"/>
        <v>1000000</v>
      </c>
    </row>
    <row r="366" spans="23:64" ht="15.75" hidden="1" thickBot="1">
      <c r="W366" s="777"/>
      <c r="X366" s="121">
        <f t="shared" si="102"/>
        <v>61</v>
      </c>
      <c r="Y366" s="122">
        <f>'calcul pneu pour calculateur'!P367</f>
        <v>191.4059127347698</v>
      </c>
      <c r="Z366" s="123">
        <f t="shared" si="104"/>
        <v>382.8118254695396</v>
      </c>
      <c r="AA366" s="123">
        <f t="shared" si="105"/>
        <v>574.2177382043094</v>
      </c>
      <c r="AB366" s="123">
        <f t="shared" si="106"/>
        <v>765.6236509390792</v>
      </c>
      <c r="AC366" s="123">
        <f t="shared" si="107"/>
        <v>957.029563673849</v>
      </c>
      <c r="AK366" s="121">
        <f t="shared" si="103"/>
        <v>61</v>
      </c>
      <c r="AL366" s="101">
        <f t="shared" si="94"/>
        <v>0</v>
      </c>
      <c r="AM366" s="101">
        <f>10+Module!$K$57/($Z$1+1)</f>
        <v>133.65759122654444</v>
      </c>
      <c r="AN366" s="101">
        <f>$Z$1*(25+Module!$I$6)</f>
        <v>50.5</v>
      </c>
      <c r="AO366" s="101">
        <f>(AM366*($Z$1+1)*0.002488974)/($Z$1+1)*Module!$I$5*Module!$I$7</f>
        <v>102.62345540579445</v>
      </c>
      <c r="AP366" s="101">
        <f>$P$120*Module!$I$7*X366*Module!$I$5</f>
        <v>137.74285472097998</v>
      </c>
      <c r="AQ366" s="151">
        <f t="shared" si="98"/>
        <v>1000000</v>
      </c>
      <c r="AS366" s="101">
        <f t="shared" si="95"/>
        <v>0</v>
      </c>
      <c r="AT366" s="101">
        <f>10+Module!$K$57/($AA$1+1)</f>
        <v>92.438394151029627</v>
      </c>
      <c r="AU366" s="101">
        <f>$AA$1*(25+Module!$I$6)</f>
        <v>101</v>
      </c>
      <c r="AV366" s="101">
        <f>(AT366*($Z$1+1)*0.002488974)/($Z$1+1)*Module!$I$5*Module!$I$7</f>
        <v>70.974999121916298</v>
      </c>
      <c r="AW366" s="101">
        <f>$P$120*Module!$I$7*X366*Module!$I$5</f>
        <v>137.74285472097998</v>
      </c>
      <c r="AX366" s="151">
        <f t="shared" si="99"/>
        <v>1000000</v>
      </c>
      <c r="AZ366" s="101">
        <f t="shared" si="96"/>
        <v>0</v>
      </c>
      <c r="BA366" s="101">
        <f>10+Module!$K$57/($AB$1+1)</f>
        <v>71.82879561327222</v>
      </c>
      <c r="BB366" s="101">
        <f>$AB$1*(25+Module!$I$6)</f>
        <v>151.5</v>
      </c>
      <c r="BC366" s="101">
        <f>(BA366*($AB$1+1)*0.002488974)/($AB$1+1)*Module!$I$5*Module!$I$7</f>
        <v>55.150770979977231</v>
      </c>
      <c r="BD366" s="101">
        <f>$P$120*Module!$I$7*X366*Module!$I$5</f>
        <v>137.74285472097998</v>
      </c>
      <c r="BE366" s="151">
        <f t="shared" si="100"/>
        <v>1000000</v>
      </c>
      <c r="BG366" s="101">
        <f t="shared" si="97"/>
        <v>0</v>
      </c>
      <c r="BH366" s="101">
        <f>10+Module!$K$57/($AC$1+1)</f>
        <v>59.463036490617775</v>
      </c>
      <c r="BI366" s="101">
        <f>$AC$1*(25+Module!$I$6)</f>
        <v>202</v>
      </c>
      <c r="BJ366" s="101">
        <f>(BH366*($AC$1+1)*0.002488974)/($AC$1+1)*Module!$I$5*Module!$I$7</f>
        <v>45.656234094813776</v>
      </c>
      <c r="BK366" s="101">
        <f>$P$120*Module!$I$7*X366*Module!$I$5</f>
        <v>137.74285472097998</v>
      </c>
      <c r="BL366" s="151">
        <f t="shared" si="101"/>
        <v>1000000</v>
      </c>
    </row>
    <row r="367" spans="23:64" ht="15.75" hidden="1" thickBot="1">
      <c r="W367" s="777"/>
      <c r="X367" s="121">
        <f t="shared" si="102"/>
        <v>62</v>
      </c>
      <c r="Y367" s="122">
        <f>'calcul pneu pour calculateur'!P368</f>
        <v>190.74826694039595</v>
      </c>
      <c r="Z367" s="123">
        <f t="shared" si="104"/>
        <v>381.4965338807919</v>
      </c>
      <c r="AA367" s="123">
        <f t="shared" si="105"/>
        <v>572.24480082118782</v>
      </c>
      <c r="AB367" s="123">
        <f t="shared" si="106"/>
        <v>762.9930677615838</v>
      </c>
      <c r="AC367" s="123">
        <f t="shared" si="107"/>
        <v>953.74133470197978</v>
      </c>
      <c r="AK367" s="121">
        <f t="shared" si="103"/>
        <v>62</v>
      </c>
      <c r="AL367" s="101">
        <f t="shared" si="94"/>
        <v>0</v>
      </c>
      <c r="AM367" s="101">
        <f>10+Module!$K$57/($Z$1+1)</f>
        <v>133.65759122654444</v>
      </c>
      <c r="AN367" s="101">
        <f>$Z$1*(25+Module!$I$6)</f>
        <v>50.5</v>
      </c>
      <c r="AO367" s="101">
        <f>(AM367*($Z$1+1)*0.002488974)/($Z$1+1)*Module!$I$5*Module!$I$7</f>
        <v>102.62345540579445</v>
      </c>
      <c r="AP367" s="101">
        <f>$P$120*Module!$I$7*X367*Module!$I$5</f>
        <v>140.0009343065698</v>
      </c>
      <c r="AQ367" s="151">
        <f t="shared" si="98"/>
        <v>1000000</v>
      </c>
      <c r="AS367" s="101">
        <f t="shared" si="95"/>
        <v>0</v>
      </c>
      <c r="AT367" s="101">
        <f>10+Module!$K$57/($AA$1+1)</f>
        <v>92.438394151029627</v>
      </c>
      <c r="AU367" s="101">
        <f>$AA$1*(25+Module!$I$6)</f>
        <v>101</v>
      </c>
      <c r="AV367" s="101">
        <f>(AT367*($Z$1+1)*0.002488974)/($Z$1+1)*Module!$I$5*Module!$I$7</f>
        <v>70.974999121916298</v>
      </c>
      <c r="AW367" s="101">
        <f>$P$120*Module!$I$7*X367*Module!$I$5</f>
        <v>140.0009343065698</v>
      </c>
      <c r="AX367" s="151">
        <f t="shared" si="99"/>
        <v>1000000</v>
      </c>
      <c r="AZ367" s="101">
        <f t="shared" si="96"/>
        <v>0</v>
      </c>
      <c r="BA367" s="101">
        <f>10+Module!$K$57/($AB$1+1)</f>
        <v>71.82879561327222</v>
      </c>
      <c r="BB367" s="101">
        <f>$AB$1*(25+Module!$I$6)</f>
        <v>151.5</v>
      </c>
      <c r="BC367" s="101">
        <f>(BA367*($AB$1+1)*0.002488974)/($AB$1+1)*Module!$I$5*Module!$I$7</f>
        <v>55.150770979977231</v>
      </c>
      <c r="BD367" s="101">
        <f>$P$120*Module!$I$7*X367*Module!$I$5</f>
        <v>140.0009343065698</v>
      </c>
      <c r="BE367" s="151">
        <f t="shared" si="100"/>
        <v>1000000</v>
      </c>
      <c r="BG367" s="101">
        <f t="shared" si="97"/>
        <v>0</v>
      </c>
      <c r="BH367" s="101">
        <f>10+Module!$K$57/($AC$1+1)</f>
        <v>59.463036490617775</v>
      </c>
      <c r="BI367" s="101">
        <f>$AC$1*(25+Module!$I$6)</f>
        <v>202</v>
      </c>
      <c r="BJ367" s="101">
        <f>(BH367*($AC$1+1)*0.002488974)/($AC$1+1)*Module!$I$5*Module!$I$7</f>
        <v>45.656234094813776</v>
      </c>
      <c r="BK367" s="101">
        <f>$P$120*Module!$I$7*X367*Module!$I$5</f>
        <v>140.0009343065698</v>
      </c>
      <c r="BL367" s="151">
        <f t="shared" si="101"/>
        <v>1000000</v>
      </c>
    </row>
    <row r="368" spans="23:64" ht="15.75" hidden="1" thickBot="1">
      <c r="W368" s="777"/>
      <c r="X368" s="121">
        <f t="shared" si="102"/>
        <v>63</v>
      </c>
      <c r="Y368" s="122">
        <f>'calcul pneu pour calculateur'!P369</f>
        <v>190.09062114602213</v>
      </c>
      <c r="Z368" s="123">
        <f t="shared" si="104"/>
        <v>380.18124229204426</v>
      </c>
      <c r="AA368" s="123">
        <f t="shared" si="105"/>
        <v>570.27186343806636</v>
      </c>
      <c r="AB368" s="123">
        <f t="shared" si="106"/>
        <v>760.36248458408852</v>
      </c>
      <c r="AC368" s="123">
        <f t="shared" si="107"/>
        <v>950.45310573011068</v>
      </c>
      <c r="AK368" s="121">
        <f t="shared" si="103"/>
        <v>63</v>
      </c>
      <c r="AL368" s="101">
        <f t="shared" si="94"/>
        <v>0</v>
      </c>
      <c r="AM368" s="101">
        <f>10+Module!$K$57/($Z$1+1)</f>
        <v>133.65759122654444</v>
      </c>
      <c r="AN368" s="101">
        <f>$Z$1*(25+Module!$I$6)</f>
        <v>50.5</v>
      </c>
      <c r="AO368" s="101">
        <f>(AM368*($Z$1+1)*0.002488974)/($Z$1+1)*Module!$I$5*Module!$I$7</f>
        <v>102.62345540579445</v>
      </c>
      <c r="AP368" s="101">
        <f>$P$120*Module!$I$7*X368*Module!$I$5</f>
        <v>142.25901389215963</v>
      </c>
      <c r="AQ368" s="151">
        <f t="shared" si="98"/>
        <v>1000000</v>
      </c>
      <c r="AS368" s="101">
        <f t="shared" si="95"/>
        <v>0</v>
      </c>
      <c r="AT368" s="101">
        <f>10+Module!$K$57/($AA$1+1)</f>
        <v>92.438394151029627</v>
      </c>
      <c r="AU368" s="101">
        <f>$AA$1*(25+Module!$I$6)</f>
        <v>101</v>
      </c>
      <c r="AV368" s="101">
        <f>(AT368*($Z$1+1)*0.002488974)/($Z$1+1)*Module!$I$5*Module!$I$7</f>
        <v>70.974999121916298</v>
      </c>
      <c r="AW368" s="101">
        <f>$P$120*Module!$I$7*X368*Module!$I$5</f>
        <v>142.25901389215963</v>
      </c>
      <c r="AX368" s="151">
        <f t="shared" si="99"/>
        <v>1000000</v>
      </c>
      <c r="AZ368" s="101">
        <f t="shared" si="96"/>
        <v>0</v>
      </c>
      <c r="BA368" s="101">
        <f>10+Module!$K$57/($AB$1+1)</f>
        <v>71.82879561327222</v>
      </c>
      <c r="BB368" s="101">
        <f>$AB$1*(25+Module!$I$6)</f>
        <v>151.5</v>
      </c>
      <c r="BC368" s="101">
        <f>(BA368*($AB$1+1)*0.002488974)/($AB$1+1)*Module!$I$5*Module!$I$7</f>
        <v>55.150770979977231</v>
      </c>
      <c r="BD368" s="101">
        <f>$P$120*Module!$I$7*X368*Module!$I$5</f>
        <v>142.25901389215963</v>
      </c>
      <c r="BE368" s="151">
        <f t="shared" si="100"/>
        <v>1000000</v>
      </c>
      <c r="BG368" s="101">
        <f t="shared" si="97"/>
        <v>0</v>
      </c>
      <c r="BH368" s="101">
        <f>10+Module!$K$57/($AC$1+1)</f>
        <v>59.463036490617775</v>
      </c>
      <c r="BI368" s="101">
        <f>$AC$1*(25+Module!$I$6)</f>
        <v>202</v>
      </c>
      <c r="BJ368" s="101">
        <f>(BH368*($AC$1+1)*0.002488974)/($AC$1+1)*Module!$I$5*Module!$I$7</f>
        <v>45.656234094813776</v>
      </c>
      <c r="BK368" s="101">
        <f>$P$120*Module!$I$7*X368*Module!$I$5</f>
        <v>142.25901389215963</v>
      </c>
      <c r="BL368" s="151">
        <f t="shared" si="101"/>
        <v>1000000</v>
      </c>
    </row>
    <row r="369" spans="23:64" ht="15.75" hidden="1" thickBot="1">
      <c r="W369" s="777"/>
      <c r="X369" s="121">
        <f t="shared" si="102"/>
        <v>64</v>
      </c>
      <c r="Y369" s="122">
        <f>'calcul pneu pour calculateur'!P370</f>
        <v>189.43297535164828</v>
      </c>
      <c r="Z369" s="123">
        <f t="shared" si="104"/>
        <v>378.86595070329656</v>
      </c>
      <c r="AA369" s="123">
        <f t="shared" si="105"/>
        <v>568.29892605494479</v>
      </c>
      <c r="AB369" s="123">
        <f t="shared" si="106"/>
        <v>757.73190140659312</v>
      </c>
      <c r="AC369" s="123">
        <f t="shared" si="107"/>
        <v>947.16487675824146</v>
      </c>
      <c r="AK369" s="121">
        <f t="shared" si="103"/>
        <v>64</v>
      </c>
      <c r="AL369" s="101">
        <f t="shared" si="94"/>
        <v>0</v>
      </c>
      <c r="AM369" s="101">
        <f>10+Module!$K$57/($Z$1+1)</f>
        <v>133.65759122654444</v>
      </c>
      <c r="AN369" s="101">
        <f>$Z$1*(25+Module!$I$6)</f>
        <v>50.5</v>
      </c>
      <c r="AO369" s="101">
        <f>(AM369*($Z$1+1)*0.002488974)/($Z$1+1)*Module!$I$5*Module!$I$7</f>
        <v>102.62345540579445</v>
      </c>
      <c r="AP369" s="101">
        <f>$P$120*Module!$I$7*X369*Module!$I$5</f>
        <v>144.51709347774946</v>
      </c>
      <c r="AQ369" s="151">
        <f t="shared" si="98"/>
        <v>1000000</v>
      </c>
      <c r="AS369" s="101">
        <f t="shared" si="95"/>
        <v>0</v>
      </c>
      <c r="AT369" s="101">
        <f>10+Module!$K$57/($AA$1+1)</f>
        <v>92.438394151029627</v>
      </c>
      <c r="AU369" s="101">
        <f>$AA$1*(25+Module!$I$6)</f>
        <v>101</v>
      </c>
      <c r="AV369" s="101">
        <f>(AT369*($Z$1+1)*0.002488974)/($Z$1+1)*Module!$I$5*Module!$I$7</f>
        <v>70.974999121916298</v>
      </c>
      <c r="AW369" s="101">
        <f>$P$120*Module!$I$7*X369*Module!$I$5</f>
        <v>144.51709347774946</v>
      </c>
      <c r="AX369" s="151">
        <f t="shared" si="99"/>
        <v>1000000</v>
      </c>
      <c r="AZ369" s="101">
        <f t="shared" si="96"/>
        <v>0</v>
      </c>
      <c r="BA369" s="101">
        <f>10+Module!$K$57/($AB$1+1)</f>
        <v>71.82879561327222</v>
      </c>
      <c r="BB369" s="101">
        <f>$AB$1*(25+Module!$I$6)</f>
        <v>151.5</v>
      </c>
      <c r="BC369" s="101">
        <f>(BA369*($AB$1+1)*0.002488974)/($AB$1+1)*Module!$I$5*Module!$I$7</f>
        <v>55.150770979977231</v>
      </c>
      <c r="BD369" s="101">
        <f>$P$120*Module!$I$7*X369*Module!$I$5</f>
        <v>144.51709347774946</v>
      </c>
      <c r="BE369" s="151">
        <f t="shared" si="100"/>
        <v>1000000</v>
      </c>
      <c r="BG369" s="101">
        <f t="shared" si="97"/>
        <v>0</v>
      </c>
      <c r="BH369" s="101">
        <f>10+Module!$K$57/($AC$1+1)</f>
        <v>59.463036490617775</v>
      </c>
      <c r="BI369" s="101">
        <f>$AC$1*(25+Module!$I$6)</f>
        <v>202</v>
      </c>
      <c r="BJ369" s="101">
        <f>(BH369*($AC$1+1)*0.002488974)/($AC$1+1)*Module!$I$5*Module!$I$7</f>
        <v>45.656234094813776</v>
      </c>
      <c r="BK369" s="101">
        <f>$P$120*Module!$I$7*X369*Module!$I$5</f>
        <v>144.51709347774946</v>
      </c>
      <c r="BL369" s="151">
        <f t="shared" si="101"/>
        <v>1000000</v>
      </c>
    </row>
    <row r="370" spans="23:64" ht="15.75" hidden="1" thickBot="1">
      <c r="W370" s="777"/>
      <c r="X370" s="121">
        <f t="shared" si="102"/>
        <v>65</v>
      </c>
      <c r="Y370" s="122">
        <f>'calcul pneu pour calculateur'!P371</f>
        <v>188.77532955727446</v>
      </c>
      <c r="Z370" s="123">
        <f t="shared" si="104"/>
        <v>377.55065911454892</v>
      </c>
      <c r="AA370" s="123">
        <f t="shared" si="105"/>
        <v>566.32598867182332</v>
      </c>
      <c r="AB370" s="123">
        <f t="shared" si="106"/>
        <v>755.10131822909784</v>
      </c>
      <c r="AC370" s="123">
        <f t="shared" si="107"/>
        <v>943.87664778637236</v>
      </c>
      <c r="AK370" s="121">
        <f t="shared" si="103"/>
        <v>65</v>
      </c>
      <c r="AL370" s="101">
        <f t="shared" ref="AL370:AL404" si="108">$H$64</f>
        <v>0</v>
      </c>
      <c r="AM370" s="101">
        <f>10+Module!$K$57/($Z$1+1)</f>
        <v>133.65759122654444</v>
      </c>
      <c r="AN370" s="101">
        <f>$Z$1*(25+Module!$I$6)</f>
        <v>50.5</v>
      </c>
      <c r="AO370" s="101">
        <f>(AM370*($Z$1+1)*0.002488974)/($Z$1+1)*Module!$I$5*Module!$I$7</f>
        <v>102.62345540579445</v>
      </c>
      <c r="AP370" s="101">
        <f>$P$120*Module!$I$7*X370*Module!$I$5</f>
        <v>146.77517306333931</v>
      </c>
      <c r="AQ370" s="151">
        <f t="shared" si="98"/>
        <v>1000000</v>
      </c>
      <c r="AS370" s="101">
        <f t="shared" ref="AS370:AS405" si="109">$H$64</f>
        <v>0</v>
      </c>
      <c r="AT370" s="101">
        <f>10+Module!$K$57/($AA$1+1)</f>
        <v>92.438394151029627</v>
      </c>
      <c r="AU370" s="101">
        <f>$AA$1*(25+Module!$I$6)</f>
        <v>101</v>
      </c>
      <c r="AV370" s="101">
        <f>(AT370*($Z$1+1)*0.002488974)/($Z$1+1)*Module!$I$5*Module!$I$7</f>
        <v>70.974999121916298</v>
      </c>
      <c r="AW370" s="101">
        <f>$P$120*Module!$I$7*X370*Module!$I$5</f>
        <v>146.77517306333931</v>
      </c>
      <c r="AX370" s="151">
        <f t="shared" si="99"/>
        <v>1000000</v>
      </c>
      <c r="AZ370" s="101">
        <f t="shared" ref="AZ370:AZ405" si="110">$H$64</f>
        <v>0</v>
      </c>
      <c r="BA370" s="101">
        <f>10+Module!$K$57/($AB$1+1)</f>
        <v>71.82879561327222</v>
      </c>
      <c r="BB370" s="101">
        <f>$AB$1*(25+Module!$I$6)</f>
        <v>151.5</v>
      </c>
      <c r="BC370" s="101">
        <f>(BA370*($AB$1+1)*0.002488974)/($AB$1+1)*Module!$I$5*Module!$I$7</f>
        <v>55.150770979977231</v>
      </c>
      <c r="BD370" s="101">
        <f>$P$120*Module!$I$7*X370*Module!$I$5</f>
        <v>146.77517306333931</v>
      </c>
      <c r="BE370" s="151">
        <f t="shared" si="100"/>
        <v>1000000</v>
      </c>
      <c r="BG370" s="101">
        <f t="shared" ref="BG370:BG404" si="111">$H$64</f>
        <v>0</v>
      </c>
      <c r="BH370" s="101">
        <f>10+Module!$K$57/($AC$1+1)</f>
        <v>59.463036490617775</v>
      </c>
      <c r="BI370" s="101">
        <f>$AC$1*(25+Module!$I$6)</f>
        <v>202</v>
      </c>
      <c r="BJ370" s="101">
        <f>(BH370*($AC$1+1)*0.002488974)/($AC$1+1)*Module!$I$5*Module!$I$7</f>
        <v>45.656234094813776</v>
      </c>
      <c r="BK370" s="101">
        <f>$P$120*Module!$I$7*X370*Module!$I$5</f>
        <v>146.77517306333931</v>
      </c>
      <c r="BL370" s="151">
        <f t="shared" si="101"/>
        <v>1000000</v>
      </c>
    </row>
    <row r="371" spans="23:64" ht="15.75" hidden="1" thickBot="1">
      <c r="W371" s="777"/>
      <c r="X371" s="121">
        <f t="shared" si="102"/>
        <v>66</v>
      </c>
      <c r="Y371" s="122">
        <f>'calcul pneu pour calculateur'!P372</f>
        <v>188.11768376290061</v>
      </c>
      <c r="Z371" s="123">
        <f t="shared" si="104"/>
        <v>376.23536752580122</v>
      </c>
      <c r="AA371" s="123">
        <f t="shared" si="105"/>
        <v>564.35305128870186</v>
      </c>
      <c r="AB371" s="123">
        <f t="shared" si="106"/>
        <v>752.47073505160245</v>
      </c>
      <c r="AC371" s="123">
        <f t="shared" si="107"/>
        <v>940.58841881450303</v>
      </c>
      <c r="AK371" s="121">
        <f t="shared" si="103"/>
        <v>66</v>
      </c>
      <c r="AL371" s="101">
        <f t="shared" si="108"/>
        <v>0</v>
      </c>
      <c r="AM371" s="101">
        <f>10+Module!$K$57/($Z$1+1)</f>
        <v>133.65759122654444</v>
      </c>
      <c r="AN371" s="101">
        <f>$Z$1*(25+Module!$I$6)</f>
        <v>50.5</v>
      </c>
      <c r="AO371" s="101">
        <f>(AM371*($Z$1+1)*0.002488974)/($Z$1+1)*Module!$I$5*Module!$I$7</f>
        <v>102.62345540579445</v>
      </c>
      <c r="AP371" s="101">
        <f>$P$120*Module!$I$7*X371*Module!$I$5</f>
        <v>149.03325264892914</v>
      </c>
      <c r="AQ371" s="151">
        <f t="shared" si="98"/>
        <v>1000000</v>
      </c>
      <c r="AS371" s="101">
        <f t="shared" si="109"/>
        <v>0</v>
      </c>
      <c r="AT371" s="101">
        <f>10+Module!$K$57/($AA$1+1)</f>
        <v>92.438394151029627</v>
      </c>
      <c r="AU371" s="101">
        <f>$AA$1*(25+Module!$I$6)</f>
        <v>101</v>
      </c>
      <c r="AV371" s="101">
        <f>(AT371*($Z$1+1)*0.002488974)/($Z$1+1)*Module!$I$5*Module!$I$7</f>
        <v>70.974999121916298</v>
      </c>
      <c r="AW371" s="101">
        <f>$P$120*Module!$I$7*X371*Module!$I$5</f>
        <v>149.03325264892914</v>
      </c>
      <c r="AX371" s="151">
        <f t="shared" si="99"/>
        <v>1000000</v>
      </c>
      <c r="AZ371" s="101">
        <f t="shared" si="110"/>
        <v>0</v>
      </c>
      <c r="BA371" s="101">
        <f>10+Module!$K$57/($AB$1+1)</f>
        <v>71.82879561327222</v>
      </c>
      <c r="BB371" s="101">
        <f>$AB$1*(25+Module!$I$6)</f>
        <v>151.5</v>
      </c>
      <c r="BC371" s="101">
        <f>(BA371*($AB$1+1)*0.002488974)/($AB$1+1)*Module!$I$5*Module!$I$7</f>
        <v>55.150770979977231</v>
      </c>
      <c r="BD371" s="101">
        <f>$P$120*Module!$I$7*X371*Module!$I$5</f>
        <v>149.03325264892914</v>
      </c>
      <c r="BE371" s="151">
        <f t="shared" si="100"/>
        <v>1000000</v>
      </c>
      <c r="BG371" s="101">
        <f t="shared" si="111"/>
        <v>0</v>
      </c>
      <c r="BH371" s="101">
        <f>10+Module!$K$57/($AC$1+1)</f>
        <v>59.463036490617775</v>
      </c>
      <c r="BI371" s="101">
        <f>$AC$1*(25+Module!$I$6)</f>
        <v>202</v>
      </c>
      <c r="BJ371" s="101">
        <f>(BH371*($AC$1+1)*0.002488974)/($AC$1+1)*Module!$I$5*Module!$I$7</f>
        <v>45.656234094813776</v>
      </c>
      <c r="BK371" s="101">
        <f>$P$120*Module!$I$7*X371*Module!$I$5</f>
        <v>149.03325264892914</v>
      </c>
      <c r="BL371" s="151">
        <f t="shared" si="101"/>
        <v>1000000</v>
      </c>
    </row>
    <row r="372" spans="23:64" ht="15.75" hidden="1" thickBot="1">
      <c r="W372" s="777"/>
      <c r="X372" s="121">
        <f t="shared" si="102"/>
        <v>67</v>
      </c>
      <c r="Y372" s="122">
        <f>'calcul pneu pour calculateur'!P373</f>
        <v>187.46003796852676</v>
      </c>
      <c r="Z372" s="123">
        <f t="shared" si="104"/>
        <v>374.92007593705353</v>
      </c>
      <c r="AA372" s="123">
        <f t="shared" si="105"/>
        <v>562.38011390558029</v>
      </c>
      <c r="AB372" s="123">
        <f t="shared" si="106"/>
        <v>749.84015187410705</v>
      </c>
      <c r="AC372" s="123">
        <f t="shared" si="107"/>
        <v>937.30018984263381</v>
      </c>
      <c r="AK372" s="121">
        <f t="shared" si="103"/>
        <v>67</v>
      </c>
      <c r="AL372" s="101">
        <f t="shared" si="108"/>
        <v>0</v>
      </c>
      <c r="AM372" s="101">
        <f>10+Module!$K$57/($Z$1+1)</f>
        <v>133.65759122654444</v>
      </c>
      <c r="AN372" s="101">
        <f>$Z$1*(25+Module!$I$6)</f>
        <v>50.5</v>
      </c>
      <c r="AO372" s="101">
        <f>(AM372*($Z$1+1)*0.002488974)/($Z$1+1)*Module!$I$5*Module!$I$7</f>
        <v>102.62345540579445</v>
      </c>
      <c r="AP372" s="101">
        <f>$P$120*Module!$I$7*X372*Module!$I$5</f>
        <v>151.29133223451896</v>
      </c>
      <c r="AQ372" s="151">
        <f t="shared" si="98"/>
        <v>1000000</v>
      </c>
      <c r="AS372" s="101">
        <f t="shared" si="109"/>
        <v>0</v>
      </c>
      <c r="AT372" s="101">
        <f>10+Module!$K$57/($AA$1+1)</f>
        <v>92.438394151029627</v>
      </c>
      <c r="AU372" s="101">
        <f>$AA$1*(25+Module!$I$6)</f>
        <v>101</v>
      </c>
      <c r="AV372" s="101">
        <f>(AT372*($Z$1+1)*0.002488974)/($Z$1+1)*Module!$I$5*Module!$I$7</f>
        <v>70.974999121916298</v>
      </c>
      <c r="AW372" s="101">
        <f>$P$120*Module!$I$7*X372*Module!$I$5</f>
        <v>151.29133223451896</v>
      </c>
      <c r="AX372" s="151">
        <f t="shared" si="99"/>
        <v>1000000</v>
      </c>
      <c r="AZ372" s="101">
        <f t="shared" si="110"/>
        <v>0</v>
      </c>
      <c r="BA372" s="101">
        <f>10+Module!$K$57/($AB$1+1)</f>
        <v>71.82879561327222</v>
      </c>
      <c r="BB372" s="101">
        <f>$AB$1*(25+Module!$I$6)</f>
        <v>151.5</v>
      </c>
      <c r="BC372" s="101">
        <f>(BA372*($AB$1+1)*0.002488974)/($AB$1+1)*Module!$I$5*Module!$I$7</f>
        <v>55.150770979977231</v>
      </c>
      <c r="BD372" s="101">
        <f>$P$120*Module!$I$7*X372*Module!$I$5</f>
        <v>151.29133223451896</v>
      </c>
      <c r="BE372" s="151">
        <f t="shared" si="100"/>
        <v>1000000</v>
      </c>
      <c r="BG372" s="101">
        <f t="shared" si="111"/>
        <v>0</v>
      </c>
      <c r="BH372" s="101">
        <f>10+Module!$K$57/($AC$1+1)</f>
        <v>59.463036490617775</v>
      </c>
      <c r="BI372" s="101">
        <f>$AC$1*(25+Module!$I$6)</f>
        <v>202</v>
      </c>
      <c r="BJ372" s="101">
        <f>(BH372*($AC$1+1)*0.002488974)/($AC$1+1)*Module!$I$5*Module!$I$7</f>
        <v>45.656234094813776</v>
      </c>
      <c r="BK372" s="101">
        <f>$P$120*Module!$I$7*X372*Module!$I$5</f>
        <v>151.29133223451896</v>
      </c>
      <c r="BL372" s="151">
        <f t="shared" si="101"/>
        <v>1000000</v>
      </c>
    </row>
    <row r="373" spans="23:64" ht="15.75" hidden="1" thickBot="1">
      <c r="W373" s="777"/>
      <c r="X373" s="121">
        <f t="shared" si="102"/>
        <v>68</v>
      </c>
      <c r="Y373" s="122">
        <f>'calcul pneu pour calculateur'!P374</f>
        <v>186.80239217415294</v>
      </c>
      <c r="Z373" s="123">
        <f t="shared" si="104"/>
        <v>373.60478434830588</v>
      </c>
      <c r="AA373" s="123">
        <f t="shared" si="105"/>
        <v>560.40717652245883</v>
      </c>
      <c r="AB373" s="123">
        <f t="shared" si="106"/>
        <v>747.20956869661177</v>
      </c>
      <c r="AC373" s="123">
        <f t="shared" si="107"/>
        <v>934.01196087076471</v>
      </c>
      <c r="AK373" s="121">
        <f t="shared" si="103"/>
        <v>68</v>
      </c>
      <c r="AL373" s="101">
        <f t="shared" si="108"/>
        <v>0</v>
      </c>
      <c r="AM373" s="101">
        <f>10+Module!$K$57/($Z$1+1)</f>
        <v>133.65759122654444</v>
      </c>
      <c r="AN373" s="101">
        <f>$Z$1*(25+Module!$I$6)</f>
        <v>50.5</v>
      </c>
      <c r="AO373" s="101">
        <f>(AM373*($Z$1+1)*0.002488974)/($Z$1+1)*Module!$I$5*Module!$I$7</f>
        <v>102.62345540579445</v>
      </c>
      <c r="AP373" s="101">
        <f>$P$120*Module!$I$7*X373*Module!$I$5</f>
        <v>153.54941182010882</v>
      </c>
      <c r="AQ373" s="151">
        <f t="shared" si="98"/>
        <v>1000000</v>
      </c>
      <c r="AS373" s="101">
        <f t="shared" si="109"/>
        <v>0</v>
      </c>
      <c r="AT373" s="101">
        <f>10+Module!$K$57/($AA$1+1)</f>
        <v>92.438394151029627</v>
      </c>
      <c r="AU373" s="101">
        <f>$AA$1*(25+Module!$I$6)</f>
        <v>101</v>
      </c>
      <c r="AV373" s="101">
        <f>(AT373*($Z$1+1)*0.002488974)/($Z$1+1)*Module!$I$5*Module!$I$7</f>
        <v>70.974999121916298</v>
      </c>
      <c r="AW373" s="101">
        <f>$P$120*Module!$I$7*X373*Module!$I$5</f>
        <v>153.54941182010882</v>
      </c>
      <c r="AX373" s="151">
        <f t="shared" si="99"/>
        <v>1000000</v>
      </c>
      <c r="AZ373" s="101">
        <f t="shared" si="110"/>
        <v>0</v>
      </c>
      <c r="BA373" s="101">
        <f>10+Module!$K$57/($AB$1+1)</f>
        <v>71.82879561327222</v>
      </c>
      <c r="BB373" s="101">
        <f>$AB$1*(25+Module!$I$6)</f>
        <v>151.5</v>
      </c>
      <c r="BC373" s="101">
        <f>(BA373*($AB$1+1)*0.002488974)/($AB$1+1)*Module!$I$5*Module!$I$7</f>
        <v>55.150770979977231</v>
      </c>
      <c r="BD373" s="101">
        <f>$P$120*Module!$I$7*X373*Module!$I$5</f>
        <v>153.54941182010882</v>
      </c>
      <c r="BE373" s="151">
        <f t="shared" si="100"/>
        <v>1000000</v>
      </c>
      <c r="BG373" s="101">
        <f t="shared" si="111"/>
        <v>0</v>
      </c>
      <c r="BH373" s="101">
        <f>10+Module!$K$57/($AC$1+1)</f>
        <v>59.463036490617775</v>
      </c>
      <c r="BI373" s="101">
        <f>$AC$1*(25+Module!$I$6)</f>
        <v>202</v>
      </c>
      <c r="BJ373" s="101">
        <f>(BH373*($AC$1+1)*0.002488974)/($AC$1+1)*Module!$I$5*Module!$I$7</f>
        <v>45.656234094813776</v>
      </c>
      <c r="BK373" s="101">
        <f>$P$120*Module!$I$7*X373*Module!$I$5</f>
        <v>153.54941182010882</v>
      </c>
      <c r="BL373" s="151">
        <f t="shared" si="101"/>
        <v>1000000</v>
      </c>
    </row>
    <row r="374" spans="23:64" ht="15.75" hidden="1" thickBot="1">
      <c r="W374" s="777"/>
      <c r="X374" s="121">
        <f t="shared" si="102"/>
        <v>69</v>
      </c>
      <c r="Y374" s="122">
        <f>'calcul pneu pour calculateur'!P375</f>
        <v>186.14474637977912</v>
      </c>
      <c r="Z374" s="123">
        <f t="shared" si="104"/>
        <v>372.28949275955824</v>
      </c>
      <c r="AA374" s="123">
        <f t="shared" si="105"/>
        <v>558.43423913933736</v>
      </c>
      <c r="AB374" s="123">
        <f t="shared" si="106"/>
        <v>744.57898551911649</v>
      </c>
      <c r="AC374" s="123">
        <f t="shared" si="107"/>
        <v>930.72373189889561</v>
      </c>
      <c r="AK374" s="121">
        <f t="shared" si="103"/>
        <v>69</v>
      </c>
      <c r="AL374" s="101">
        <f t="shared" si="108"/>
        <v>0</v>
      </c>
      <c r="AM374" s="101">
        <f>10+Module!$K$57/($Z$1+1)</f>
        <v>133.65759122654444</v>
      </c>
      <c r="AN374" s="101">
        <f>$Z$1*(25+Module!$I$6)</f>
        <v>50.5</v>
      </c>
      <c r="AO374" s="101">
        <f>(AM374*($Z$1+1)*0.002488974)/($Z$1+1)*Module!$I$5*Module!$I$7</f>
        <v>102.62345540579445</v>
      </c>
      <c r="AP374" s="101">
        <f>$P$120*Module!$I$7*X374*Module!$I$5</f>
        <v>155.80749140569864</v>
      </c>
      <c r="AQ374" s="151">
        <f t="shared" si="98"/>
        <v>1000000</v>
      </c>
      <c r="AS374" s="101">
        <f t="shared" si="109"/>
        <v>0</v>
      </c>
      <c r="AT374" s="101">
        <f>10+Module!$K$57/($AA$1+1)</f>
        <v>92.438394151029627</v>
      </c>
      <c r="AU374" s="101">
        <f>$AA$1*(25+Module!$I$6)</f>
        <v>101</v>
      </c>
      <c r="AV374" s="101">
        <f>(AT374*($Z$1+1)*0.002488974)/($Z$1+1)*Module!$I$5*Module!$I$7</f>
        <v>70.974999121916298</v>
      </c>
      <c r="AW374" s="101">
        <f>$P$120*Module!$I$7*X374*Module!$I$5</f>
        <v>155.80749140569864</v>
      </c>
      <c r="AX374" s="151">
        <f t="shared" si="99"/>
        <v>1000000</v>
      </c>
      <c r="AZ374" s="101">
        <f t="shared" si="110"/>
        <v>0</v>
      </c>
      <c r="BA374" s="101">
        <f>10+Module!$K$57/($AB$1+1)</f>
        <v>71.82879561327222</v>
      </c>
      <c r="BB374" s="101">
        <f>$AB$1*(25+Module!$I$6)</f>
        <v>151.5</v>
      </c>
      <c r="BC374" s="101">
        <f>(BA374*($AB$1+1)*0.002488974)/($AB$1+1)*Module!$I$5*Module!$I$7</f>
        <v>55.150770979977231</v>
      </c>
      <c r="BD374" s="101">
        <f>$P$120*Module!$I$7*X374*Module!$I$5</f>
        <v>155.80749140569864</v>
      </c>
      <c r="BE374" s="151">
        <f t="shared" si="100"/>
        <v>1000000</v>
      </c>
      <c r="BG374" s="101">
        <f t="shared" si="111"/>
        <v>0</v>
      </c>
      <c r="BH374" s="101">
        <f>10+Module!$K$57/($AC$1+1)</f>
        <v>59.463036490617775</v>
      </c>
      <c r="BI374" s="101">
        <f>$AC$1*(25+Module!$I$6)</f>
        <v>202</v>
      </c>
      <c r="BJ374" s="101">
        <f>(BH374*($AC$1+1)*0.002488974)/($AC$1+1)*Module!$I$5*Module!$I$7</f>
        <v>45.656234094813776</v>
      </c>
      <c r="BK374" s="101">
        <f>$P$120*Module!$I$7*X374*Module!$I$5</f>
        <v>155.80749140569864</v>
      </c>
      <c r="BL374" s="151">
        <f t="shared" si="101"/>
        <v>1000000</v>
      </c>
    </row>
    <row r="375" spans="23:64" ht="15.75" hidden="1" thickBot="1">
      <c r="W375" s="777"/>
      <c r="X375" s="121">
        <f t="shared" si="102"/>
        <v>70</v>
      </c>
      <c r="Y375" s="122">
        <f>'calcul pneu pour calculateur'!P376</f>
        <v>185.4871005854053</v>
      </c>
      <c r="Z375" s="123">
        <f t="shared" si="104"/>
        <v>370.9742011708106</v>
      </c>
      <c r="AA375" s="123">
        <f t="shared" si="105"/>
        <v>556.4613017562159</v>
      </c>
      <c r="AB375" s="123">
        <f t="shared" si="106"/>
        <v>741.9484023416212</v>
      </c>
      <c r="AC375" s="123">
        <f t="shared" si="107"/>
        <v>927.4355029270265</v>
      </c>
      <c r="AK375" s="121">
        <f t="shared" si="103"/>
        <v>70</v>
      </c>
      <c r="AL375" s="101">
        <f t="shared" si="108"/>
        <v>0</v>
      </c>
      <c r="AM375" s="101">
        <f>10+Module!$K$57/($Z$1+1)</f>
        <v>133.65759122654444</v>
      </c>
      <c r="AN375" s="101">
        <f>$Z$1*(25+Module!$I$6)</f>
        <v>50.5</v>
      </c>
      <c r="AO375" s="101">
        <f>(AM375*($Z$1+1)*0.002488974)/($Z$1+1)*Module!$I$5*Module!$I$7</f>
        <v>102.62345540579445</v>
      </c>
      <c r="AP375" s="101">
        <f>$P$120*Module!$I$7*X375*Module!$I$5</f>
        <v>158.06557099128847</v>
      </c>
      <c r="AQ375" s="151">
        <f t="shared" si="98"/>
        <v>1000000</v>
      </c>
      <c r="AS375" s="101">
        <f t="shared" si="109"/>
        <v>0</v>
      </c>
      <c r="AT375" s="101">
        <f>10+Module!$K$57/($AA$1+1)</f>
        <v>92.438394151029627</v>
      </c>
      <c r="AU375" s="101">
        <f>$AA$1*(25+Module!$I$6)</f>
        <v>101</v>
      </c>
      <c r="AV375" s="101">
        <f>(AT375*($Z$1+1)*0.002488974)/($Z$1+1)*Module!$I$5*Module!$I$7</f>
        <v>70.974999121916298</v>
      </c>
      <c r="AW375" s="101">
        <f>$P$120*Module!$I$7*X375*Module!$I$5</f>
        <v>158.06557099128847</v>
      </c>
      <c r="AX375" s="151">
        <f t="shared" si="99"/>
        <v>1000000</v>
      </c>
      <c r="AZ375" s="101">
        <f t="shared" si="110"/>
        <v>0</v>
      </c>
      <c r="BA375" s="101">
        <f>10+Module!$K$57/($AB$1+1)</f>
        <v>71.82879561327222</v>
      </c>
      <c r="BB375" s="101">
        <f>$AB$1*(25+Module!$I$6)</f>
        <v>151.5</v>
      </c>
      <c r="BC375" s="101">
        <f>(BA375*($AB$1+1)*0.002488974)/($AB$1+1)*Module!$I$5*Module!$I$7</f>
        <v>55.150770979977231</v>
      </c>
      <c r="BD375" s="101">
        <f>$P$120*Module!$I$7*X375*Module!$I$5</f>
        <v>158.06557099128847</v>
      </c>
      <c r="BE375" s="151">
        <f t="shared" si="100"/>
        <v>1000000</v>
      </c>
      <c r="BG375" s="101">
        <f t="shared" si="111"/>
        <v>0</v>
      </c>
      <c r="BH375" s="101">
        <f>10+Module!$K$57/($AC$1+1)</f>
        <v>59.463036490617775</v>
      </c>
      <c r="BI375" s="101">
        <f>$AC$1*(25+Module!$I$6)</f>
        <v>202</v>
      </c>
      <c r="BJ375" s="101">
        <f>(BH375*($AC$1+1)*0.002488974)/($AC$1+1)*Module!$I$5*Module!$I$7</f>
        <v>45.656234094813776</v>
      </c>
      <c r="BK375" s="101">
        <f>$P$120*Module!$I$7*X375*Module!$I$5</f>
        <v>158.06557099128847</v>
      </c>
      <c r="BL375" s="151">
        <f t="shared" si="101"/>
        <v>1000000</v>
      </c>
    </row>
    <row r="376" spans="23:64" ht="15.75" hidden="1" thickBot="1">
      <c r="W376" s="777"/>
      <c r="X376" s="121">
        <f t="shared" si="102"/>
        <v>71</v>
      </c>
      <c r="Y376" s="122">
        <f>'calcul pneu pour calculateur'!P377</f>
        <v>184.82945479103142</v>
      </c>
      <c r="Z376" s="123">
        <f t="shared" si="104"/>
        <v>369.65890958206285</v>
      </c>
      <c r="AA376" s="123">
        <f t="shared" si="105"/>
        <v>554.48836437309433</v>
      </c>
      <c r="AB376" s="123">
        <f t="shared" si="106"/>
        <v>739.31781916412569</v>
      </c>
      <c r="AC376" s="123">
        <f t="shared" si="107"/>
        <v>924.14727395515706</v>
      </c>
      <c r="AK376" s="121">
        <f t="shared" si="103"/>
        <v>71</v>
      </c>
      <c r="AL376" s="101">
        <f t="shared" si="108"/>
        <v>0</v>
      </c>
      <c r="AM376" s="101">
        <f>10+Module!$K$57/($Z$1+1)</f>
        <v>133.65759122654444</v>
      </c>
      <c r="AN376" s="101">
        <f>$Z$1*(25+Module!$I$6)</f>
        <v>50.5</v>
      </c>
      <c r="AO376" s="101">
        <f>(AM376*($Z$1+1)*0.002488974)/($Z$1+1)*Module!$I$5*Module!$I$7</f>
        <v>102.62345540579445</v>
      </c>
      <c r="AP376" s="101">
        <f>$P$120*Module!$I$7*X376*Module!$I$5</f>
        <v>160.32365057687832</v>
      </c>
      <c r="AQ376" s="151">
        <f t="shared" si="98"/>
        <v>1000000</v>
      </c>
      <c r="AS376" s="101">
        <f t="shared" si="109"/>
        <v>0</v>
      </c>
      <c r="AT376" s="101">
        <f>10+Module!$K$57/($AA$1+1)</f>
        <v>92.438394151029627</v>
      </c>
      <c r="AU376" s="101">
        <f>$AA$1*(25+Module!$I$6)</f>
        <v>101</v>
      </c>
      <c r="AV376" s="101">
        <f>(AT376*($Z$1+1)*0.002488974)/($Z$1+1)*Module!$I$5*Module!$I$7</f>
        <v>70.974999121916298</v>
      </c>
      <c r="AW376" s="101">
        <f>$P$120*Module!$I$7*X376*Module!$I$5</f>
        <v>160.32365057687832</v>
      </c>
      <c r="AX376" s="151">
        <f t="shared" si="99"/>
        <v>1000000</v>
      </c>
      <c r="AZ376" s="101">
        <f t="shared" si="110"/>
        <v>0</v>
      </c>
      <c r="BA376" s="101">
        <f>10+Module!$K$57/($AB$1+1)</f>
        <v>71.82879561327222</v>
      </c>
      <c r="BB376" s="101">
        <f>$AB$1*(25+Module!$I$6)</f>
        <v>151.5</v>
      </c>
      <c r="BC376" s="101">
        <f>(BA376*($AB$1+1)*0.002488974)/($AB$1+1)*Module!$I$5*Module!$I$7</f>
        <v>55.150770979977231</v>
      </c>
      <c r="BD376" s="101">
        <f>$P$120*Module!$I$7*X376*Module!$I$5</f>
        <v>160.32365057687832</v>
      </c>
      <c r="BE376" s="151">
        <f t="shared" si="100"/>
        <v>1000000</v>
      </c>
      <c r="BG376" s="101">
        <f t="shared" si="111"/>
        <v>0</v>
      </c>
      <c r="BH376" s="101">
        <f>10+Module!$K$57/($AC$1+1)</f>
        <v>59.463036490617775</v>
      </c>
      <c r="BI376" s="101">
        <f>$AC$1*(25+Module!$I$6)</f>
        <v>202</v>
      </c>
      <c r="BJ376" s="101">
        <f>(BH376*($AC$1+1)*0.002488974)/($AC$1+1)*Module!$I$5*Module!$I$7</f>
        <v>45.656234094813776</v>
      </c>
      <c r="BK376" s="101">
        <f>$P$120*Module!$I$7*X376*Module!$I$5</f>
        <v>160.32365057687832</v>
      </c>
      <c r="BL376" s="151">
        <f t="shared" si="101"/>
        <v>1000000</v>
      </c>
    </row>
    <row r="377" spans="23:64" ht="15.75" hidden="1" thickBot="1">
      <c r="W377" s="777"/>
      <c r="X377" s="121">
        <f t="shared" si="102"/>
        <v>72</v>
      </c>
      <c r="Y377" s="122">
        <f>'calcul pneu pour calculateur'!P378</f>
        <v>184.1718089966576</v>
      </c>
      <c r="Z377" s="123">
        <f t="shared" si="104"/>
        <v>368.34361799331521</v>
      </c>
      <c r="AA377" s="123">
        <f t="shared" si="105"/>
        <v>552.51542698997287</v>
      </c>
      <c r="AB377" s="123">
        <f t="shared" si="106"/>
        <v>736.68723598663041</v>
      </c>
      <c r="AC377" s="123">
        <f t="shared" si="107"/>
        <v>920.85904498328796</v>
      </c>
      <c r="AK377" s="121">
        <f t="shared" si="103"/>
        <v>72</v>
      </c>
      <c r="AL377" s="101">
        <f t="shared" si="108"/>
        <v>0</v>
      </c>
      <c r="AM377" s="101">
        <f>10+Module!$K$57/($Z$1+1)</f>
        <v>133.65759122654444</v>
      </c>
      <c r="AN377" s="101">
        <f>$Z$1*(25+Module!$I$6)</f>
        <v>50.5</v>
      </c>
      <c r="AO377" s="101">
        <f>(AM377*($Z$1+1)*0.002488974)/($Z$1+1)*Module!$I$5*Module!$I$7</f>
        <v>102.62345540579445</v>
      </c>
      <c r="AP377" s="101">
        <f>$P$120*Module!$I$7*X377*Module!$I$5</f>
        <v>162.58173016246815</v>
      </c>
      <c r="AQ377" s="151">
        <f t="shared" si="98"/>
        <v>1000000</v>
      </c>
      <c r="AS377" s="101">
        <f t="shared" si="109"/>
        <v>0</v>
      </c>
      <c r="AT377" s="101">
        <f>10+Module!$K$57/($AA$1+1)</f>
        <v>92.438394151029627</v>
      </c>
      <c r="AU377" s="101">
        <f>$AA$1*(25+Module!$I$6)</f>
        <v>101</v>
      </c>
      <c r="AV377" s="101">
        <f>(AT377*($Z$1+1)*0.002488974)/($Z$1+1)*Module!$I$5*Module!$I$7</f>
        <v>70.974999121916298</v>
      </c>
      <c r="AW377" s="101">
        <f>$P$120*Module!$I$7*X377*Module!$I$5</f>
        <v>162.58173016246815</v>
      </c>
      <c r="AX377" s="151">
        <f t="shared" si="99"/>
        <v>1000000</v>
      </c>
      <c r="AZ377" s="101">
        <f t="shared" si="110"/>
        <v>0</v>
      </c>
      <c r="BA377" s="101">
        <f>10+Module!$K$57/($AB$1+1)</f>
        <v>71.82879561327222</v>
      </c>
      <c r="BB377" s="101">
        <f>$AB$1*(25+Module!$I$6)</f>
        <v>151.5</v>
      </c>
      <c r="BC377" s="101">
        <f>(BA377*($AB$1+1)*0.002488974)/($AB$1+1)*Module!$I$5*Module!$I$7</f>
        <v>55.150770979977231</v>
      </c>
      <c r="BD377" s="101">
        <f>$P$120*Module!$I$7*X377*Module!$I$5</f>
        <v>162.58173016246815</v>
      </c>
      <c r="BE377" s="151">
        <f t="shared" si="100"/>
        <v>1000000</v>
      </c>
      <c r="BG377" s="101">
        <f t="shared" si="111"/>
        <v>0</v>
      </c>
      <c r="BH377" s="101">
        <f>10+Module!$K$57/($AC$1+1)</f>
        <v>59.463036490617775</v>
      </c>
      <c r="BI377" s="101">
        <f>$AC$1*(25+Module!$I$6)</f>
        <v>202</v>
      </c>
      <c r="BJ377" s="101">
        <f>(BH377*($AC$1+1)*0.002488974)/($AC$1+1)*Module!$I$5*Module!$I$7</f>
        <v>45.656234094813776</v>
      </c>
      <c r="BK377" s="101">
        <f>$P$120*Module!$I$7*X377*Module!$I$5</f>
        <v>162.58173016246815</v>
      </c>
      <c r="BL377" s="151">
        <f t="shared" si="101"/>
        <v>1000000</v>
      </c>
    </row>
    <row r="378" spans="23:64" ht="15.75" hidden="1" thickBot="1">
      <c r="W378" s="777"/>
      <c r="X378" s="121">
        <f t="shared" si="102"/>
        <v>73</v>
      </c>
      <c r="Y378" s="122">
        <f>'calcul pneu pour calculateur'!P379</f>
        <v>183.51416320228378</v>
      </c>
      <c r="Z378" s="123">
        <f t="shared" si="104"/>
        <v>367.02832640456757</v>
      </c>
      <c r="AA378" s="123">
        <f t="shared" si="105"/>
        <v>550.5424896068514</v>
      </c>
      <c r="AB378" s="123">
        <f t="shared" si="106"/>
        <v>734.05665280913513</v>
      </c>
      <c r="AC378" s="123">
        <f t="shared" si="107"/>
        <v>917.57081601141886</v>
      </c>
      <c r="AK378" s="121">
        <f t="shared" si="103"/>
        <v>73</v>
      </c>
      <c r="AL378" s="101">
        <f t="shared" si="108"/>
        <v>0</v>
      </c>
      <c r="AM378" s="101">
        <f>10+Module!$K$57/($Z$1+1)</f>
        <v>133.65759122654444</v>
      </c>
      <c r="AN378" s="101">
        <f>$Z$1*(25+Module!$I$6)</f>
        <v>50.5</v>
      </c>
      <c r="AO378" s="101">
        <f>(AM378*($Z$1+1)*0.002488974)/($Z$1+1)*Module!$I$5*Module!$I$7</f>
        <v>102.62345540579445</v>
      </c>
      <c r="AP378" s="101">
        <f>$P$120*Module!$I$7*X378*Module!$I$5</f>
        <v>164.839809748058</v>
      </c>
      <c r="AQ378" s="151">
        <f t="shared" si="98"/>
        <v>1000000</v>
      </c>
      <c r="AS378" s="101">
        <f t="shared" si="109"/>
        <v>0</v>
      </c>
      <c r="AT378" s="101">
        <f>10+Module!$K$57/($AA$1+1)</f>
        <v>92.438394151029627</v>
      </c>
      <c r="AU378" s="101">
        <f>$AA$1*(25+Module!$I$6)</f>
        <v>101</v>
      </c>
      <c r="AV378" s="101">
        <f>(AT378*($Z$1+1)*0.002488974)/($Z$1+1)*Module!$I$5*Module!$I$7</f>
        <v>70.974999121916298</v>
      </c>
      <c r="AW378" s="101">
        <f>$P$120*Module!$I$7*X378*Module!$I$5</f>
        <v>164.839809748058</v>
      </c>
      <c r="AX378" s="151">
        <f t="shared" si="99"/>
        <v>1000000</v>
      </c>
      <c r="AZ378" s="101">
        <f t="shared" si="110"/>
        <v>0</v>
      </c>
      <c r="BA378" s="101">
        <f>10+Module!$K$57/($AB$1+1)</f>
        <v>71.82879561327222</v>
      </c>
      <c r="BB378" s="101">
        <f>$AB$1*(25+Module!$I$6)</f>
        <v>151.5</v>
      </c>
      <c r="BC378" s="101">
        <f>(BA378*($AB$1+1)*0.002488974)/($AB$1+1)*Module!$I$5*Module!$I$7</f>
        <v>55.150770979977231</v>
      </c>
      <c r="BD378" s="101">
        <f>$P$120*Module!$I$7*X378*Module!$I$5</f>
        <v>164.839809748058</v>
      </c>
      <c r="BE378" s="151">
        <f t="shared" si="100"/>
        <v>1000000</v>
      </c>
      <c r="BG378" s="101">
        <f t="shared" si="111"/>
        <v>0</v>
      </c>
      <c r="BH378" s="101">
        <f>10+Module!$K$57/($AC$1+1)</f>
        <v>59.463036490617775</v>
      </c>
      <c r="BI378" s="101">
        <f>$AC$1*(25+Module!$I$6)</f>
        <v>202</v>
      </c>
      <c r="BJ378" s="101">
        <f>(BH378*($AC$1+1)*0.002488974)/($AC$1+1)*Module!$I$5*Module!$I$7</f>
        <v>45.656234094813776</v>
      </c>
      <c r="BK378" s="101">
        <f>$P$120*Module!$I$7*X378*Module!$I$5</f>
        <v>164.839809748058</v>
      </c>
      <c r="BL378" s="151">
        <f t="shared" si="101"/>
        <v>1000000</v>
      </c>
    </row>
    <row r="379" spans="23:64" ht="15.75" hidden="1" thickBot="1">
      <c r="W379" s="777"/>
      <c r="X379" s="121">
        <f t="shared" si="102"/>
        <v>74</v>
      </c>
      <c r="Y379" s="122">
        <f>'calcul pneu pour calculateur'!P380</f>
        <v>182.85651740790993</v>
      </c>
      <c r="Z379" s="123">
        <f t="shared" si="104"/>
        <v>365.71303481581987</v>
      </c>
      <c r="AA379" s="123">
        <f t="shared" si="105"/>
        <v>548.56955222372983</v>
      </c>
      <c r="AB379" s="123">
        <f t="shared" si="106"/>
        <v>731.42606963163973</v>
      </c>
      <c r="AC379" s="123">
        <f t="shared" si="107"/>
        <v>914.28258703954964</v>
      </c>
      <c r="AK379" s="121">
        <f t="shared" si="103"/>
        <v>74</v>
      </c>
      <c r="AL379" s="101">
        <f t="shared" si="108"/>
        <v>0</v>
      </c>
      <c r="AM379" s="101">
        <f>10+Module!$K$57/($Z$1+1)</f>
        <v>133.65759122654444</v>
      </c>
      <c r="AN379" s="101">
        <f>$Z$1*(25+Module!$I$6)</f>
        <v>50.5</v>
      </c>
      <c r="AO379" s="101">
        <f>(AM379*($Z$1+1)*0.002488974)/($Z$1+1)*Module!$I$5*Module!$I$7</f>
        <v>102.62345540579445</v>
      </c>
      <c r="AP379" s="101">
        <f>$P$120*Module!$I$7*X379*Module!$I$5</f>
        <v>167.09788933364783</v>
      </c>
      <c r="AQ379" s="151">
        <f t="shared" si="98"/>
        <v>1000000</v>
      </c>
      <c r="AS379" s="101">
        <f t="shared" si="109"/>
        <v>0</v>
      </c>
      <c r="AT379" s="101">
        <f>10+Module!$K$57/($AA$1+1)</f>
        <v>92.438394151029627</v>
      </c>
      <c r="AU379" s="101">
        <f>$AA$1*(25+Module!$I$6)</f>
        <v>101</v>
      </c>
      <c r="AV379" s="101">
        <f>(AT379*($Z$1+1)*0.002488974)/($Z$1+1)*Module!$I$5*Module!$I$7</f>
        <v>70.974999121916298</v>
      </c>
      <c r="AW379" s="101">
        <f>$P$120*Module!$I$7*X379*Module!$I$5</f>
        <v>167.09788933364783</v>
      </c>
      <c r="AX379" s="151">
        <f t="shared" si="99"/>
        <v>1000000</v>
      </c>
      <c r="AZ379" s="101">
        <f t="shared" si="110"/>
        <v>0</v>
      </c>
      <c r="BA379" s="101">
        <f>10+Module!$K$57/($AB$1+1)</f>
        <v>71.82879561327222</v>
      </c>
      <c r="BB379" s="101">
        <f>$AB$1*(25+Module!$I$6)</f>
        <v>151.5</v>
      </c>
      <c r="BC379" s="101">
        <f>(BA379*($AB$1+1)*0.002488974)/($AB$1+1)*Module!$I$5*Module!$I$7</f>
        <v>55.150770979977231</v>
      </c>
      <c r="BD379" s="101">
        <f>$P$120*Module!$I$7*X379*Module!$I$5</f>
        <v>167.09788933364783</v>
      </c>
      <c r="BE379" s="151">
        <f t="shared" si="100"/>
        <v>1000000</v>
      </c>
      <c r="BG379" s="101">
        <f t="shared" si="111"/>
        <v>0</v>
      </c>
      <c r="BH379" s="101">
        <f>10+Module!$K$57/($AC$1+1)</f>
        <v>59.463036490617775</v>
      </c>
      <c r="BI379" s="101">
        <f>$AC$1*(25+Module!$I$6)</f>
        <v>202</v>
      </c>
      <c r="BJ379" s="101">
        <f>(BH379*($AC$1+1)*0.002488974)/($AC$1+1)*Module!$I$5*Module!$I$7</f>
        <v>45.656234094813776</v>
      </c>
      <c r="BK379" s="101">
        <f>$P$120*Module!$I$7*X379*Module!$I$5</f>
        <v>167.09788933364783</v>
      </c>
      <c r="BL379" s="151">
        <f t="shared" si="101"/>
        <v>1000000</v>
      </c>
    </row>
    <row r="380" spans="23:64" ht="15.75" hidden="1" thickBot="1">
      <c r="W380" s="777"/>
      <c r="X380" s="121">
        <f t="shared" si="102"/>
        <v>75</v>
      </c>
      <c r="Y380" s="122">
        <f>'calcul pneu pour calculateur'!P381</f>
        <v>182.19887161353611</v>
      </c>
      <c r="Z380" s="123">
        <f t="shared" si="104"/>
        <v>364.39774322707223</v>
      </c>
      <c r="AA380" s="123">
        <f t="shared" si="105"/>
        <v>546.59661484060837</v>
      </c>
      <c r="AB380" s="123">
        <f t="shared" si="106"/>
        <v>728.79548645414445</v>
      </c>
      <c r="AC380" s="123">
        <f t="shared" si="107"/>
        <v>910.99435806768054</v>
      </c>
      <c r="AK380" s="121">
        <f t="shared" si="103"/>
        <v>75</v>
      </c>
      <c r="AL380" s="101">
        <f t="shared" si="108"/>
        <v>0</v>
      </c>
      <c r="AM380" s="101">
        <f>10+Module!$K$57/($Z$1+1)</f>
        <v>133.65759122654444</v>
      </c>
      <c r="AN380" s="101">
        <f>$Z$1*(25+Module!$I$6)</f>
        <v>50.5</v>
      </c>
      <c r="AO380" s="101">
        <f>(AM380*($Z$1+1)*0.002488974)/($Z$1+1)*Module!$I$5*Module!$I$7</f>
        <v>102.62345540579445</v>
      </c>
      <c r="AP380" s="101">
        <f>$P$120*Module!$I$7*X380*Module!$I$5</f>
        <v>169.35596891923765</v>
      </c>
      <c r="AQ380" s="151">
        <f t="shared" si="98"/>
        <v>1000000</v>
      </c>
      <c r="AS380" s="101">
        <f t="shared" si="109"/>
        <v>0</v>
      </c>
      <c r="AT380" s="101">
        <f>10+Module!$K$57/($AA$1+1)</f>
        <v>92.438394151029627</v>
      </c>
      <c r="AU380" s="101">
        <f>$AA$1*(25+Module!$I$6)</f>
        <v>101</v>
      </c>
      <c r="AV380" s="101">
        <f>(AT380*($Z$1+1)*0.002488974)/($Z$1+1)*Module!$I$5*Module!$I$7</f>
        <v>70.974999121916298</v>
      </c>
      <c r="AW380" s="101">
        <f>$P$120*Module!$I$7*X380*Module!$I$5</f>
        <v>169.35596891923765</v>
      </c>
      <c r="AX380" s="151">
        <f t="shared" si="99"/>
        <v>1000000</v>
      </c>
      <c r="AZ380" s="101">
        <f t="shared" si="110"/>
        <v>0</v>
      </c>
      <c r="BA380" s="101">
        <f>10+Module!$K$57/($AB$1+1)</f>
        <v>71.82879561327222</v>
      </c>
      <c r="BB380" s="101">
        <f>$AB$1*(25+Module!$I$6)</f>
        <v>151.5</v>
      </c>
      <c r="BC380" s="101">
        <f>(BA380*($AB$1+1)*0.002488974)/($AB$1+1)*Module!$I$5*Module!$I$7</f>
        <v>55.150770979977231</v>
      </c>
      <c r="BD380" s="101">
        <f>$P$120*Module!$I$7*X380*Module!$I$5</f>
        <v>169.35596891923765</v>
      </c>
      <c r="BE380" s="151">
        <f t="shared" si="100"/>
        <v>1000000</v>
      </c>
      <c r="BG380" s="101">
        <f t="shared" si="111"/>
        <v>0</v>
      </c>
      <c r="BH380" s="101">
        <f>10+Module!$K$57/($AC$1+1)</f>
        <v>59.463036490617775</v>
      </c>
      <c r="BI380" s="101">
        <f>$AC$1*(25+Module!$I$6)</f>
        <v>202</v>
      </c>
      <c r="BJ380" s="101">
        <f>(BH380*($AC$1+1)*0.002488974)/($AC$1+1)*Module!$I$5*Module!$I$7</f>
        <v>45.656234094813776</v>
      </c>
      <c r="BK380" s="101">
        <f>$P$120*Module!$I$7*X380*Module!$I$5</f>
        <v>169.35596891923765</v>
      </c>
      <c r="BL380" s="151">
        <f t="shared" si="101"/>
        <v>1000000</v>
      </c>
    </row>
    <row r="381" spans="23:64" ht="15.75" hidden="1" thickBot="1">
      <c r="W381" s="777"/>
      <c r="X381" s="121">
        <f t="shared" si="102"/>
        <v>76</v>
      </c>
      <c r="Y381" s="122">
        <f>'calcul pneu pour calculateur'!P382</f>
        <v>181.54122581916226</v>
      </c>
      <c r="Z381" s="123">
        <f t="shared" si="104"/>
        <v>363.08245163832453</v>
      </c>
      <c r="AA381" s="123">
        <f t="shared" si="105"/>
        <v>544.62367745748679</v>
      </c>
      <c r="AB381" s="123">
        <f t="shared" si="106"/>
        <v>726.16490327664906</v>
      </c>
      <c r="AC381" s="123">
        <f t="shared" si="107"/>
        <v>907.70612909581132</v>
      </c>
      <c r="AK381" s="121">
        <f t="shared" si="103"/>
        <v>76</v>
      </c>
      <c r="AL381" s="101">
        <f t="shared" si="108"/>
        <v>0</v>
      </c>
      <c r="AM381" s="101">
        <f>10+Module!$K$57/($Z$1+1)</f>
        <v>133.65759122654444</v>
      </c>
      <c r="AN381" s="101">
        <f>$Z$1*(25+Module!$I$6)</f>
        <v>50.5</v>
      </c>
      <c r="AO381" s="101">
        <f>(AM381*($Z$1+1)*0.002488974)/($Z$1+1)*Module!$I$5*Module!$I$7</f>
        <v>102.62345540579445</v>
      </c>
      <c r="AP381" s="101">
        <f>$P$120*Module!$I$7*X381*Module!$I$5</f>
        <v>171.61404850482751</v>
      </c>
      <c r="AQ381" s="151">
        <f t="shared" si="98"/>
        <v>1000000</v>
      </c>
      <c r="AS381" s="101">
        <f t="shared" si="109"/>
        <v>0</v>
      </c>
      <c r="AT381" s="101">
        <f>10+Module!$K$57/($AA$1+1)</f>
        <v>92.438394151029627</v>
      </c>
      <c r="AU381" s="101">
        <f>$AA$1*(25+Module!$I$6)</f>
        <v>101</v>
      </c>
      <c r="AV381" s="101">
        <f>(AT381*($Z$1+1)*0.002488974)/($Z$1+1)*Module!$I$5*Module!$I$7</f>
        <v>70.974999121916298</v>
      </c>
      <c r="AW381" s="101">
        <f>$P$120*Module!$I$7*X381*Module!$I$5</f>
        <v>171.61404850482751</v>
      </c>
      <c r="AX381" s="151">
        <f t="shared" si="99"/>
        <v>1000000</v>
      </c>
      <c r="AZ381" s="101">
        <f t="shared" si="110"/>
        <v>0</v>
      </c>
      <c r="BA381" s="101">
        <f>10+Module!$K$57/($AB$1+1)</f>
        <v>71.82879561327222</v>
      </c>
      <c r="BB381" s="101">
        <f>$AB$1*(25+Module!$I$6)</f>
        <v>151.5</v>
      </c>
      <c r="BC381" s="101">
        <f>(BA381*($AB$1+1)*0.002488974)/($AB$1+1)*Module!$I$5*Module!$I$7</f>
        <v>55.150770979977231</v>
      </c>
      <c r="BD381" s="101">
        <f>$P$120*Module!$I$7*X381*Module!$I$5</f>
        <v>171.61404850482751</v>
      </c>
      <c r="BE381" s="151">
        <f t="shared" si="100"/>
        <v>1000000</v>
      </c>
      <c r="BG381" s="101">
        <f t="shared" si="111"/>
        <v>0</v>
      </c>
      <c r="BH381" s="101">
        <f>10+Module!$K$57/($AC$1+1)</f>
        <v>59.463036490617775</v>
      </c>
      <c r="BI381" s="101">
        <f>$AC$1*(25+Module!$I$6)</f>
        <v>202</v>
      </c>
      <c r="BJ381" s="101">
        <f>(BH381*($AC$1+1)*0.002488974)/($AC$1+1)*Module!$I$5*Module!$I$7</f>
        <v>45.656234094813776</v>
      </c>
      <c r="BK381" s="101">
        <f>$P$120*Module!$I$7*X381*Module!$I$5</f>
        <v>171.61404850482751</v>
      </c>
      <c r="BL381" s="151">
        <f t="shared" si="101"/>
        <v>1000000</v>
      </c>
    </row>
    <row r="382" spans="23:64" ht="15.75" hidden="1" thickBot="1">
      <c r="W382" s="777"/>
      <c r="X382" s="121">
        <f t="shared" si="102"/>
        <v>77</v>
      </c>
      <c r="Y382" s="122">
        <f>'calcul pneu pour calculateur'!P383</f>
        <v>180.88358002478844</v>
      </c>
      <c r="Z382" s="123">
        <f t="shared" si="104"/>
        <v>361.76716004957689</v>
      </c>
      <c r="AA382" s="123">
        <f t="shared" si="105"/>
        <v>542.65074007436533</v>
      </c>
      <c r="AB382" s="123">
        <f t="shared" si="106"/>
        <v>723.53432009915377</v>
      </c>
      <c r="AC382" s="123">
        <f t="shared" si="107"/>
        <v>904.41790012394222</v>
      </c>
      <c r="AK382" s="121">
        <f t="shared" si="103"/>
        <v>77</v>
      </c>
      <c r="AL382" s="101">
        <f t="shared" si="108"/>
        <v>0</v>
      </c>
      <c r="AM382" s="101">
        <f>10+Module!$K$57/($Z$1+1)</f>
        <v>133.65759122654444</v>
      </c>
      <c r="AN382" s="101">
        <f>$Z$1*(25+Module!$I$6)</f>
        <v>50.5</v>
      </c>
      <c r="AO382" s="101">
        <f>(AM382*($Z$1+1)*0.002488974)/($Z$1+1)*Module!$I$5*Module!$I$7</f>
        <v>102.62345540579445</v>
      </c>
      <c r="AP382" s="101">
        <f>$P$120*Module!$I$7*X382*Module!$I$5</f>
        <v>173.87212809041733</v>
      </c>
      <c r="AQ382" s="151">
        <f t="shared" si="98"/>
        <v>1000000</v>
      </c>
      <c r="AS382" s="101">
        <f t="shared" si="109"/>
        <v>0</v>
      </c>
      <c r="AT382" s="101">
        <f>10+Module!$K$57/($AA$1+1)</f>
        <v>92.438394151029627</v>
      </c>
      <c r="AU382" s="101">
        <f>$AA$1*(25+Module!$I$6)</f>
        <v>101</v>
      </c>
      <c r="AV382" s="101">
        <f>(AT382*($Z$1+1)*0.002488974)/($Z$1+1)*Module!$I$5*Module!$I$7</f>
        <v>70.974999121916298</v>
      </c>
      <c r="AW382" s="101">
        <f>$P$120*Module!$I$7*X382*Module!$I$5</f>
        <v>173.87212809041733</v>
      </c>
      <c r="AX382" s="151">
        <f t="shared" si="99"/>
        <v>1000000</v>
      </c>
      <c r="AZ382" s="101">
        <f t="shared" si="110"/>
        <v>0</v>
      </c>
      <c r="BA382" s="101">
        <f>10+Module!$K$57/($AB$1+1)</f>
        <v>71.82879561327222</v>
      </c>
      <c r="BB382" s="101">
        <f>$AB$1*(25+Module!$I$6)</f>
        <v>151.5</v>
      </c>
      <c r="BC382" s="101">
        <f>(BA382*($AB$1+1)*0.002488974)/($AB$1+1)*Module!$I$5*Module!$I$7</f>
        <v>55.150770979977231</v>
      </c>
      <c r="BD382" s="101">
        <f>$P$120*Module!$I$7*X382*Module!$I$5</f>
        <v>173.87212809041733</v>
      </c>
      <c r="BE382" s="151">
        <f t="shared" si="100"/>
        <v>1000000</v>
      </c>
      <c r="BG382" s="101">
        <f t="shared" si="111"/>
        <v>0</v>
      </c>
      <c r="BH382" s="101">
        <f>10+Module!$K$57/($AC$1+1)</f>
        <v>59.463036490617775</v>
      </c>
      <c r="BI382" s="101">
        <f>$AC$1*(25+Module!$I$6)</f>
        <v>202</v>
      </c>
      <c r="BJ382" s="101">
        <f>(BH382*($AC$1+1)*0.002488974)/($AC$1+1)*Module!$I$5*Module!$I$7</f>
        <v>45.656234094813776</v>
      </c>
      <c r="BK382" s="101">
        <f>$P$120*Module!$I$7*X382*Module!$I$5</f>
        <v>173.87212809041733</v>
      </c>
      <c r="BL382" s="151">
        <f t="shared" si="101"/>
        <v>1000000</v>
      </c>
    </row>
    <row r="383" spans="23:64" ht="15.75" hidden="1" thickBot="1">
      <c r="W383" s="777"/>
      <c r="X383" s="121">
        <f t="shared" si="102"/>
        <v>78</v>
      </c>
      <c r="Y383" s="122">
        <f>'calcul pneu pour calculateur'!P384</f>
        <v>180.22593423041459</v>
      </c>
      <c r="Z383" s="123">
        <f t="shared" si="104"/>
        <v>360.45186846082919</v>
      </c>
      <c r="AA383" s="123">
        <f t="shared" si="105"/>
        <v>540.67780269124376</v>
      </c>
      <c r="AB383" s="123">
        <f t="shared" si="106"/>
        <v>720.90373692165838</v>
      </c>
      <c r="AC383" s="123">
        <f t="shared" si="107"/>
        <v>901.129671152073</v>
      </c>
      <c r="AK383" s="121">
        <f t="shared" si="103"/>
        <v>78</v>
      </c>
      <c r="AL383" s="101">
        <f t="shared" si="108"/>
        <v>0</v>
      </c>
      <c r="AM383" s="101">
        <f>10+Module!$K$57/($Z$1+1)</f>
        <v>133.65759122654444</v>
      </c>
      <c r="AN383" s="101">
        <f>$Z$1*(25+Module!$I$6)</f>
        <v>50.5</v>
      </c>
      <c r="AO383" s="101">
        <f>(AM383*($Z$1+1)*0.002488974)/($Z$1+1)*Module!$I$5*Module!$I$7</f>
        <v>102.62345540579445</v>
      </c>
      <c r="AP383" s="101">
        <f>$P$120*Module!$I$7*X383*Module!$I$5</f>
        <v>176.13020767600716</v>
      </c>
      <c r="AQ383" s="151">
        <f t="shared" si="98"/>
        <v>1000000</v>
      </c>
      <c r="AS383" s="101">
        <f t="shared" si="109"/>
        <v>0</v>
      </c>
      <c r="AT383" s="101">
        <f>10+Module!$K$57/($AA$1+1)</f>
        <v>92.438394151029627</v>
      </c>
      <c r="AU383" s="101">
        <f>$AA$1*(25+Module!$I$6)</f>
        <v>101</v>
      </c>
      <c r="AV383" s="101">
        <f>(AT383*($Z$1+1)*0.002488974)/($Z$1+1)*Module!$I$5*Module!$I$7</f>
        <v>70.974999121916298</v>
      </c>
      <c r="AW383" s="101">
        <f>$P$120*Module!$I$7*X383*Module!$I$5</f>
        <v>176.13020767600716</v>
      </c>
      <c r="AX383" s="151">
        <f t="shared" si="99"/>
        <v>1000000</v>
      </c>
      <c r="AZ383" s="101">
        <f t="shared" si="110"/>
        <v>0</v>
      </c>
      <c r="BA383" s="101">
        <f>10+Module!$K$57/($AB$1+1)</f>
        <v>71.82879561327222</v>
      </c>
      <c r="BB383" s="101">
        <f>$AB$1*(25+Module!$I$6)</f>
        <v>151.5</v>
      </c>
      <c r="BC383" s="101">
        <f>(BA383*($AB$1+1)*0.002488974)/($AB$1+1)*Module!$I$5*Module!$I$7</f>
        <v>55.150770979977231</v>
      </c>
      <c r="BD383" s="101">
        <f>$P$120*Module!$I$7*X383*Module!$I$5</f>
        <v>176.13020767600716</v>
      </c>
      <c r="BE383" s="151">
        <f t="shared" si="100"/>
        <v>1000000</v>
      </c>
      <c r="BG383" s="101">
        <f t="shared" si="111"/>
        <v>0</v>
      </c>
      <c r="BH383" s="101">
        <f>10+Module!$K$57/($AC$1+1)</f>
        <v>59.463036490617775</v>
      </c>
      <c r="BI383" s="101">
        <f>$AC$1*(25+Module!$I$6)</f>
        <v>202</v>
      </c>
      <c r="BJ383" s="101">
        <f>(BH383*($AC$1+1)*0.002488974)/($AC$1+1)*Module!$I$5*Module!$I$7</f>
        <v>45.656234094813776</v>
      </c>
      <c r="BK383" s="101">
        <f>$P$120*Module!$I$7*X383*Module!$I$5</f>
        <v>176.13020767600716</v>
      </c>
      <c r="BL383" s="151">
        <f t="shared" si="101"/>
        <v>1000000</v>
      </c>
    </row>
    <row r="384" spans="23:64" ht="15.75" hidden="1" thickBot="1">
      <c r="W384" s="777"/>
      <c r="X384" s="121">
        <f t="shared" si="102"/>
        <v>79</v>
      </c>
      <c r="Y384" s="122">
        <f>'calcul pneu pour calculateur'!P385</f>
        <v>179.56828843604075</v>
      </c>
      <c r="Z384" s="123">
        <f t="shared" si="104"/>
        <v>359.13657687208149</v>
      </c>
      <c r="AA384" s="123">
        <f t="shared" si="105"/>
        <v>538.70486530812218</v>
      </c>
      <c r="AB384" s="123">
        <f t="shared" si="106"/>
        <v>718.27315374416298</v>
      </c>
      <c r="AC384" s="123">
        <f t="shared" si="107"/>
        <v>897.84144218020379</v>
      </c>
      <c r="AK384" s="121">
        <f t="shared" si="103"/>
        <v>79</v>
      </c>
      <c r="AL384" s="101">
        <f t="shared" si="108"/>
        <v>0</v>
      </c>
      <c r="AM384" s="101">
        <f>10+Module!$K$57/($Z$1+1)</f>
        <v>133.65759122654444</v>
      </c>
      <c r="AN384" s="101">
        <f>$Z$1*(25+Module!$I$6)</f>
        <v>50.5</v>
      </c>
      <c r="AO384" s="101">
        <f>(AM384*($Z$1+1)*0.002488974)/($Z$1+1)*Module!$I$5*Module!$I$7</f>
        <v>102.62345540579445</v>
      </c>
      <c r="AP384" s="101">
        <f>$P$120*Module!$I$7*X384*Module!$I$5</f>
        <v>178.38828726159699</v>
      </c>
      <c r="AQ384" s="151">
        <f t="shared" si="98"/>
        <v>1000000</v>
      </c>
      <c r="AS384" s="101">
        <f t="shared" si="109"/>
        <v>0</v>
      </c>
      <c r="AT384" s="101">
        <f>10+Module!$K$57/($AA$1+1)</f>
        <v>92.438394151029627</v>
      </c>
      <c r="AU384" s="101">
        <f>$AA$1*(25+Module!$I$6)</f>
        <v>101</v>
      </c>
      <c r="AV384" s="101">
        <f>(AT384*($Z$1+1)*0.002488974)/($Z$1+1)*Module!$I$5*Module!$I$7</f>
        <v>70.974999121916298</v>
      </c>
      <c r="AW384" s="101">
        <f>$P$120*Module!$I$7*X384*Module!$I$5</f>
        <v>178.38828726159699</v>
      </c>
      <c r="AX384" s="151">
        <f t="shared" si="99"/>
        <v>1000000</v>
      </c>
      <c r="AZ384" s="101">
        <f t="shared" si="110"/>
        <v>0</v>
      </c>
      <c r="BA384" s="101">
        <f>10+Module!$K$57/($AB$1+1)</f>
        <v>71.82879561327222</v>
      </c>
      <c r="BB384" s="101">
        <f>$AB$1*(25+Module!$I$6)</f>
        <v>151.5</v>
      </c>
      <c r="BC384" s="101">
        <f>(BA384*($AB$1+1)*0.002488974)/($AB$1+1)*Module!$I$5*Module!$I$7</f>
        <v>55.150770979977231</v>
      </c>
      <c r="BD384" s="101">
        <f>$P$120*Module!$I$7*X384*Module!$I$5</f>
        <v>178.38828726159699</v>
      </c>
      <c r="BE384" s="151">
        <f t="shared" si="100"/>
        <v>1000000</v>
      </c>
      <c r="BG384" s="101">
        <f t="shared" si="111"/>
        <v>0</v>
      </c>
      <c r="BH384" s="101">
        <f>10+Module!$K$57/($AC$1+1)</f>
        <v>59.463036490617775</v>
      </c>
      <c r="BI384" s="101">
        <f>$AC$1*(25+Module!$I$6)</f>
        <v>202</v>
      </c>
      <c r="BJ384" s="101">
        <f>(BH384*($AC$1+1)*0.002488974)/($AC$1+1)*Module!$I$5*Module!$I$7</f>
        <v>45.656234094813776</v>
      </c>
      <c r="BK384" s="101">
        <f>$P$120*Module!$I$7*X384*Module!$I$5</f>
        <v>178.38828726159699</v>
      </c>
      <c r="BL384" s="151">
        <f t="shared" si="101"/>
        <v>1000000</v>
      </c>
    </row>
    <row r="385" spans="23:64" ht="15.75" hidden="1" thickBot="1">
      <c r="W385" s="777"/>
      <c r="X385" s="121">
        <f t="shared" si="102"/>
        <v>80</v>
      </c>
      <c r="Y385" s="122">
        <f>'calcul pneu pour calculateur'!P386</f>
        <v>178.91064264166693</v>
      </c>
      <c r="Z385" s="123">
        <f t="shared" si="104"/>
        <v>357.82128528333385</v>
      </c>
      <c r="AA385" s="123">
        <f t="shared" si="105"/>
        <v>536.73192792500072</v>
      </c>
      <c r="AB385" s="123">
        <f t="shared" si="106"/>
        <v>715.6425705666677</v>
      </c>
      <c r="AC385" s="123">
        <f t="shared" si="107"/>
        <v>894.55321320833468</v>
      </c>
      <c r="AK385" s="121">
        <f t="shared" si="103"/>
        <v>80</v>
      </c>
      <c r="AL385" s="101">
        <f t="shared" si="108"/>
        <v>0</v>
      </c>
      <c r="AM385" s="101">
        <f>10+Module!$K$57/($Z$1+1)</f>
        <v>133.65759122654444</v>
      </c>
      <c r="AN385" s="101">
        <f>$Z$1*(25+Module!$I$6)</f>
        <v>50.5</v>
      </c>
      <c r="AO385" s="101">
        <f>(AM385*($Z$1+1)*0.002488974)/($Z$1+1)*Module!$I$5*Module!$I$7</f>
        <v>102.62345540579445</v>
      </c>
      <c r="AP385" s="101">
        <f>$P$120*Module!$I$7*X385*Module!$I$5</f>
        <v>180.64636684718684</v>
      </c>
      <c r="AQ385" s="151">
        <f t="shared" si="98"/>
        <v>1000000</v>
      </c>
      <c r="AS385" s="101">
        <f t="shared" si="109"/>
        <v>0</v>
      </c>
      <c r="AT385" s="101">
        <f>10+Module!$K$57/($AA$1+1)</f>
        <v>92.438394151029627</v>
      </c>
      <c r="AU385" s="101">
        <f>$AA$1*(25+Module!$I$6)</f>
        <v>101</v>
      </c>
      <c r="AV385" s="101">
        <f>(AT385*($Z$1+1)*0.002488974)/($Z$1+1)*Module!$I$5*Module!$I$7</f>
        <v>70.974999121916298</v>
      </c>
      <c r="AW385" s="101">
        <f>$P$120*Module!$I$7*X385*Module!$I$5</f>
        <v>180.64636684718684</v>
      </c>
      <c r="AX385" s="151">
        <f t="shared" si="99"/>
        <v>1000000</v>
      </c>
      <c r="AZ385" s="101">
        <f t="shared" si="110"/>
        <v>0</v>
      </c>
      <c r="BA385" s="101">
        <f>10+Module!$K$57/($AB$1+1)</f>
        <v>71.82879561327222</v>
      </c>
      <c r="BB385" s="101">
        <f>$AB$1*(25+Module!$I$6)</f>
        <v>151.5</v>
      </c>
      <c r="BC385" s="101">
        <f>(BA385*($AB$1+1)*0.002488974)/($AB$1+1)*Module!$I$5*Module!$I$7</f>
        <v>55.150770979977231</v>
      </c>
      <c r="BD385" s="101">
        <f>$P$120*Module!$I$7*X385*Module!$I$5</f>
        <v>180.64636684718684</v>
      </c>
      <c r="BE385" s="151">
        <f t="shared" si="100"/>
        <v>1000000</v>
      </c>
      <c r="BG385" s="101">
        <f t="shared" si="111"/>
        <v>0</v>
      </c>
      <c r="BH385" s="101">
        <f>10+Module!$K$57/($AC$1+1)</f>
        <v>59.463036490617775</v>
      </c>
      <c r="BI385" s="101">
        <f>$AC$1*(25+Module!$I$6)</f>
        <v>202</v>
      </c>
      <c r="BJ385" s="101">
        <f>(BH385*($AC$1+1)*0.002488974)/($AC$1+1)*Module!$I$5*Module!$I$7</f>
        <v>45.656234094813776</v>
      </c>
      <c r="BK385" s="101">
        <f>$P$120*Module!$I$7*X385*Module!$I$5</f>
        <v>180.64636684718684</v>
      </c>
      <c r="BL385" s="151">
        <f t="shared" si="101"/>
        <v>1000000</v>
      </c>
    </row>
    <row r="386" spans="23:64" ht="15.75" hidden="1" thickBot="1">
      <c r="W386" s="777"/>
      <c r="X386" s="121">
        <f t="shared" si="102"/>
        <v>81</v>
      </c>
      <c r="Y386" s="122">
        <f>'calcul pneu pour calculateur'!P387</f>
        <v>178.2529968472931</v>
      </c>
      <c r="Z386" s="123">
        <f t="shared" si="104"/>
        <v>356.50599369458621</v>
      </c>
      <c r="AA386" s="123">
        <f t="shared" si="105"/>
        <v>534.75899054187926</v>
      </c>
      <c r="AB386" s="123">
        <f t="shared" si="106"/>
        <v>713.01198738917242</v>
      </c>
      <c r="AC386" s="123">
        <f t="shared" si="107"/>
        <v>891.26498423646558</v>
      </c>
      <c r="AK386" s="121">
        <f t="shared" si="103"/>
        <v>81</v>
      </c>
      <c r="AL386" s="101">
        <f t="shared" si="108"/>
        <v>0</v>
      </c>
      <c r="AM386" s="101">
        <f>10+Module!$K$57/($Z$1+1)</f>
        <v>133.65759122654444</v>
      </c>
      <c r="AN386" s="101">
        <f>$Z$1*(25+Module!$I$6)</f>
        <v>50.5</v>
      </c>
      <c r="AO386" s="101">
        <f>(AM386*($Z$1+1)*0.002488974)/($Z$1+1)*Module!$I$5*Module!$I$7</f>
        <v>102.62345540579445</v>
      </c>
      <c r="AP386" s="101">
        <f>$P$120*Module!$I$7*X386*Module!$I$5</f>
        <v>182.90444643277667</v>
      </c>
      <c r="AQ386" s="151">
        <f t="shared" si="98"/>
        <v>1000000</v>
      </c>
      <c r="AS386" s="101">
        <f t="shared" si="109"/>
        <v>0</v>
      </c>
      <c r="AT386" s="101">
        <f>10+Module!$K$57/($AA$1+1)</f>
        <v>92.438394151029627</v>
      </c>
      <c r="AU386" s="101">
        <f>$AA$1*(25+Module!$I$6)</f>
        <v>101</v>
      </c>
      <c r="AV386" s="101">
        <f>(AT386*($Z$1+1)*0.002488974)/($Z$1+1)*Module!$I$5*Module!$I$7</f>
        <v>70.974999121916298</v>
      </c>
      <c r="AW386" s="101">
        <f>$P$120*Module!$I$7*X386*Module!$I$5</f>
        <v>182.90444643277667</v>
      </c>
      <c r="AX386" s="151">
        <f t="shared" si="99"/>
        <v>1000000</v>
      </c>
      <c r="AZ386" s="101">
        <f t="shared" si="110"/>
        <v>0</v>
      </c>
      <c r="BA386" s="101">
        <f>10+Module!$K$57/($AB$1+1)</f>
        <v>71.82879561327222</v>
      </c>
      <c r="BB386" s="101">
        <f>$AB$1*(25+Module!$I$6)</f>
        <v>151.5</v>
      </c>
      <c r="BC386" s="101">
        <f>(BA386*($AB$1+1)*0.002488974)/($AB$1+1)*Module!$I$5*Module!$I$7</f>
        <v>55.150770979977231</v>
      </c>
      <c r="BD386" s="101">
        <f>$P$120*Module!$I$7*X386*Module!$I$5</f>
        <v>182.90444643277667</v>
      </c>
      <c r="BE386" s="151">
        <f t="shared" si="100"/>
        <v>1000000</v>
      </c>
      <c r="BG386" s="101">
        <f t="shared" si="111"/>
        <v>0</v>
      </c>
      <c r="BH386" s="101">
        <f>10+Module!$K$57/($AC$1+1)</f>
        <v>59.463036490617775</v>
      </c>
      <c r="BI386" s="101">
        <f>$AC$1*(25+Module!$I$6)</f>
        <v>202</v>
      </c>
      <c r="BJ386" s="101">
        <f>(BH386*($AC$1+1)*0.002488974)/($AC$1+1)*Module!$I$5*Module!$I$7</f>
        <v>45.656234094813776</v>
      </c>
      <c r="BK386" s="101">
        <f>$P$120*Module!$I$7*X386*Module!$I$5</f>
        <v>182.90444643277667</v>
      </c>
      <c r="BL386" s="151">
        <f t="shared" si="101"/>
        <v>1000000</v>
      </c>
    </row>
    <row r="387" spans="23:64" ht="15.75" hidden="1" thickBot="1">
      <c r="W387" s="777"/>
      <c r="X387" s="121">
        <f t="shared" si="102"/>
        <v>82</v>
      </c>
      <c r="Y387" s="122">
        <f>'calcul pneu pour calculateur'!P388</f>
        <v>177.59535105291928</v>
      </c>
      <c r="Z387" s="123">
        <f t="shared" si="104"/>
        <v>355.19070210583857</v>
      </c>
      <c r="AA387" s="123">
        <f t="shared" si="105"/>
        <v>532.7860531587578</v>
      </c>
      <c r="AB387" s="123">
        <f t="shared" si="106"/>
        <v>710.38140421167714</v>
      </c>
      <c r="AC387" s="123">
        <f t="shared" si="107"/>
        <v>887.97675526459648</v>
      </c>
      <c r="AK387" s="121">
        <f t="shared" si="103"/>
        <v>82</v>
      </c>
      <c r="AL387" s="101">
        <f t="shared" si="108"/>
        <v>0</v>
      </c>
      <c r="AM387" s="101">
        <f>10+Module!$K$57/($Z$1+1)</f>
        <v>133.65759122654444</v>
      </c>
      <c r="AN387" s="101">
        <f>$Z$1*(25+Module!$I$6)</f>
        <v>50.5</v>
      </c>
      <c r="AO387" s="101">
        <f>(AM387*($Z$1+1)*0.002488974)/($Z$1+1)*Module!$I$5*Module!$I$7</f>
        <v>102.62345540579445</v>
      </c>
      <c r="AP387" s="101">
        <f>$P$120*Module!$I$7*X387*Module!$I$5</f>
        <v>185.16252601836649</v>
      </c>
      <c r="AQ387" s="151">
        <f t="shared" ref="AQ387:AQ405" si="112">IF(AK387 &gt;$AJ$17,1000000,AL387+AN387+AO387-AP387)</f>
        <v>1000000</v>
      </c>
      <c r="AS387" s="101">
        <f t="shared" si="109"/>
        <v>0</v>
      </c>
      <c r="AT387" s="101">
        <f>10+Module!$K$57/($AA$1+1)</f>
        <v>92.438394151029627</v>
      </c>
      <c r="AU387" s="101">
        <f>$AA$1*(25+Module!$I$6)</f>
        <v>101</v>
      </c>
      <c r="AV387" s="101">
        <f>(AT387*($Z$1+1)*0.002488974)/($Z$1+1)*Module!$I$5*Module!$I$7</f>
        <v>70.974999121916298</v>
      </c>
      <c r="AW387" s="101">
        <f>$P$120*Module!$I$7*X387*Module!$I$5</f>
        <v>185.16252601836649</v>
      </c>
      <c r="AX387" s="151">
        <f t="shared" ref="AX387:AX405" si="113">IF(AK387 &gt;$AJ$17,1000000,AS387+AU387+AV387-AW387)</f>
        <v>1000000</v>
      </c>
      <c r="AZ387" s="101">
        <f t="shared" si="110"/>
        <v>0</v>
      </c>
      <c r="BA387" s="101">
        <f>10+Module!$K$57/($AB$1+1)</f>
        <v>71.82879561327222</v>
      </c>
      <c r="BB387" s="101">
        <f>$AB$1*(25+Module!$I$6)</f>
        <v>151.5</v>
      </c>
      <c r="BC387" s="101">
        <f>(BA387*($AB$1+1)*0.002488974)/($AB$1+1)*Module!$I$5*Module!$I$7</f>
        <v>55.150770979977231</v>
      </c>
      <c r="BD387" s="101">
        <f>$P$120*Module!$I$7*X387*Module!$I$5</f>
        <v>185.16252601836649</v>
      </c>
      <c r="BE387" s="151">
        <f t="shared" ref="BE387:BE405" si="114">IF(AK387 &gt;$AJ$17,1000000,AZ387+BB387+BC387-BD387)</f>
        <v>1000000</v>
      </c>
      <c r="BG387" s="101">
        <f t="shared" si="111"/>
        <v>0</v>
      </c>
      <c r="BH387" s="101">
        <f>10+Module!$K$57/($AC$1+1)</f>
        <v>59.463036490617775</v>
      </c>
      <c r="BI387" s="101">
        <f>$AC$1*(25+Module!$I$6)</f>
        <v>202</v>
      </c>
      <c r="BJ387" s="101">
        <f>(BH387*($AC$1+1)*0.002488974)/($AC$1+1)*Module!$I$5*Module!$I$7</f>
        <v>45.656234094813776</v>
      </c>
      <c r="BK387" s="101">
        <f>$P$120*Module!$I$7*X387*Module!$I$5</f>
        <v>185.16252601836649</v>
      </c>
      <c r="BL387" s="151">
        <f t="shared" ref="BL387:BL405" si="115">IF(AK387 &gt;$AJ$17,1000000,BG387+BI387+BJ387-BK387)</f>
        <v>1000000</v>
      </c>
    </row>
    <row r="388" spans="23:64" ht="15.75" hidden="1" thickBot="1">
      <c r="W388" s="777"/>
      <c r="X388" s="121">
        <f t="shared" ref="X388:X451" si="116">X387+1</f>
        <v>83</v>
      </c>
      <c r="Y388" s="122">
        <f>'calcul pneu pour calculateur'!P389</f>
        <v>176.93770525854541</v>
      </c>
      <c r="Z388" s="123">
        <f t="shared" si="104"/>
        <v>353.87541051709081</v>
      </c>
      <c r="AA388" s="123">
        <f t="shared" si="105"/>
        <v>530.81311577563622</v>
      </c>
      <c r="AB388" s="123">
        <f t="shared" si="106"/>
        <v>707.75082103418163</v>
      </c>
      <c r="AC388" s="123">
        <f t="shared" si="107"/>
        <v>884.68852629272703</v>
      </c>
      <c r="AK388" s="121">
        <f t="shared" ref="AK388:AK405" si="117">AK387+1</f>
        <v>83</v>
      </c>
      <c r="AL388" s="101">
        <f t="shared" si="108"/>
        <v>0</v>
      </c>
      <c r="AM388" s="101">
        <f>10+Module!$K$57/($Z$1+1)</f>
        <v>133.65759122654444</v>
      </c>
      <c r="AN388" s="101">
        <f>$Z$1*(25+Module!$I$6)</f>
        <v>50.5</v>
      </c>
      <c r="AO388" s="101">
        <f>(AM388*($Z$1+1)*0.002488974)/($Z$1+1)*Module!$I$5*Module!$I$7</f>
        <v>102.62345540579445</v>
      </c>
      <c r="AP388" s="101">
        <f>$P$120*Module!$I$7*X388*Module!$I$5</f>
        <v>187.42060560395632</v>
      </c>
      <c r="AQ388" s="151">
        <f t="shared" si="112"/>
        <v>1000000</v>
      </c>
      <c r="AS388" s="101">
        <f t="shared" si="109"/>
        <v>0</v>
      </c>
      <c r="AT388" s="101">
        <f>10+Module!$K$57/($AA$1+1)</f>
        <v>92.438394151029627</v>
      </c>
      <c r="AU388" s="101">
        <f>$AA$1*(25+Module!$I$6)</f>
        <v>101</v>
      </c>
      <c r="AV388" s="101">
        <f>(AT388*($Z$1+1)*0.002488974)/($Z$1+1)*Module!$I$5*Module!$I$7</f>
        <v>70.974999121916298</v>
      </c>
      <c r="AW388" s="101">
        <f>$P$120*Module!$I$7*X388*Module!$I$5</f>
        <v>187.42060560395632</v>
      </c>
      <c r="AX388" s="151">
        <f t="shared" si="113"/>
        <v>1000000</v>
      </c>
      <c r="AZ388" s="101">
        <f t="shared" si="110"/>
        <v>0</v>
      </c>
      <c r="BA388" s="101">
        <f>10+Module!$K$57/($AB$1+1)</f>
        <v>71.82879561327222</v>
      </c>
      <c r="BB388" s="101">
        <f>$AB$1*(25+Module!$I$6)</f>
        <v>151.5</v>
      </c>
      <c r="BC388" s="101">
        <f>(BA388*($AB$1+1)*0.002488974)/($AB$1+1)*Module!$I$5*Module!$I$7</f>
        <v>55.150770979977231</v>
      </c>
      <c r="BD388" s="101">
        <f>$P$120*Module!$I$7*X388*Module!$I$5</f>
        <v>187.42060560395632</v>
      </c>
      <c r="BE388" s="151">
        <f t="shared" si="114"/>
        <v>1000000</v>
      </c>
      <c r="BG388" s="101">
        <f t="shared" si="111"/>
        <v>0</v>
      </c>
      <c r="BH388" s="101">
        <f>10+Module!$K$57/($AC$1+1)</f>
        <v>59.463036490617775</v>
      </c>
      <c r="BI388" s="101">
        <f>$AC$1*(25+Module!$I$6)</f>
        <v>202</v>
      </c>
      <c r="BJ388" s="101">
        <f>(BH388*($AC$1+1)*0.002488974)/($AC$1+1)*Module!$I$5*Module!$I$7</f>
        <v>45.656234094813776</v>
      </c>
      <c r="BK388" s="101">
        <f>$P$120*Module!$I$7*X388*Module!$I$5</f>
        <v>187.42060560395632</v>
      </c>
      <c r="BL388" s="151">
        <f t="shared" si="115"/>
        <v>1000000</v>
      </c>
    </row>
    <row r="389" spans="23:64" ht="15.75" hidden="1" thickBot="1">
      <c r="W389" s="777"/>
      <c r="X389" s="121">
        <f t="shared" si="116"/>
        <v>84</v>
      </c>
      <c r="Y389" s="122">
        <f>'calcul pneu pour calculateur'!P390</f>
        <v>176.28005946417159</v>
      </c>
      <c r="Z389" s="123">
        <f t="shared" si="104"/>
        <v>352.56011892834317</v>
      </c>
      <c r="AA389" s="123">
        <f t="shared" si="105"/>
        <v>528.84017839251476</v>
      </c>
      <c r="AB389" s="123">
        <f t="shared" si="106"/>
        <v>705.12023785668634</v>
      </c>
      <c r="AC389" s="123">
        <f t="shared" si="107"/>
        <v>881.40029732085793</v>
      </c>
      <c r="AK389" s="121">
        <f t="shared" si="117"/>
        <v>84</v>
      </c>
      <c r="AL389" s="101">
        <f t="shared" si="108"/>
        <v>0</v>
      </c>
      <c r="AM389" s="101">
        <f>10+Module!$K$57/($Z$1+1)</f>
        <v>133.65759122654444</v>
      </c>
      <c r="AN389" s="101">
        <f>$Z$1*(25+Module!$I$6)</f>
        <v>50.5</v>
      </c>
      <c r="AO389" s="101">
        <f>(AM389*($Z$1+1)*0.002488974)/($Z$1+1)*Module!$I$5*Module!$I$7</f>
        <v>102.62345540579445</v>
      </c>
      <c r="AP389" s="101">
        <f>$P$120*Module!$I$7*X389*Module!$I$5</f>
        <v>189.6786851895462</v>
      </c>
      <c r="AQ389" s="151">
        <f t="shared" si="112"/>
        <v>1000000</v>
      </c>
      <c r="AS389" s="101">
        <f t="shared" si="109"/>
        <v>0</v>
      </c>
      <c r="AT389" s="101">
        <f>10+Module!$K$57/($AA$1+1)</f>
        <v>92.438394151029627</v>
      </c>
      <c r="AU389" s="101">
        <f>$AA$1*(25+Module!$I$6)</f>
        <v>101</v>
      </c>
      <c r="AV389" s="101">
        <f>(AT389*($Z$1+1)*0.002488974)/($Z$1+1)*Module!$I$5*Module!$I$7</f>
        <v>70.974999121916298</v>
      </c>
      <c r="AW389" s="101">
        <f>$P$120*Module!$I$7*X389*Module!$I$5</f>
        <v>189.6786851895462</v>
      </c>
      <c r="AX389" s="151">
        <f t="shared" si="113"/>
        <v>1000000</v>
      </c>
      <c r="AZ389" s="101">
        <f t="shared" si="110"/>
        <v>0</v>
      </c>
      <c r="BA389" s="101">
        <f>10+Module!$K$57/($AB$1+1)</f>
        <v>71.82879561327222</v>
      </c>
      <c r="BB389" s="101">
        <f>$AB$1*(25+Module!$I$6)</f>
        <v>151.5</v>
      </c>
      <c r="BC389" s="101">
        <f>(BA389*($AB$1+1)*0.002488974)/($AB$1+1)*Module!$I$5*Module!$I$7</f>
        <v>55.150770979977231</v>
      </c>
      <c r="BD389" s="101">
        <f>$P$120*Module!$I$7*X389*Module!$I$5</f>
        <v>189.6786851895462</v>
      </c>
      <c r="BE389" s="151">
        <f t="shared" si="114"/>
        <v>1000000</v>
      </c>
      <c r="BG389" s="101">
        <f t="shared" si="111"/>
        <v>0</v>
      </c>
      <c r="BH389" s="101">
        <f>10+Module!$K$57/($AC$1+1)</f>
        <v>59.463036490617775</v>
      </c>
      <c r="BI389" s="101">
        <f>$AC$1*(25+Module!$I$6)</f>
        <v>202</v>
      </c>
      <c r="BJ389" s="101">
        <f>(BH389*($AC$1+1)*0.002488974)/($AC$1+1)*Module!$I$5*Module!$I$7</f>
        <v>45.656234094813776</v>
      </c>
      <c r="BK389" s="101">
        <f>$P$120*Module!$I$7*X389*Module!$I$5</f>
        <v>189.6786851895462</v>
      </c>
      <c r="BL389" s="151">
        <f t="shared" si="115"/>
        <v>1000000</v>
      </c>
    </row>
    <row r="390" spans="23:64" ht="15.75" hidden="1" thickBot="1">
      <c r="W390" s="777"/>
      <c r="X390" s="121">
        <f t="shared" si="116"/>
        <v>85</v>
      </c>
      <c r="Y390" s="122">
        <f>'calcul pneu pour calculateur'!P391</f>
        <v>175.62241366979777</v>
      </c>
      <c r="Z390" s="123">
        <f t="shared" si="104"/>
        <v>351.24482733959553</v>
      </c>
      <c r="AA390" s="123">
        <f t="shared" si="105"/>
        <v>526.8672410093933</v>
      </c>
      <c r="AB390" s="123">
        <f t="shared" si="106"/>
        <v>702.48965467919106</v>
      </c>
      <c r="AC390" s="123">
        <f t="shared" si="107"/>
        <v>878.11206834898883</v>
      </c>
      <c r="AK390" s="121">
        <f t="shared" si="117"/>
        <v>85</v>
      </c>
      <c r="AL390" s="101">
        <f t="shared" si="108"/>
        <v>0</v>
      </c>
      <c r="AM390" s="101">
        <f>10+Module!$K$57/($Z$1+1)</f>
        <v>133.65759122654444</v>
      </c>
      <c r="AN390" s="101">
        <f>$Z$1*(25+Module!$I$6)</f>
        <v>50.5</v>
      </c>
      <c r="AO390" s="101">
        <f>(AM390*($Z$1+1)*0.002488974)/($Z$1+1)*Module!$I$5*Module!$I$7</f>
        <v>102.62345540579445</v>
      </c>
      <c r="AP390" s="101">
        <f>$P$120*Module!$I$7*X390*Module!$I$5</f>
        <v>191.93676477513603</v>
      </c>
      <c r="AQ390" s="151">
        <f t="shared" si="112"/>
        <v>1000000</v>
      </c>
      <c r="AS390" s="101">
        <f t="shared" si="109"/>
        <v>0</v>
      </c>
      <c r="AT390" s="101">
        <f>10+Module!$K$57/($AA$1+1)</f>
        <v>92.438394151029627</v>
      </c>
      <c r="AU390" s="101">
        <f>$AA$1*(25+Module!$I$6)</f>
        <v>101</v>
      </c>
      <c r="AV390" s="101">
        <f>(AT390*($Z$1+1)*0.002488974)/($Z$1+1)*Module!$I$5*Module!$I$7</f>
        <v>70.974999121916298</v>
      </c>
      <c r="AW390" s="101">
        <f>$P$120*Module!$I$7*X390*Module!$I$5</f>
        <v>191.93676477513603</v>
      </c>
      <c r="AX390" s="151">
        <f t="shared" si="113"/>
        <v>1000000</v>
      </c>
      <c r="AZ390" s="101">
        <f t="shared" si="110"/>
        <v>0</v>
      </c>
      <c r="BA390" s="101">
        <f>10+Module!$K$57/($AB$1+1)</f>
        <v>71.82879561327222</v>
      </c>
      <c r="BB390" s="101">
        <f>$AB$1*(25+Module!$I$6)</f>
        <v>151.5</v>
      </c>
      <c r="BC390" s="101">
        <f>(BA390*($AB$1+1)*0.002488974)/($AB$1+1)*Module!$I$5*Module!$I$7</f>
        <v>55.150770979977231</v>
      </c>
      <c r="BD390" s="101">
        <f>$P$120*Module!$I$7*X390*Module!$I$5</f>
        <v>191.93676477513603</v>
      </c>
      <c r="BE390" s="151">
        <f t="shared" si="114"/>
        <v>1000000</v>
      </c>
      <c r="BG390" s="101">
        <f t="shared" si="111"/>
        <v>0</v>
      </c>
      <c r="BH390" s="101">
        <f>10+Module!$K$57/($AC$1+1)</f>
        <v>59.463036490617775</v>
      </c>
      <c r="BI390" s="101">
        <f>$AC$1*(25+Module!$I$6)</f>
        <v>202</v>
      </c>
      <c r="BJ390" s="101">
        <f>(BH390*($AC$1+1)*0.002488974)/($AC$1+1)*Module!$I$5*Module!$I$7</f>
        <v>45.656234094813776</v>
      </c>
      <c r="BK390" s="101">
        <f>$P$120*Module!$I$7*X390*Module!$I$5</f>
        <v>191.93676477513603</v>
      </c>
      <c r="BL390" s="151">
        <f t="shared" si="115"/>
        <v>1000000</v>
      </c>
    </row>
    <row r="391" spans="23:64" ht="15.75" hidden="1" thickBot="1">
      <c r="W391" s="777"/>
      <c r="X391" s="121">
        <f t="shared" si="116"/>
        <v>86</v>
      </c>
      <c r="Y391" s="122">
        <f>'calcul pneu pour calculateur'!P392</f>
        <v>174.96476787542395</v>
      </c>
      <c r="Z391" s="123">
        <f t="shared" si="104"/>
        <v>349.92953575084789</v>
      </c>
      <c r="AA391" s="123">
        <f t="shared" si="105"/>
        <v>524.89430362627184</v>
      </c>
      <c r="AB391" s="123">
        <f t="shared" si="106"/>
        <v>699.85907150169578</v>
      </c>
      <c r="AC391" s="123">
        <f t="shared" si="107"/>
        <v>874.82383937711973</v>
      </c>
      <c r="AK391" s="121">
        <f t="shared" si="117"/>
        <v>86</v>
      </c>
      <c r="AL391" s="101">
        <f t="shared" si="108"/>
        <v>0</v>
      </c>
      <c r="AM391" s="101">
        <f>10+Module!$K$57/($Z$1+1)</f>
        <v>133.65759122654444</v>
      </c>
      <c r="AN391" s="101">
        <f>$Z$1*(25+Module!$I$6)</f>
        <v>50.5</v>
      </c>
      <c r="AO391" s="101">
        <f>(AM391*($Z$1+1)*0.002488974)/($Z$1+1)*Module!$I$5*Module!$I$7</f>
        <v>102.62345540579445</v>
      </c>
      <c r="AP391" s="101">
        <f>$P$120*Module!$I$7*X391*Module!$I$5</f>
        <v>194.19484436072585</v>
      </c>
      <c r="AQ391" s="151">
        <f t="shared" si="112"/>
        <v>1000000</v>
      </c>
      <c r="AS391" s="101">
        <f t="shared" si="109"/>
        <v>0</v>
      </c>
      <c r="AT391" s="101">
        <f>10+Module!$K$57/($AA$1+1)</f>
        <v>92.438394151029627</v>
      </c>
      <c r="AU391" s="101">
        <f>$AA$1*(25+Module!$I$6)</f>
        <v>101</v>
      </c>
      <c r="AV391" s="101">
        <f>(AT391*($Z$1+1)*0.002488974)/($Z$1+1)*Module!$I$5*Module!$I$7</f>
        <v>70.974999121916298</v>
      </c>
      <c r="AW391" s="101">
        <f>$P$120*Module!$I$7*X391*Module!$I$5</f>
        <v>194.19484436072585</v>
      </c>
      <c r="AX391" s="151">
        <f t="shared" si="113"/>
        <v>1000000</v>
      </c>
      <c r="AZ391" s="101">
        <f t="shared" si="110"/>
        <v>0</v>
      </c>
      <c r="BA391" s="101">
        <f>10+Module!$K$57/($AB$1+1)</f>
        <v>71.82879561327222</v>
      </c>
      <c r="BB391" s="101">
        <f>$AB$1*(25+Module!$I$6)</f>
        <v>151.5</v>
      </c>
      <c r="BC391" s="101">
        <f>(BA391*($AB$1+1)*0.002488974)/($AB$1+1)*Module!$I$5*Module!$I$7</f>
        <v>55.150770979977231</v>
      </c>
      <c r="BD391" s="101">
        <f>$P$120*Module!$I$7*X391*Module!$I$5</f>
        <v>194.19484436072585</v>
      </c>
      <c r="BE391" s="151">
        <f t="shared" si="114"/>
        <v>1000000</v>
      </c>
      <c r="BG391" s="101">
        <f t="shared" si="111"/>
        <v>0</v>
      </c>
      <c r="BH391" s="101">
        <f>10+Module!$K$57/($AC$1+1)</f>
        <v>59.463036490617775</v>
      </c>
      <c r="BI391" s="101">
        <f>$AC$1*(25+Module!$I$6)</f>
        <v>202</v>
      </c>
      <c r="BJ391" s="101">
        <f>(BH391*($AC$1+1)*0.002488974)/($AC$1+1)*Module!$I$5*Module!$I$7</f>
        <v>45.656234094813776</v>
      </c>
      <c r="BK391" s="101">
        <f>$P$120*Module!$I$7*X391*Module!$I$5</f>
        <v>194.19484436072585</v>
      </c>
      <c r="BL391" s="151">
        <f t="shared" si="115"/>
        <v>1000000</v>
      </c>
    </row>
    <row r="392" spans="23:64" ht="15.75" hidden="1" thickBot="1">
      <c r="W392" s="777"/>
      <c r="X392" s="121">
        <f t="shared" si="116"/>
        <v>87</v>
      </c>
      <c r="Y392" s="122">
        <f>'calcul pneu pour calculateur'!P393</f>
        <v>174.30712208105007</v>
      </c>
      <c r="Z392" s="123">
        <f t="shared" si="104"/>
        <v>348.61424416210014</v>
      </c>
      <c r="AA392" s="123">
        <f t="shared" si="105"/>
        <v>522.92136624315026</v>
      </c>
      <c r="AB392" s="123">
        <f t="shared" si="106"/>
        <v>697.22848832420027</v>
      </c>
      <c r="AC392" s="123">
        <f t="shared" si="107"/>
        <v>871.53561040525028</v>
      </c>
      <c r="AK392" s="121">
        <f t="shared" si="117"/>
        <v>87</v>
      </c>
      <c r="AL392" s="101">
        <f t="shared" si="108"/>
        <v>0</v>
      </c>
      <c r="AM392" s="101">
        <f>10+Module!$K$57/($Z$1+1)</f>
        <v>133.65759122654444</v>
      </c>
      <c r="AN392" s="101">
        <f>$Z$1*(25+Module!$I$6)</f>
        <v>50.5</v>
      </c>
      <c r="AO392" s="101">
        <f>(AM392*($Z$1+1)*0.002488974)/($Z$1+1)*Module!$I$5*Module!$I$7</f>
        <v>102.62345540579445</v>
      </c>
      <c r="AP392" s="101">
        <f>$P$120*Module!$I$7*X392*Module!$I$5</f>
        <v>196.45292394631568</v>
      </c>
      <c r="AQ392" s="151">
        <f t="shared" si="112"/>
        <v>1000000</v>
      </c>
      <c r="AS392" s="101">
        <f t="shared" si="109"/>
        <v>0</v>
      </c>
      <c r="AT392" s="101">
        <f>10+Module!$K$57/($AA$1+1)</f>
        <v>92.438394151029627</v>
      </c>
      <c r="AU392" s="101">
        <f>$AA$1*(25+Module!$I$6)</f>
        <v>101</v>
      </c>
      <c r="AV392" s="101">
        <f>(AT392*($Z$1+1)*0.002488974)/($Z$1+1)*Module!$I$5*Module!$I$7</f>
        <v>70.974999121916298</v>
      </c>
      <c r="AW392" s="101">
        <f>$P$120*Module!$I$7*X392*Module!$I$5</f>
        <v>196.45292394631568</v>
      </c>
      <c r="AX392" s="151">
        <f t="shared" si="113"/>
        <v>1000000</v>
      </c>
      <c r="AZ392" s="101">
        <f t="shared" si="110"/>
        <v>0</v>
      </c>
      <c r="BA392" s="101">
        <f>10+Module!$K$57/($AB$1+1)</f>
        <v>71.82879561327222</v>
      </c>
      <c r="BB392" s="101">
        <f>$AB$1*(25+Module!$I$6)</f>
        <v>151.5</v>
      </c>
      <c r="BC392" s="101">
        <f>(BA392*($AB$1+1)*0.002488974)/($AB$1+1)*Module!$I$5*Module!$I$7</f>
        <v>55.150770979977231</v>
      </c>
      <c r="BD392" s="101">
        <f>$P$120*Module!$I$7*X392*Module!$I$5</f>
        <v>196.45292394631568</v>
      </c>
      <c r="BE392" s="151">
        <f t="shared" si="114"/>
        <v>1000000</v>
      </c>
      <c r="BG392" s="101">
        <f t="shared" si="111"/>
        <v>0</v>
      </c>
      <c r="BH392" s="101">
        <f>10+Module!$K$57/($AC$1+1)</f>
        <v>59.463036490617775</v>
      </c>
      <c r="BI392" s="101">
        <f>$AC$1*(25+Module!$I$6)</f>
        <v>202</v>
      </c>
      <c r="BJ392" s="101">
        <f>(BH392*($AC$1+1)*0.002488974)/($AC$1+1)*Module!$I$5*Module!$I$7</f>
        <v>45.656234094813776</v>
      </c>
      <c r="BK392" s="101">
        <f>$P$120*Module!$I$7*X392*Module!$I$5</f>
        <v>196.45292394631568</v>
      </c>
      <c r="BL392" s="151">
        <f t="shared" si="115"/>
        <v>1000000</v>
      </c>
    </row>
    <row r="393" spans="23:64" ht="15.75" hidden="1" thickBot="1">
      <c r="W393" s="777"/>
      <c r="X393" s="121">
        <f t="shared" si="116"/>
        <v>88</v>
      </c>
      <c r="Y393" s="122">
        <f>'calcul pneu pour calculateur'!P394</f>
        <v>173.64947628667625</v>
      </c>
      <c r="Z393" s="123">
        <f t="shared" si="104"/>
        <v>347.29895257335249</v>
      </c>
      <c r="AA393" s="123">
        <f t="shared" si="105"/>
        <v>520.9484288600288</v>
      </c>
      <c r="AB393" s="123">
        <f t="shared" si="106"/>
        <v>694.59790514670499</v>
      </c>
      <c r="AC393" s="123">
        <f t="shared" si="107"/>
        <v>868.24738143338118</v>
      </c>
      <c r="AK393" s="121">
        <f t="shared" si="117"/>
        <v>88</v>
      </c>
      <c r="AL393" s="101">
        <f t="shared" si="108"/>
        <v>0</v>
      </c>
      <c r="AM393" s="101">
        <f>10+Module!$K$57/($Z$1+1)</f>
        <v>133.65759122654444</v>
      </c>
      <c r="AN393" s="101">
        <f>$Z$1*(25+Module!$I$6)</f>
        <v>50.5</v>
      </c>
      <c r="AO393" s="101">
        <f>(AM393*($Z$1+1)*0.002488974)/($Z$1+1)*Module!$I$5*Module!$I$7</f>
        <v>102.62345540579445</v>
      </c>
      <c r="AP393" s="101">
        <f>$P$120*Module!$I$7*X393*Module!$I$5</f>
        <v>198.71100353190553</v>
      </c>
      <c r="AQ393" s="151">
        <f t="shared" si="112"/>
        <v>1000000</v>
      </c>
      <c r="AS393" s="101">
        <f t="shared" si="109"/>
        <v>0</v>
      </c>
      <c r="AT393" s="101">
        <f>10+Module!$K$57/($AA$1+1)</f>
        <v>92.438394151029627</v>
      </c>
      <c r="AU393" s="101">
        <f>$AA$1*(25+Module!$I$6)</f>
        <v>101</v>
      </c>
      <c r="AV393" s="101">
        <f>(AT393*($Z$1+1)*0.002488974)/($Z$1+1)*Module!$I$5*Module!$I$7</f>
        <v>70.974999121916298</v>
      </c>
      <c r="AW393" s="101">
        <f>$P$120*Module!$I$7*X393*Module!$I$5</f>
        <v>198.71100353190553</v>
      </c>
      <c r="AX393" s="151">
        <f t="shared" si="113"/>
        <v>1000000</v>
      </c>
      <c r="AZ393" s="101">
        <f t="shared" si="110"/>
        <v>0</v>
      </c>
      <c r="BA393" s="101">
        <f>10+Module!$K$57/($AB$1+1)</f>
        <v>71.82879561327222</v>
      </c>
      <c r="BB393" s="101">
        <f>$AB$1*(25+Module!$I$6)</f>
        <v>151.5</v>
      </c>
      <c r="BC393" s="101">
        <f>(BA393*($AB$1+1)*0.002488974)/($AB$1+1)*Module!$I$5*Module!$I$7</f>
        <v>55.150770979977231</v>
      </c>
      <c r="BD393" s="101">
        <f>$P$120*Module!$I$7*X393*Module!$I$5</f>
        <v>198.71100353190553</v>
      </c>
      <c r="BE393" s="151">
        <f t="shared" si="114"/>
        <v>1000000</v>
      </c>
      <c r="BG393" s="101">
        <f t="shared" si="111"/>
        <v>0</v>
      </c>
      <c r="BH393" s="101">
        <f>10+Module!$K$57/($AC$1+1)</f>
        <v>59.463036490617775</v>
      </c>
      <c r="BI393" s="101">
        <f>$AC$1*(25+Module!$I$6)</f>
        <v>202</v>
      </c>
      <c r="BJ393" s="101">
        <f>(BH393*($AC$1+1)*0.002488974)/($AC$1+1)*Module!$I$5*Module!$I$7</f>
        <v>45.656234094813776</v>
      </c>
      <c r="BK393" s="101">
        <f>$P$120*Module!$I$7*X393*Module!$I$5</f>
        <v>198.71100353190553</v>
      </c>
      <c r="BL393" s="151">
        <f t="shared" si="115"/>
        <v>1000000</v>
      </c>
    </row>
    <row r="394" spans="23:64" ht="15.75" hidden="1" thickBot="1">
      <c r="W394" s="777"/>
      <c r="X394" s="121">
        <f t="shared" si="116"/>
        <v>89</v>
      </c>
      <c r="Y394" s="122">
        <f>'calcul pneu pour calculateur'!P395</f>
        <v>172.99183049230243</v>
      </c>
      <c r="Z394" s="123">
        <f t="shared" si="104"/>
        <v>345.98366098460485</v>
      </c>
      <c r="AA394" s="123">
        <f t="shared" si="105"/>
        <v>518.97549147690734</v>
      </c>
      <c r="AB394" s="123">
        <f t="shared" si="106"/>
        <v>691.96732196920971</v>
      </c>
      <c r="AC394" s="123">
        <f t="shared" si="107"/>
        <v>864.95915246151208</v>
      </c>
      <c r="AK394" s="121">
        <f t="shared" si="117"/>
        <v>89</v>
      </c>
      <c r="AL394" s="101">
        <f t="shared" si="108"/>
        <v>0</v>
      </c>
      <c r="AM394" s="101">
        <f>10+Module!$K$57/($Z$1+1)</f>
        <v>133.65759122654444</v>
      </c>
      <c r="AN394" s="101">
        <f>$Z$1*(25+Module!$I$6)</f>
        <v>50.5</v>
      </c>
      <c r="AO394" s="101">
        <f>(AM394*($Z$1+1)*0.002488974)/($Z$1+1)*Module!$I$5*Module!$I$7</f>
        <v>102.62345540579445</v>
      </c>
      <c r="AP394" s="101">
        <f>$P$120*Module!$I$7*X394*Module!$I$5</f>
        <v>200.96908311749536</v>
      </c>
      <c r="AQ394" s="151">
        <f t="shared" si="112"/>
        <v>1000000</v>
      </c>
      <c r="AS394" s="101">
        <f t="shared" si="109"/>
        <v>0</v>
      </c>
      <c r="AT394" s="101">
        <f>10+Module!$K$57/($AA$1+1)</f>
        <v>92.438394151029627</v>
      </c>
      <c r="AU394" s="101">
        <f>$AA$1*(25+Module!$I$6)</f>
        <v>101</v>
      </c>
      <c r="AV394" s="101">
        <f>(AT394*($Z$1+1)*0.002488974)/($Z$1+1)*Module!$I$5*Module!$I$7</f>
        <v>70.974999121916298</v>
      </c>
      <c r="AW394" s="101">
        <f>$P$120*Module!$I$7*X394*Module!$I$5</f>
        <v>200.96908311749536</v>
      </c>
      <c r="AX394" s="151">
        <f t="shared" si="113"/>
        <v>1000000</v>
      </c>
      <c r="AZ394" s="101">
        <f t="shared" si="110"/>
        <v>0</v>
      </c>
      <c r="BA394" s="101">
        <f>10+Module!$K$57/($AB$1+1)</f>
        <v>71.82879561327222</v>
      </c>
      <c r="BB394" s="101">
        <f>$AB$1*(25+Module!$I$6)</f>
        <v>151.5</v>
      </c>
      <c r="BC394" s="101">
        <f>(BA394*($AB$1+1)*0.002488974)/($AB$1+1)*Module!$I$5*Module!$I$7</f>
        <v>55.150770979977231</v>
      </c>
      <c r="BD394" s="101">
        <f>$P$120*Module!$I$7*X394*Module!$I$5</f>
        <v>200.96908311749536</v>
      </c>
      <c r="BE394" s="151">
        <f t="shared" si="114"/>
        <v>1000000</v>
      </c>
      <c r="BG394" s="101">
        <f t="shared" si="111"/>
        <v>0</v>
      </c>
      <c r="BH394" s="101">
        <f>10+Module!$K$57/($AC$1+1)</f>
        <v>59.463036490617775</v>
      </c>
      <c r="BI394" s="101">
        <f>$AC$1*(25+Module!$I$6)</f>
        <v>202</v>
      </c>
      <c r="BJ394" s="101">
        <f>(BH394*($AC$1+1)*0.002488974)/($AC$1+1)*Module!$I$5*Module!$I$7</f>
        <v>45.656234094813776</v>
      </c>
      <c r="BK394" s="101">
        <f>$P$120*Module!$I$7*X394*Module!$I$5</f>
        <v>200.96908311749536</v>
      </c>
      <c r="BL394" s="151">
        <f t="shared" si="115"/>
        <v>1000000</v>
      </c>
    </row>
    <row r="395" spans="23:64" ht="15.75" hidden="1" thickBot="1">
      <c r="W395" s="777"/>
      <c r="X395" s="121">
        <f t="shared" si="116"/>
        <v>90</v>
      </c>
      <c r="Y395" s="122">
        <f>'calcul pneu pour calculateur'!P396</f>
        <v>172.33418469792858</v>
      </c>
      <c r="Z395" s="123">
        <f t="shared" si="104"/>
        <v>344.66836939585716</v>
      </c>
      <c r="AA395" s="123">
        <f t="shared" si="105"/>
        <v>517.00255409378576</v>
      </c>
      <c r="AB395" s="123">
        <f t="shared" si="106"/>
        <v>689.33673879171431</v>
      </c>
      <c r="AC395" s="123">
        <f t="shared" si="107"/>
        <v>861.67092348964286</v>
      </c>
      <c r="AK395" s="121">
        <f t="shared" si="117"/>
        <v>90</v>
      </c>
      <c r="AL395" s="101">
        <f t="shared" si="108"/>
        <v>0</v>
      </c>
      <c r="AM395" s="101">
        <f>10+Module!$K$57/($Z$1+1)</f>
        <v>133.65759122654444</v>
      </c>
      <c r="AN395" s="101">
        <f>$Z$1*(25+Module!$I$6)</f>
        <v>50.5</v>
      </c>
      <c r="AO395" s="101">
        <f>(AM395*($Z$1+1)*0.002488974)/($Z$1+1)*Module!$I$5*Module!$I$7</f>
        <v>102.62345540579445</v>
      </c>
      <c r="AP395" s="101">
        <f>$P$120*Module!$I$7*X395*Module!$I$5</f>
        <v>203.22716270308518</v>
      </c>
      <c r="AQ395" s="151">
        <f t="shared" si="112"/>
        <v>1000000</v>
      </c>
      <c r="AS395" s="101">
        <f t="shared" si="109"/>
        <v>0</v>
      </c>
      <c r="AT395" s="101">
        <f>10+Module!$K$57/($AA$1+1)</f>
        <v>92.438394151029627</v>
      </c>
      <c r="AU395" s="101">
        <f>$AA$1*(25+Module!$I$6)</f>
        <v>101</v>
      </c>
      <c r="AV395" s="101">
        <f>(AT395*($Z$1+1)*0.002488974)/($Z$1+1)*Module!$I$5*Module!$I$7</f>
        <v>70.974999121916298</v>
      </c>
      <c r="AW395" s="101">
        <f>$P$120*Module!$I$7*X395*Module!$I$5</f>
        <v>203.22716270308518</v>
      </c>
      <c r="AX395" s="151">
        <f t="shared" si="113"/>
        <v>1000000</v>
      </c>
      <c r="AZ395" s="101">
        <f t="shared" si="110"/>
        <v>0</v>
      </c>
      <c r="BA395" s="101">
        <f>10+Module!$K$57/($AB$1+1)</f>
        <v>71.82879561327222</v>
      </c>
      <c r="BB395" s="101">
        <f>$AB$1*(25+Module!$I$6)</f>
        <v>151.5</v>
      </c>
      <c r="BC395" s="101">
        <f>(BA395*($AB$1+1)*0.002488974)/($AB$1+1)*Module!$I$5*Module!$I$7</f>
        <v>55.150770979977231</v>
      </c>
      <c r="BD395" s="101">
        <f>$P$120*Module!$I$7*X395*Module!$I$5</f>
        <v>203.22716270308518</v>
      </c>
      <c r="BE395" s="151">
        <f t="shared" si="114"/>
        <v>1000000</v>
      </c>
      <c r="BG395" s="101">
        <f t="shared" si="111"/>
        <v>0</v>
      </c>
      <c r="BH395" s="101">
        <f>10+Module!$K$57/($AC$1+1)</f>
        <v>59.463036490617775</v>
      </c>
      <c r="BI395" s="101">
        <f>$AC$1*(25+Module!$I$6)</f>
        <v>202</v>
      </c>
      <c r="BJ395" s="101">
        <f>(BH395*($AC$1+1)*0.002488974)/($AC$1+1)*Module!$I$5*Module!$I$7</f>
        <v>45.656234094813776</v>
      </c>
      <c r="BK395" s="101">
        <f>$P$120*Module!$I$7*X395*Module!$I$5</f>
        <v>203.22716270308518</v>
      </c>
      <c r="BL395" s="151">
        <f t="shared" si="115"/>
        <v>1000000</v>
      </c>
    </row>
    <row r="396" spans="23:64" ht="15.75" hidden="1" thickBot="1">
      <c r="W396" s="777"/>
      <c r="X396" s="121">
        <f t="shared" si="116"/>
        <v>91</v>
      </c>
      <c r="Y396" s="122">
        <f>'calcul pneu pour calculateur'!P397</f>
        <v>171.67653890355473</v>
      </c>
      <c r="Z396" s="123">
        <f t="shared" si="104"/>
        <v>343.35307780710946</v>
      </c>
      <c r="AA396" s="123">
        <f t="shared" si="105"/>
        <v>515.02961671066419</v>
      </c>
      <c r="AB396" s="123">
        <f t="shared" si="106"/>
        <v>686.70615561421891</v>
      </c>
      <c r="AC396" s="123">
        <f t="shared" si="107"/>
        <v>858.38269451777364</v>
      </c>
      <c r="AK396" s="121">
        <f t="shared" si="117"/>
        <v>91</v>
      </c>
      <c r="AL396" s="101">
        <f t="shared" si="108"/>
        <v>0</v>
      </c>
      <c r="AM396" s="101">
        <f>10+Module!$K$57/($Z$1+1)</f>
        <v>133.65759122654444</v>
      </c>
      <c r="AN396" s="101">
        <f>$Z$1*(25+Module!$I$6)</f>
        <v>50.5</v>
      </c>
      <c r="AO396" s="101">
        <f>(AM396*($Z$1+1)*0.002488974)/($Z$1+1)*Module!$I$5*Module!$I$7</f>
        <v>102.62345540579445</v>
      </c>
      <c r="AP396" s="101">
        <f>$P$120*Module!$I$7*X396*Module!$I$5</f>
        <v>205.48524228867501</v>
      </c>
      <c r="AQ396" s="151">
        <f t="shared" si="112"/>
        <v>1000000</v>
      </c>
      <c r="AS396" s="101">
        <f t="shared" si="109"/>
        <v>0</v>
      </c>
      <c r="AT396" s="101">
        <f>10+Module!$K$57/($AA$1+1)</f>
        <v>92.438394151029627</v>
      </c>
      <c r="AU396" s="101">
        <f>$AA$1*(25+Module!$I$6)</f>
        <v>101</v>
      </c>
      <c r="AV396" s="101">
        <f>(AT396*($Z$1+1)*0.002488974)/($Z$1+1)*Module!$I$5*Module!$I$7</f>
        <v>70.974999121916298</v>
      </c>
      <c r="AW396" s="101">
        <f>$P$120*Module!$I$7*X396*Module!$I$5</f>
        <v>205.48524228867501</v>
      </c>
      <c r="AX396" s="151">
        <f t="shared" si="113"/>
        <v>1000000</v>
      </c>
      <c r="AZ396" s="101">
        <f t="shared" si="110"/>
        <v>0</v>
      </c>
      <c r="BA396" s="101">
        <f>10+Module!$K$57/($AB$1+1)</f>
        <v>71.82879561327222</v>
      </c>
      <c r="BB396" s="101">
        <f>$AB$1*(25+Module!$I$6)</f>
        <v>151.5</v>
      </c>
      <c r="BC396" s="101">
        <f>(BA396*($AB$1+1)*0.002488974)/($AB$1+1)*Module!$I$5*Module!$I$7</f>
        <v>55.150770979977231</v>
      </c>
      <c r="BD396" s="101">
        <f>$P$120*Module!$I$7*X396*Module!$I$5</f>
        <v>205.48524228867501</v>
      </c>
      <c r="BE396" s="151">
        <f t="shared" si="114"/>
        <v>1000000</v>
      </c>
      <c r="BG396" s="101">
        <f t="shared" si="111"/>
        <v>0</v>
      </c>
      <c r="BH396" s="101">
        <f>10+Module!$K$57/($AC$1+1)</f>
        <v>59.463036490617775</v>
      </c>
      <c r="BI396" s="101">
        <f>$AC$1*(25+Module!$I$6)</f>
        <v>202</v>
      </c>
      <c r="BJ396" s="101">
        <f>(BH396*($AC$1+1)*0.002488974)/($AC$1+1)*Module!$I$5*Module!$I$7</f>
        <v>45.656234094813776</v>
      </c>
      <c r="BK396" s="101">
        <f>$P$120*Module!$I$7*X396*Module!$I$5</f>
        <v>205.48524228867501</v>
      </c>
      <c r="BL396" s="151">
        <f t="shared" si="115"/>
        <v>1000000</v>
      </c>
    </row>
    <row r="397" spans="23:64" ht="15.75" hidden="1" thickBot="1">
      <c r="W397" s="777"/>
      <c r="X397" s="121">
        <f t="shared" si="116"/>
        <v>92</v>
      </c>
      <c r="Y397" s="122">
        <f>'calcul pneu pour calculateur'!P398</f>
        <v>171.01889310918091</v>
      </c>
      <c r="Z397" s="123">
        <f t="shared" si="104"/>
        <v>342.03778621836182</v>
      </c>
      <c r="AA397" s="123">
        <f t="shared" si="105"/>
        <v>513.05667932754272</v>
      </c>
      <c r="AB397" s="123">
        <f t="shared" si="106"/>
        <v>684.07557243672363</v>
      </c>
      <c r="AC397" s="123">
        <f t="shared" si="107"/>
        <v>855.09446554590454</v>
      </c>
      <c r="AK397" s="121">
        <f t="shared" si="117"/>
        <v>92</v>
      </c>
      <c r="AL397" s="101">
        <f t="shared" si="108"/>
        <v>0</v>
      </c>
      <c r="AM397" s="101">
        <f>10+Module!$K$57/($Z$1+1)</f>
        <v>133.65759122654444</v>
      </c>
      <c r="AN397" s="101">
        <f>$Z$1*(25+Module!$I$6)</f>
        <v>50.5</v>
      </c>
      <c r="AO397" s="101">
        <f>(AM397*($Z$1+1)*0.002488974)/($Z$1+1)*Module!$I$5*Module!$I$7</f>
        <v>102.62345540579445</v>
      </c>
      <c r="AP397" s="101">
        <f>$P$120*Module!$I$7*X397*Module!$I$5</f>
        <v>207.74332187426486</v>
      </c>
      <c r="AQ397" s="151">
        <f t="shared" si="112"/>
        <v>1000000</v>
      </c>
      <c r="AS397" s="101">
        <f t="shared" si="109"/>
        <v>0</v>
      </c>
      <c r="AT397" s="101">
        <f>10+Module!$K$57/($AA$1+1)</f>
        <v>92.438394151029627</v>
      </c>
      <c r="AU397" s="101">
        <f>$AA$1*(25+Module!$I$6)</f>
        <v>101</v>
      </c>
      <c r="AV397" s="101">
        <f>(AT397*($Z$1+1)*0.002488974)/($Z$1+1)*Module!$I$5*Module!$I$7</f>
        <v>70.974999121916298</v>
      </c>
      <c r="AW397" s="101">
        <f>$P$120*Module!$I$7*X397*Module!$I$5</f>
        <v>207.74332187426486</v>
      </c>
      <c r="AX397" s="151">
        <f t="shared" si="113"/>
        <v>1000000</v>
      </c>
      <c r="AZ397" s="101">
        <f t="shared" si="110"/>
        <v>0</v>
      </c>
      <c r="BA397" s="101">
        <f>10+Module!$K$57/($AB$1+1)</f>
        <v>71.82879561327222</v>
      </c>
      <c r="BB397" s="101">
        <f>$AB$1*(25+Module!$I$6)</f>
        <v>151.5</v>
      </c>
      <c r="BC397" s="101">
        <f>(BA397*($AB$1+1)*0.002488974)/($AB$1+1)*Module!$I$5*Module!$I$7</f>
        <v>55.150770979977231</v>
      </c>
      <c r="BD397" s="101">
        <f>$P$120*Module!$I$7*X397*Module!$I$5</f>
        <v>207.74332187426486</v>
      </c>
      <c r="BE397" s="151">
        <f t="shared" si="114"/>
        <v>1000000</v>
      </c>
      <c r="BG397" s="101">
        <f t="shared" si="111"/>
        <v>0</v>
      </c>
      <c r="BH397" s="101">
        <f>10+Module!$K$57/($AC$1+1)</f>
        <v>59.463036490617775</v>
      </c>
      <c r="BI397" s="101">
        <f>$AC$1*(25+Module!$I$6)</f>
        <v>202</v>
      </c>
      <c r="BJ397" s="101">
        <f>(BH397*($AC$1+1)*0.002488974)/($AC$1+1)*Module!$I$5*Module!$I$7</f>
        <v>45.656234094813776</v>
      </c>
      <c r="BK397" s="101">
        <f>$P$120*Module!$I$7*X397*Module!$I$5</f>
        <v>207.74332187426486</v>
      </c>
      <c r="BL397" s="151">
        <f t="shared" si="115"/>
        <v>1000000</v>
      </c>
    </row>
    <row r="398" spans="23:64" ht="15.75" hidden="1" thickBot="1">
      <c r="W398" s="777"/>
      <c r="X398" s="121">
        <f t="shared" si="116"/>
        <v>93</v>
      </c>
      <c r="Y398" s="122">
        <f>'calcul pneu pour calculateur'!P399</f>
        <v>170.36124731480709</v>
      </c>
      <c r="Z398" s="123">
        <f t="shared" si="104"/>
        <v>340.72249462961418</v>
      </c>
      <c r="AA398" s="123">
        <f t="shared" si="105"/>
        <v>511.08374194442126</v>
      </c>
      <c r="AB398" s="123">
        <f t="shared" si="106"/>
        <v>681.44498925922835</v>
      </c>
      <c r="AC398" s="123">
        <f t="shared" si="107"/>
        <v>851.80623657403544</v>
      </c>
      <c r="AK398" s="121">
        <f t="shared" si="117"/>
        <v>93</v>
      </c>
      <c r="AL398" s="101">
        <f t="shared" si="108"/>
        <v>0</v>
      </c>
      <c r="AM398" s="101">
        <f>10+Module!$K$57/($Z$1+1)</f>
        <v>133.65759122654444</v>
      </c>
      <c r="AN398" s="101">
        <f>$Z$1*(25+Module!$I$6)</f>
        <v>50.5</v>
      </c>
      <c r="AO398" s="101">
        <f>(AM398*($Z$1+1)*0.002488974)/($Z$1+1)*Module!$I$5*Module!$I$7</f>
        <v>102.62345540579445</v>
      </c>
      <c r="AP398" s="101">
        <f>$P$120*Module!$I$7*X398*Module!$I$5</f>
        <v>210.00140145985469</v>
      </c>
      <c r="AQ398" s="151">
        <f t="shared" si="112"/>
        <v>1000000</v>
      </c>
      <c r="AS398" s="101">
        <f t="shared" si="109"/>
        <v>0</v>
      </c>
      <c r="AT398" s="101">
        <f>10+Module!$K$57/($AA$1+1)</f>
        <v>92.438394151029627</v>
      </c>
      <c r="AU398" s="101">
        <f>$AA$1*(25+Module!$I$6)</f>
        <v>101</v>
      </c>
      <c r="AV398" s="101">
        <f>(AT398*($Z$1+1)*0.002488974)/($Z$1+1)*Module!$I$5*Module!$I$7</f>
        <v>70.974999121916298</v>
      </c>
      <c r="AW398" s="101">
        <f>$P$120*Module!$I$7*X398*Module!$I$5</f>
        <v>210.00140145985469</v>
      </c>
      <c r="AX398" s="151">
        <f t="shared" si="113"/>
        <v>1000000</v>
      </c>
      <c r="AZ398" s="101">
        <f t="shared" si="110"/>
        <v>0</v>
      </c>
      <c r="BA398" s="101">
        <f>10+Module!$K$57/($AB$1+1)</f>
        <v>71.82879561327222</v>
      </c>
      <c r="BB398" s="101">
        <f>$AB$1*(25+Module!$I$6)</f>
        <v>151.5</v>
      </c>
      <c r="BC398" s="101">
        <f>(BA398*($AB$1+1)*0.002488974)/($AB$1+1)*Module!$I$5*Module!$I$7</f>
        <v>55.150770979977231</v>
      </c>
      <c r="BD398" s="101">
        <f>$P$120*Module!$I$7*X398*Module!$I$5</f>
        <v>210.00140145985469</v>
      </c>
      <c r="BE398" s="151">
        <f t="shared" si="114"/>
        <v>1000000</v>
      </c>
      <c r="BG398" s="101">
        <f t="shared" si="111"/>
        <v>0</v>
      </c>
      <c r="BH398" s="101">
        <f>10+Module!$K$57/($AC$1+1)</f>
        <v>59.463036490617775</v>
      </c>
      <c r="BI398" s="101">
        <f>$AC$1*(25+Module!$I$6)</f>
        <v>202</v>
      </c>
      <c r="BJ398" s="101">
        <f>(BH398*($AC$1+1)*0.002488974)/($AC$1+1)*Module!$I$5*Module!$I$7</f>
        <v>45.656234094813776</v>
      </c>
      <c r="BK398" s="101">
        <f>$P$120*Module!$I$7*X398*Module!$I$5</f>
        <v>210.00140145985469</v>
      </c>
      <c r="BL398" s="151">
        <f t="shared" si="115"/>
        <v>1000000</v>
      </c>
    </row>
    <row r="399" spans="23:64" ht="15.75" hidden="1" thickBot="1">
      <c r="W399" s="777"/>
      <c r="X399" s="121">
        <f t="shared" si="116"/>
        <v>94</v>
      </c>
      <c r="Y399" s="122">
        <f>'calcul pneu pour calculateur'!P400</f>
        <v>169.70360152043321</v>
      </c>
      <c r="Z399" s="123">
        <f t="shared" si="104"/>
        <v>339.40720304086642</v>
      </c>
      <c r="AA399" s="123">
        <f t="shared" si="105"/>
        <v>509.11080456129963</v>
      </c>
      <c r="AB399" s="123">
        <f t="shared" si="106"/>
        <v>678.81440608173284</v>
      </c>
      <c r="AC399" s="123">
        <f t="shared" si="107"/>
        <v>848.51800760216611</v>
      </c>
      <c r="AK399" s="121">
        <f t="shared" si="117"/>
        <v>94</v>
      </c>
      <c r="AL399" s="101">
        <f t="shared" si="108"/>
        <v>0</v>
      </c>
      <c r="AM399" s="101">
        <f>10+Module!$K$57/($Z$1+1)</f>
        <v>133.65759122654444</v>
      </c>
      <c r="AN399" s="101">
        <f>$Z$1*(25+Module!$I$6)</f>
        <v>50.5</v>
      </c>
      <c r="AO399" s="101">
        <f>(AM399*($Z$1+1)*0.002488974)/($Z$1+1)*Module!$I$5*Module!$I$7</f>
        <v>102.62345540579445</v>
      </c>
      <c r="AP399" s="101">
        <f>$P$120*Module!$I$7*X399*Module!$I$5</f>
        <v>212.25948104544452</v>
      </c>
      <c r="AQ399" s="151">
        <f t="shared" si="112"/>
        <v>1000000</v>
      </c>
      <c r="AS399" s="101">
        <f t="shared" si="109"/>
        <v>0</v>
      </c>
      <c r="AT399" s="101">
        <f>10+Module!$K$57/($AA$1+1)</f>
        <v>92.438394151029627</v>
      </c>
      <c r="AU399" s="101">
        <f>$AA$1*(25+Module!$I$6)</f>
        <v>101</v>
      </c>
      <c r="AV399" s="101">
        <f>(AT399*($Z$1+1)*0.002488974)/($Z$1+1)*Module!$I$5*Module!$I$7</f>
        <v>70.974999121916298</v>
      </c>
      <c r="AW399" s="101">
        <f>$P$120*Module!$I$7*X399*Module!$I$5</f>
        <v>212.25948104544452</v>
      </c>
      <c r="AX399" s="151">
        <f t="shared" si="113"/>
        <v>1000000</v>
      </c>
      <c r="AZ399" s="101">
        <f t="shared" si="110"/>
        <v>0</v>
      </c>
      <c r="BA399" s="101">
        <f>10+Module!$K$57/($AB$1+1)</f>
        <v>71.82879561327222</v>
      </c>
      <c r="BB399" s="101">
        <f>$AB$1*(25+Module!$I$6)</f>
        <v>151.5</v>
      </c>
      <c r="BC399" s="101">
        <f>(BA399*($AB$1+1)*0.002488974)/($AB$1+1)*Module!$I$5*Module!$I$7</f>
        <v>55.150770979977231</v>
      </c>
      <c r="BD399" s="101">
        <f>$P$120*Module!$I$7*X399*Module!$I$5</f>
        <v>212.25948104544452</v>
      </c>
      <c r="BE399" s="151">
        <f t="shared" si="114"/>
        <v>1000000</v>
      </c>
      <c r="BG399" s="101">
        <f t="shared" si="111"/>
        <v>0</v>
      </c>
      <c r="BH399" s="101">
        <f>10+Module!$K$57/($AC$1+1)</f>
        <v>59.463036490617775</v>
      </c>
      <c r="BI399" s="101">
        <f>$AC$1*(25+Module!$I$6)</f>
        <v>202</v>
      </c>
      <c r="BJ399" s="101">
        <f>(BH399*($AC$1+1)*0.002488974)/($AC$1+1)*Module!$I$5*Module!$I$7</f>
        <v>45.656234094813776</v>
      </c>
      <c r="BK399" s="101">
        <f>$P$120*Module!$I$7*X399*Module!$I$5</f>
        <v>212.25948104544452</v>
      </c>
      <c r="BL399" s="151">
        <f t="shared" si="115"/>
        <v>1000000</v>
      </c>
    </row>
    <row r="400" spans="23:64" ht="15.75" hidden="1" thickBot="1">
      <c r="W400" s="777"/>
      <c r="X400" s="121">
        <f t="shared" si="116"/>
        <v>95</v>
      </c>
      <c r="Y400" s="122">
        <f>'calcul pneu pour calculateur'!P401</f>
        <v>169.04595572605939</v>
      </c>
      <c r="Z400" s="123">
        <f t="shared" si="104"/>
        <v>338.09191145211878</v>
      </c>
      <c r="AA400" s="123">
        <f t="shared" si="105"/>
        <v>507.13786717817817</v>
      </c>
      <c r="AB400" s="123">
        <f t="shared" si="106"/>
        <v>676.18382290423756</v>
      </c>
      <c r="AC400" s="123">
        <f t="shared" si="107"/>
        <v>845.22977863029701</v>
      </c>
      <c r="AK400" s="121">
        <f t="shared" si="117"/>
        <v>95</v>
      </c>
      <c r="AL400" s="101">
        <f t="shared" si="108"/>
        <v>0</v>
      </c>
      <c r="AM400" s="101">
        <f>10+Module!$K$57/($Z$1+1)</f>
        <v>133.65759122654444</v>
      </c>
      <c r="AN400" s="101">
        <f>$Z$1*(25+Module!$I$6)</f>
        <v>50.5</v>
      </c>
      <c r="AO400" s="101">
        <f>(AM400*($Z$1+1)*0.002488974)/($Z$1+1)*Module!$I$5*Module!$I$7</f>
        <v>102.62345540579445</v>
      </c>
      <c r="AP400" s="101">
        <f>$P$120*Module!$I$7*X400*Module!$I$5</f>
        <v>214.51756063103434</v>
      </c>
      <c r="AQ400" s="151">
        <f t="shared" si="112"/>
        <v>1000000</v>
      </c>
      <c r="AS400" s="101">
        <f t="shared" si="109"/>
        <v>0</v>
      </c>
      <c r="AT400" s="101">
        <f>10+Module!$K$57/($AA$1+1)</f>
        <v>92.438394151029627</v>
      </c>
      <c r="AU400" s="101">
        <f>$AA$1*(25+Module!$I$6)</f>
        <v>101</v>
      </c>
      <c r="AV400" s="101">
        <f>(AT400*($Z$1+1)*0.002488974)/($Z$1+1)*Module!$I$5*Module!$I$7</f>
        <v>70.974999121916298</v>
      </c>
      <c r="AW400" s="101">
        <f>$P$120*Module!$I$7*X400*Module!$I$5</f>
        <v>214.51756063103434</v>
      </c>
      <c r="AX400" s="151">
        <f t="shared" si="113"/>
        <v>1000000</v>
      </c>
      <c r="AZ400" s="101">
        <f t="shared" si="110"/>
        <v>0</v>
      </c>
      <c r="BA400" s="101">
        <f>10+Module!$K$57/($AB$1+1)</f>
        <v>71.82879561327222</v>
      </c>
      <c r="BB400" s="101">
        <f>$AB$1*(25+Module!$I$6)</f>
        <v>151.5</v>
      </c>
      <c r="BC400" s="101">
        <f>(BA400*($AB$1+1)*0.002488974)/($AB$1+1)*Module!$I$5*Module!$I$7</f>
        <v>55.150770979977231</v>
      </c>
      <c r="BD400" s="101">
        <f>$P$120*Module!$I$7*X400*Module!$I$5</f>
        <v>214.51756063103434</v>
      </c>
      <c r="BE400" s="151">
        <f t="shared" si="114"/>
        <v>1000000</v>
      </c>
      <c r="BG400" s="101">
        <f t="shared" si="111"/>
        <v>0</v>
      </c>
      <c r="BH400" s="101">
        <f>10+Module!$K$57/($AC$1+1)</f>
        <v>59.463036490617775</v>
      </c>
      <c r="BI400" s="101">
        <f>$AC$1*(25+Module!$I$6)</f>
        <v>202</v>
      </c>
      <c r="BJ400" s="101">
        <f>(BH400*($AC$1+1)*0.002488974)/($AC$1+1)*Module!$I$5*Module!$I$7</f>
        <v>45.656234094813776</v>
      </c>
      <c r="BK400" s="101">
        <f>$P$120*Module!$I$7*X400*Module!$I$5</f>
        <v>214.51756063103434</v>
      </c>
      <c r="BL400" s="151">
        <f t="shared" si="115"/>
        <v>1000000</v>
      </c>
    </row>
    <row r="401" spans="23:64" ht="15.75" hidden="1" thickBot="1">
      <c r="W401" s="777"/>
      <c r="X401" s="121">
        <f t="shared" si="116"/>
        <v>96</v>
      </c>
      <c r="Y401" s="122">
        <f>'calcul pneu pour calculateur'!P402</f>
        <v>168.38830993168557</v>
      </c>
      <c r="Z401" s="123">
        <f t="shared" si="104"/>
        <v>336.77661986337114</v>
      </c>
      <c r="AA401" s="123">
        <f t="shared" si="105"/>
        <v>505.16492979505671</v>
      </c>
      <c r="AB401" s="123">
        <f t="shared" si="106"/>
        <v>673.55323972674228</v>
      </c>
      <c r="AC401" s="123">
        <f t="shared" si="107"/>
        <v>841.9415496584279</v>
      </c>
      <c r="AK401" s="121">
        <f t="shared" si="117"/>
        <v>96</v>
      </c>
      <c r="AL401" s="101">
        <f t="shared" si="108"/>
        <v>0</v>
      </c>
      <c r="AM401" s="101">
        <f>10+Module!$K$57/($Z$1+1)</f>
        <v>133.65759122654444</v>
      </c>
      <c r="AN401" s="101">
        <f>$Z$1*(25+Module!$I$6)</f>
        <v>50.5</v>
      </c>
      <c r="AO401" s="101">
        <f>(AM401*($Z$1+1)*0.002488974)/($Z$1+1)*Module!$I$5*Module!$I$7</f>
        <v>102.62345540579445</v>
      </c>
      <c r="AP401" s="101">
        <f>$P$120*Module!$I$7*X401*Module!$I$5</f>
        <v>216.77564021662423</v>
      </c>
      <c r="AQ401" s="151">
        <f t="shared" si="112"/>
        <v>1000000</v>
      </c>
      <c r="AS401" s="101">
        <f t="shared" si="109"/>
        <v>0</v>
      </c>
      <c r="AT401" s="101">
        <f>10+Module!$K$57/($AA$1+1)</f>
        <v>92.438394151029627</v>
      </c>
      <c r="AU401" s="101">
        <f>$AA$1*(25+Module!$I$6)</f>
        <v>101</v>
      </c>
      <c r="AV401" s="101">
        <f>(AT401*($Z$1+1)*0.002488974)/($Z$1+1)*Module!$I$5*Module!$I$7</f>
        <v>70.974999121916298</v>
      </c>
      <c r="AW401" s="101">
        <f>$P$120*Module!$I$7*X401*Module!$I$5</f>
        <v>216.77564021662423</v>
      </c>
      <c r="AX401" s="151">
        <f t="shared" si="113"/>
        <v>1000000</v>
      </c>
      <c r="AZ401" s="101">
        <f t="shared" si="110"/>
        <v>0</v>
      </c>
      <c r="BA401" s="101">
        <f>10+Module!$K$57/($AB$1+1)</f>
        <v>71.82879561327222</v>
      </c>
      <c r="BB401" s="101">
        <f>$AB$1*(25+Module!$I$6)</f>
        <v>151.5</v>
      </c>
      <c r="BC401" s="101">
        <f>(BA401*($AB$1+1)*0.002488974)/($AB$1+1)*Module!$I$5*Module!$I$7</f>
        <v>55.150770979977231</v>
      </c>
      <c r="BD401" s="101">
        <f>$P$120*Module!$I$7*X401*Module!$I$5</f>
        <v>216.77564021662423</v>
      </c>
      <c r="BE401" s="151">
        <f t="shared" si="114"/>
        <v>1000000</v>
      </c>
      <c r="BG401" s="101">
        <f t="shared" si="111"/>
        <v>0</v>
      </c>
      <c r="BH401" s="101">
        <f>10+Module!$K$57/($AC$1+1)</f>
        <v>59.463036490617775</v>
      </c>
      <c r="BI401" s="101">
        <f>$AC$1*(25+Module!$I$6)</f>
        <v>202</v>
      </c>
      <c r="BJ401" s="101">
        <f>(BH401*($AC$1+1)*0.002488974)/($AC$1+1)*Module!$I$5*Module!$I$7</f>
        <v>45.656234094813776</v>
      </c>
      <c r="BK401" s="101">
        <f>$P$120*Module!$I$7*X401*Module!$I$5</f>
        <v>216.77564021662423</v>
      </c>
      <c r="BL401" s="151">
        <f t="shared" si="115"/>
        <v>1000000</v>
      </c>
    </row>
    <row r="402" spans="23:64" ht="15.75" hidden="1" thickBot="1">
      <c r="W402" s="777"/>
      <c r="X402" s="121">
        <f t="shared" si="116"/>
        <v>97</v>
      </c>
      <c r="Y402" s="122">
        <f>'calcul pneu pour calculateur'!P403</f>
        <v>167.73066413731175</v>
      </c>
      <c r="Z402" s="123">
        <f t="shared" si="104"/>
        <v>335.4613282746235</v>
      </c>
      <c r="AA402" s="123">
        <f t="shared" si="105"/>
        <v>503.19199241193525</v>
      </c>
      <c r="AB402" s="123">
        <f t="shared" si="106"/>
        <v>670.92265654924699</v>
      </c>
      <c r="AC402" s="123">
        <f t="shared" si="107"/>
        <v>838.6533206865588</v>
      </c>
      <c r="AK402" s="121">
        <f t="shared" si="117"/>
        <v>97</v>
      </c>
      <c r="AL402" s="101">
        <f t="shared" si="108"/>
        <v>0</v>
      </c>
      <c r="AM402" s="101">
        <f>10+Module!$K$57/($Z$1+1)</f>
        <v>133.65759122654444</v>
      </c>
      <c r="AN402" s="101">
        <f>$Z$1*(25+Module!$I$6)</f>
        <v>50.5</v>
      </c>
      <c r="AO402" s="101">
        <f>(AM402*($Z$1+1)*0.002488974)/($Z$1+1)*Module!$I$5*Module!$I$7</f>
        <v>102.62345540579445</v>
      </c>
      <c r="AP402" s="101">
        <f>$P$120*Module!$I$7*X402*Module!$I$5</f>
        <v>219.03371980221405</v>
      </c>
      <c r="AQ402" s="151">
        <f t="shared" si="112"/>
        <v>1000000</v>
      </c>
      <c r="AS402" s="101">
        <f t="shared" si="109"/>
        <v>0</v>
      </c>
      <c r="AT402" s="101">
        <f>10+Module!$K$57/($AA$1+1)</f>
        <v>92.438394151029627</v>
      </c>
      <c r="AU402" s="101">
        <f>$AA$1*(25+Module!$I$6)</f>
        <v>101</v>
      </c>
      <c r="AV402" s="101">
        <f>(AT402*($Z$1+1)*0.002488974)/($Z$1+1)*Module!$I$5*Module!$I$7</f>
        <v>70.974999121916298</v>
      </c>
      <c r="AW402" s="101">
        <f>$P$120*Module!$I$7*X402*Module!$I$5</f>
        <v>219.03371980221405</v>
      </c>
      <c r="AX402" s="151">
        <f t="shared" si="113"/>
        <v>1000000</v>
      </c>
      <c r="AZ402" s="101">
        <f t="shared" si="110"/>
        <v>0</v>
      </c>
      <c r="BA402" s="101">
        <f>10+Module!$K$57/($AB$1+1)</f>
        <v>71.82879561327222</v>
      </c>
      <c r="BB402" s="101">
        <f>$AB$1*(25+Module!$I$6)</f>
        <v>151.5</v>
      </c>
      <c r="BC402" s="101">
        <f>(BA402*($AB$1+1)*0.002488974)/($AB$1+1)*Module!$I$5*Module!$I$7</f>
        <v>55.150770979977231</v>
      </c>
      <c r="BD402" s="101">
        <f>$P$120*Module!$I$7*X402*Module!$I$5</f>
        <v>219.03371980221405</v>
      </c>
      <c r="BE402" s="151">
        <f t="shared" si="114"/>
        <v>1000000</v>
      </c>
      <c r="BG402" s="101">
        <f t="shared" si="111"/>
        <v>0</v>
      </c>
      <c r="BH402" s="101">
        <f>10+Module!$K$57/($AC$1+1)</f>
        <v>59.463036490617775</v>
      </c>
      <c r="BI402" s="101">
        <f>$AC$1*(25+Module!$I$6)</f>
        <v>202</v>
      </c>
      <c r="BJ402" s="101">
        <f>(BH402*($AC$1+1)*0.002488974)/($AC$1+1)*Module!$I$5*Module!$I$7</f>
        <v>45.656234094813776</v>
      </c>
      <c r="BK402" s="101">
        <f>$P$120*Module!$I$7*X402*Module!$I$5</f>
        <v>219.03371980221405</v>
      </c>
      <c r="BL402" s="151">
        <f t="shared" si="115"/>
        <v>1000000</v>
      </c>
    </row>
    <row r="403" spans="23:64" ht="15.75" hidden="1" thickBot="1">
      <c r="W403" s="777"/>
      <c r="X403" s="121">
        <f t="shared" si="116"/>
        <v>98</v>
      </c>
      <c r="Y403" s="122">
        <f>'calcul pneu pour calculateur'!P404</f>
        <v>167.07301834293793</v>
      </c>
      <c r="Z403" s="123">
        <f t="shared" si="104"/>
        <v>334.14603668587586</v>
      </c>
      <c r="AA403" s="123">
        <f t="shared" si="105"/>
        <v>501.21905502881378</v>
      </c>
      <c r="AB403" s="123">
        <f t="shared" si="106"/>
        <v>668.29207337175171</v>
      </c>
      <c r="AC403" s="123">
        <f t="shared" si="107"/>
        <v>835.3650917146897</v>
      </c>
      <c r="AK403" s="121">
        <f t="shared" si="117"/>
        <v>98</v>
      </c>
      <c r="AL403" s="101">
        <f t="shared" si="108"/>
        <v>0</v>
      </c>
      <c r="AM403" s="101">
        <f>10+Module!$K$57/($Z$1+1)</f>
        <v>133.65759122654444</v>
      </c>
      <c r="AN403" s="101">
        <f>$Z$1*(25+Module!$I$6)</f>
        <v>50.5</v>
      </c>
      <c r="AO403" s="101">
        <f>(AM403*($Z$1+1)*0.002488974)/($Z$1+1)*Module!$I$5*Module!$I$7</f>
        <v>102.62345540579445</v>
      </c>
      <c r="AP403" s="101">
        <f>$P$120*Module!$I$7*X403*Module!$I$5</f>
        <v>221.29179938780388</v>
      </c>
      <c r="AQ403" s="151">
        <f t="shared" si="112"/>
        <v>1000000</v>
      </c>
      <c r="AS403" s="101">
        <f t="shared" si="109"/>
        <v>0</v>
      </c>
      <c r="AT403" s="101">
        <f>10+Module!$K$57/($AA$1+1)</f>
        <v>92.438394151029627</v>
      </c>
      <c r="AU403" s="101">
        <f>$AA$1*(25+Module!$I$6)</f>
        <v>101</v>
      </c>
      <c r="AV403" s="101">
        <f>(AT403*($Z$1+1)*0.002488974)/($Z$1+1)*Module!$I$5*Module!$I$7</f>
        <v>70.974999121916298</v>
      </c>
      <c r="AW403" s="101">
        <f>$P$120*Module!$I$7*X403*Module!$I$5</f>
        <v>221.29179938780388</v>
      </c>
      <c r="AX403" s="151">
        <f t="shared" si="113"/>
        <v>1000000</v>
      </c>
      <c r="AZ403" s="101">
        <f t="shared" si="110"/>
        <v>0</v>
      </c>
      <c r="BA403" s="101">
        <f>10+Module!$K$57/($AB$1+1)</f>
        <v>71.82879561327222</v>
      </c>
      <c r="BB403" s="101">
        <f>$AB$1*(25+Module!$I$6)</f>
        <v>151.5</v>
      </c>
      <c r="BC403" s="101">
        <f>(BA403*($AB$1+1)*0.002488974)/($AB$1+1)*Module!$I$5*Module!$I$7</f>
        <v>55.150770979977231</v>
      </c>
      <c r="BD403" s="101">
        <f>$P$120*Module!$I$7*X403*Module!$I$5</f>
        <v>221.29179938780388</v>
      </c>
      <c r="BE403" s="151">
        <f t="shared" si="114"/>
        <v>1000000</v>
      </c>
      <c r="BG403" s="101">
        <f t="shared" si="111"/>
        <v>0</v>
      </c>
      <c r="BH403" s="101">
        <f>10+Module!$K$57/($AC$1+1)</f>
        <v>59.463036490617775</v>
      </c>
      <c r="BI403" s="101">
        <f>$AC$1*(25+Module!$I$6)</f>
        <v>202</v>
      </c>
      <c r="BJ403" s="101">
        <f>(BH403*($AC$1+1)*0.002488974)/($AC$1+1)*Module!$I$5*Module!$I$7</f>
        <v>45.656234094813776</v>
      </c>
      <c r="BK403" s="101">
        <f>$P$120*Module!$I$7*X403*Module!$I$5</f>
        <v>221.29179938780388</v>
      </c>
      <c r="BL403" s="151">
        <f t="shared" si="115"/>
        <v>1000000</v>
      </c>
    </row>
    <row r="404" spans="23:64" ht="15.75" hidden="1" thickBot="1">
      <c r="W404" s="777"/>
      <c r="X404" s="121">
        <f t="shared" si="116"/>
        <v>99</v>
      </c>
      <c r="Y404" s="122">
        <f>'calcul pneu pour calculateur'!P405</f>
        <v>166.41537254856405</v>
      </c>
      <c r="Z404" s="123">
        <f t="shared" si="104"/>
        <v>332.8307450971281</v>
      </c>
      <c r="AA404" s="123">
        <f t="shared" si="105"/>
        <v>499.24611764569215</v>
      </c>
      <c r="AB404" s="123">
        <f t="shared" si="106"/>
        <v>665.6614901942562</v>
      </c>
      <c r="AC404" s="123">
        <f t="shared" si="107"/>
        <v>832.07686274282025</v>
      </c>
      <c r="AK404" s="121">
        <f t="shared" si="117"/>
        <v>99</v>
      </c>
      <c r="AL404" s="101">
        <f t="shared" si="108"/>
        <v>0</v>
      </c>
      <c r="AM404" s="101">
        <f>10+Module!$K$57/($Z$1+1)</f>
        <v>133.65759122654444</v>
      </c>
      <c r="AN404" s="101">
        <f>$Z$1*(25+Module!$I$6)</f>
        <v>50.5</v>
      </c>
      <c r="AO404" s="101">
        <f>(AM404*($Z$1+1)*0.002488974)/($Z$1+1)*Module!$I$5*Module!$I$7</f>
        <v>102.62345540579445</v>
      </c>
      <c r="AP404" s="101">
        <f>$P$120*Module!$I$7*X404*Module!$I$5</f>
        <v>223.5498789733937</v>
      </c>
      <c r="AQ404" s="151">
        <f t="shared" si="112"/>
        <v>1000000</v>
      </c>
      <c r="AS404" s="101">
        <f t="shared" si="109"/>
        <v>0</v>
      </c>
      <c r="AT404" s="101">
        <f>10+Module!$K$57/($AA$1+1)</f>
        <v>92.438394151029627</v>
      </c>
      <c r="AU404" s="101">
        <f>$AA$1*(25+Module!$I$6)</f>
        <v>101</v>
      </c>
      <c r="AV404" s="101">
        <f>(AT404*($Z$1+1)*0.002488974)/($Z$1+1)*Module!$I$5*Module!$I$7</f>
        <v>70.974999121916298</v>
      </c>
      <c r="AW404" s="101">
        <f>$P$120*Module!$I$7*X404*Module!$I$5</f>
        <v>223.5498789733937</v>
      </c>
      <c r="AX404" s="151">
        <f t="shared" si="113"/>
        <v>1000000</v>
      </c>
      <c r="AZ404" s="101">
        <f t="shared" si="110"/>
        <v>0</v>
      </c>
      <c r="BA404" s="101">
        <f>10+Module!$K$57/($AB$1+1)</f>
        <v>71.82879561327222</v>
      </c>
      <c r="BB404" s="101">
        <f>$AB$1*(25+Module!$I$6)</f>
        <v>151.5</v>
      </c>
      <c r="BC404" s="101">
        <f>(BA404*($AB$1+1)*0.002488974)/($AB$1+1)*Module!$I$5*Module!$I$7</f>
        <v>55.150770979977231</v>
      </c>
      <c r="BD404" s="101">
        <f>$P$120*Module!$I$7*X404*Module!$I$5</f>
        <v>223.5498789733937</v>
      </c>
      <c r="BE404" s="151">
        <f t="shared" si="114"/>
        <v>1000000</v>
      </c>
      <c r="BG404" s="101">
        <f t="shared" si="111"/>
        <v>0</v>
      </c>
      <c r="BH404" s="101">
        <f>10+Module!$K$57/($AC$1+1)</f>
        <v>59.463036490617775</v>
      </c>
      <c r="BI404" s="101">
        <f>$AC$1*(25+Module!$I$6)</f>
        <v>202</v>
      </c>
      <c r="BJ404" s="101">
        <f>(BH404*($AC$1+1)*0.002488974)/($AC$1+1)*Module!$I$5*Module!$I$7</f>
        <v>45.656234094813776</v>
      </c>
      <c r="BK404" s="101">
        <f>$P$120*Module!$I$7*X404*Module!$I$5</f>
        <v>223.5498789733937</v>
      </c>
      <c r="BL404" s="151">
        <f t="shared" si="115"/>
        <v>1000000</v>
      </c>
    </row>
    <row r="405" spans="23:64" ht="15.75" hidden="1" thickBot="1">
      <c r="W405" s="778"/>
      <c r="X405" s="121">
        <f t="shared" si="116"/>
        <v>100</v>
      </c>
      <c r="Y405" s="122">
        <f>'calcul pneu pour calculateur'!P406</f>
        <v>165.75772675419023</v>
      </c>
      <c r="Z405" s="123">
        <f t="shared" si="104"/>
        <v>331.51545350838046</v>
      </c>
      <c r="AA405" s="123">
        <f t="shared" si="105"/>
        <v>497.27318026257069</v>
      </c>
      <c r="AB405" s="123">
        <f t="shared" si="106"/>
        <v>663.03090701676092</v>
      </c>
      <c r="AC405" s="123">
        <f t="shared" si="107"/>
        <v>828.78863377095115</v>
      </c>
      <c r="AK405" s="121">
        <f t="shared" si="117"/>
        <v>100</v>
      </c>
      <c r="AL405" s="101">
        <f>$H$64</f>
        <v>0</v>
      </c>
      <c r="AM405" s="101">
        <f>10+Module!$K$57/($Z$1+1)</f>
        <v>133.65759122654444</v>
      </c>
      <c r="AN405" s="101">
        <f>$Z$1*(25+Module!$I$6)</f>
        <v>50.5</v>
      </c>
      <c r="AO405" s="101">
        <f>(AM405*($Z$1+1)*0.002488974)/($Z$1+1)*Module!$I$5*Module!$I$7</f>
        <v>102.62345540579445</v>
      </c>
      <c r="AP405" s="101">
        <f>$P$120*Module!$I$7*X405*Module!$I$5</f>
        <v>225.80795855898356</v>
      </c>
      <c r="AQ405" s="151">
        <f t="shared" si="112"/>
        <v>1000000</v>
      </c>
      <c r="AS405" s="101">
        <f t="shared" si="109"/>
        <v>0</v>
      </c>
      <c r="AT405" s="101">
        <f>10+Module!$K$57/($AA$1+1)</f>
        <v>92.438394151029627</v>
      </c>
      <c r="AU405" s="101">
        <f>$AA$1*(25+Module!$I$6)</f>
        <v>101</v>
      </c>
      <c r="AV405" s="101">
        <f>(AT405*($Z$1+1)*0.002488974)/($Z$1+1)*Module!$I$5*Module!$I$7</f>
        <v>70.974999121916298</v>
      </c>
      <c r="AW405" s="101">
        <f>$P$120*Module!$I$7*X405*Module!$I$5</f>
        <v>225.80795855898356</v>
      </c>
      <c r="AX405" s="151">
        <f t="shared" si="113"/>
        <v>1000000</v>
      </c>
      <c r="AZ405" s="101">
        <f t="shared" si="110"/>
        <v>0</v>
      </c>
      <c r="BA405" s="101">
        <f>10+Module!$K$57/($AB$1+1)</f>
        <v>71.82879561327222</v>
      </c>
      <c r="BB405" s="101">
        <f>$AB$1*(25+Module!$I$6)</f>
        <v>151.5</v>
      </c>
      <c r="BC405" s="101">
        <f>(BA405*($AB$1+1)*0.002488974)/($AB$1+1)*Module!$I$5*Module!$I$7</f>
        <v>55.150770979977231</v>
      </c>
      <c r="BD405" s="101">
        <f>$P$120*Module!$I$7*X405*Module!$I$5</f>
        <v>225.80795855898356</v>
      </c>
      <c r="BE405" s="151">
        <f t="shared" si="114"/>
        <v>1000000</v>
      </c>
      <c r="BG405" s="101">
        <f>$H$64</f>
        <v>0</v>
      </c>
      <c r="BH405" s="101">
        <f>10+Module!$K$57/($AC$1+1)</f>
        <v>59.463036490617775</v>
      </c>
      <c r="BI405" s="101">
        <f>$AC$1*(25+Module!$I$6)</f>
        <v>202</v>
      </c>
      <c r="BJ405" s="101">
        <f>(BH405*($AC$1+1)*0.002488974)/($AC$1+1)*Module!$I$5*Module!$I$7</f>
        <v>45.656234094813776</v>
      </c>
      <c r="BK405" s="101">
        <f>$P$120*Module!$I$7*X405*Module!$I$5</f>
        <v>225.80795855898356</v>
      </c>
      <c r="BL405" s="151">
        <f t="shared" si="115"/>
        <v>1000000</v>
      </c>
    </row>
    <row r="406" spans="23:64" ht="15.75" hidden="1" customHeight="1" thickBot="1">
      <c r="W406" s="776" t="s">
        <v>256</v>
      </c>
      <c r="X406" s="121">
        <v>0</v>
      </c>
      <c r="Y406" s="122">
        <f>Y305+(Y305*15)/100</f>
        <v>266.25065212030978</v>
      </c>
      <c r="Z406" s="123">
        <f t="shared" si="104"/>
        <v>532.50130424061956</v>
      </c>
      <c r="AA406" s="123">
        <f t="shared" si="105"/>
        <v>798.7519563609294</v>
      </c>
      <c r="AB406" s="123">
        <f t="shared" si="106"/>
        <v>1065.0026084812391</v>
      </c>
      <c r="AC406" s="123">
        <f t="shared" si="107"/>
        <v>1331.2532606015488</v>
      </c>
      <c r="AL406" s="101">
        <v>6718.3264784946232</v>
      </c>
      <c r="AM406" s="101">
        <v>114</v>
      </c>
      <c r="AN406" s="101">
        <v>50.5</v>
      </c>
      <c r="AO406" s="101">
        <v>89.528021433899994</v>
      </c>
      <c r="AP406" s="101">
        <v>230.96191739060464</v>
      </c>
      <c r="AQ406" s="101">
        <v>6627.3925825379183</v>
      </c>
      <c r="AS406" s="101">
        <v>6718.3264784946232</v>
      </c>
      <c r="AT406" s="101">
        <v>76</v>
      </c>
      <c r="AU406" s="101">
        <v>101</v>
      </c>
      <c r="AV406" s="101">
        <v>59.685347622599998</v>
      </c>
      <c r="AW406" s="101">
        <v>230.96191739060464</v>
      </c>
      <c r="AX406" s="101">
        <v>6648.049908726618</v>
      </c>
      <c r="AZ406" s="101">
        <v>6718.3264784946232</v>
      </c>
      <c r="BA406" s="101">
        <v>57</v>
      </c>
      <c r="BB406" s="101">
        <v>151.5</v>
      </c>
      <c r="BC406" s="101">
        <v>44.764010716949997</v>
      </c>
      <c r="BD406" s="101">
        <v>230.96191739060464</v>
      </c>
      <c r="BE406" s="101">
        <v>6683.6285718209683</v>
      </c>
      <c r="BG406" s="101">
        <v>6718.3264784946232</v>
      </c>
      <c r="BH406" s="101">
        <v>45.6</v>
      </c>
      <c r="BI406" s="101">
        <v>202</v>
      </c>
      <c r="BJ406" s="101">
        <v>35.811208573560002</v>
      </c>
      <c r="BK406" s="101">
        <v>230.96191739060464</v>
      </c>
      <c r="BL406" s="101">
        <v>6725.1757696775785</v>
      </c>
    </row>
    <row r="407" spans="23:64" ht="15.75" hidden="1" thickBot="1">
      <c r="W407" s="777"/>
      <c r="X407" s="121">
        <f t="shared" si="116"/>
        <v>1</v>
      </c>
      <c r="Y407" s="122">
        <f t="shared" ref="Y407:Y470" si="118">Y306+(Y306*15)/100</f>
        <v>265.49435945677988</v>
      </c>
      <c r="Z407" s="123">
        <f t="shared" si="104"/>
        <v>530.98871891355975</v>
      </c>
      <c r="AA407" s="123">
        <f t="shared" si="105"/>
        <v>796.48307837033963</v>
      </c>
      <c r="AB407" s="123">
        <f t="shared" si="106"/>
        <v>1061.9774378271195</v>
      </c>
      <c r="AC407" s="123">
        <f t="shared" si="107"/>
        <v>1327.4717972838994</v>
      </c>
    </row>
    <row r="408" spans="23:64" ht="15.75" hidden="1" thickBot="1">
      <c r="W408" s="777"/>
      <c r="X408" s="121">
        <f t="shared" si="116"/>
        <v>2</v>
      </c>
      <c r="Y408" s="122">
        <f t="shared" si="118"/>
        <v>264.73806679324997</v>
      </c>
      <c r="Z408" s="123">
        <f t="shared" si="104"/>
        <v>529.47613358649994</v>
      </c>
      <c r="AA408" s="123">
        <f t="shared" si="105"/>
        <v>794.21420037974985</v>
      </c>
      <c r="AB408" s="123">
        <f t="shared" si="106"/>
        <v>1058.9522671729999</v>
      </c>
      <c r="AC408" s="123">
        <f t="shared" si="107"/>
        <v>1323.6903339662499</v>
      </c>
      <c r="AF408" s="101" t="e">
        <f>#REF!+1</f>
        <v>#REF!</v>
      </c>
      <c r="AH408" s="129" t="s">
        <v>247</v>
      </c>
    </row>
    <row r="409" spans="23:64" ht="15.75" hidden="1" thickBot="1">
      <c r="W409" s="777"/>
      <c r="X409" s="121">
        <f t="shared" si="116"/>
        <v>3</v>
      </c>
      <c r="Y409" s="122">
        <f t="shared" si="118"/>
        <v>263.98177412972007</v>
      </c>
      <c r="Z409" s="123">
        <f t="shared" si="104"/>
        <v>527.96354825944013</v>
      </c>
      <c r="AA409" s="123">
        <f t="shared" si="105"/>
        <v>791.9453223891602</v>
      </c>
      <c r="AB409" s="123">
        <f t="shared" si="106"/>
        <v>1055.9270965188803</v>
      </c>
      <c r="AC409" s="123">
        <f t="shared" si="107"/>
        <v>1319.9088706486004</v>
      </c>
      <c r="AE409" s="788" t="s">
        <v>279</v>
      </c>
      <c r="AF409" s="779" t="s">
        <v>275</v>
      </c>
      <c r="AH409" s="101">
        <f>AQ2</f>
        <v>153.12345540579446</v>
      </c>
      <c r="AI409" s="101">
        <f t="shared" ref="AI409:AI472" si="119">IF(AL409&lt;$D$79,0,AH409)</f>
        <v>0</v>
      </c>
      <c r="AJ409" s="153">
        <v>1</v>
      </c>
      <c r="AK409" s="131">
        <v>0</v>
      </c>
      <c r="AL409" s="157">
        <f t="shared" ref="AL409:AL440" si="120">Z2</f>
        <v>209.01243009084669</v>
      </c>
      <c r="AR409" s="101">
        <f t="array" ref="AR409">MIN(IF(AI409:AI812&lt;&gt;0,AI409:AI812))</f>
        <v>206.65077097997724</v>
      </c>
      <c r="AX409" s="101">
        <f t="array" ref="AX409">VLOOKUP(AR409,$AI$409:$AL$812,2,0)</f>
        <v>3</v>
      </c>
      <c r="AY409" s="101">
        <f>VLOOKUP(AR409,AI409:AL812,3,0)</f>
        <v>0</v>
      </c>
      <c r="BE409" s="101">
        <f>AX409</f>
        <v>3</v>
      </c>
    </row>
    <row r="410" spans="23:64" ht="15.75" hidden="1" thickBot="1">
      <c r="W410" s="777"/>
      <c r="X410" s="121">
        <f t="shared" si="116"/>
        <v>4</v>
      </c>
      <c r="Y410" s="122">
        <f t="shared" si="118"/>
        <v>263.22548146619016</v>
      </c>
      <c r="Z410" s="123">
        <f t="shared" si="104"/>
        <v>526.45096293238032</v>
      </c>
      <c r="AA410" s="123">
        <f t="shared" si="105"/>
        <v>789.67644439857054</v>
      </c>
      <c r="AB410" s="123">
        <f t="shared" si="106"/>
        <v>1052.9019258647606</v>
      </c>
      <c r="AC410" s="123">
        <f t="shared" si="107"/>
        <v>1316.1274073309507</v>
      </c>
      <c r="AE410" s="789"/>
      <c r="AF410" s="780"/>
      <c r="AH410" s="101">
        <f t="shared" ref="AH410:AH473" si="121">AQ3</f>
        <v>1000000</v>
      </c>
      <c r="AI410" s="101">
        <f t="shared" si="119"/>
        <v>0</v>
      </c>
      <c r="AJ410" s="153">
        <v>1</v>
      </c>
      <c r="AK410" s="121">
        <f>AK409+1</f>
        <v>1</v>
      </c>
      <c r="AL410" s="158">
        <f t="shared" si="120"/>
        <v>208.55042366816431</v>
      </c>
      <c r="AR410" s="101">
        <f t="array" ref="AR410">MIN(IF(AI813:AI1216&lt;&gt;0,AI813:AI1216))</f>
        <v>171.97499912191631</v>
      </c>
      <c r="AX410" s="101">
        <f>VLOOKUP(AR410,AI813:AL1216,2,0)</f>
        <v>2</v>
      </c>
      <c r="AY410" s="101">
        <f>VLOOKUP(AR410,AI813:AL1216,3,0)</f>
        <v>0</v>
      </c>
      <c r="BE410" s="101">
        <f>AX410</f>
        <v>2</v>
      </c>
    </row>
    <row r="411" spans="23:64" ht="15.75" hidden="1" thickBot="1">
      <c r="W411" s="777"/>
      <c r="X411" s="121">
        <f t="shared" si="116"/>
        <v>5</v>
      </c>
      <c r="Y411" s="122">
        <f t="shared" si="118"/>
        <v>262.46918880266026</v>
      </c>
      <c r="Z411" s="123">
        <f t="shared" si="104"/>
        <v>524.93837760532051</v>
      </c>
      <c r="AA411" s="123">
        <f t="shared" si="105"/>
        <v>787.40756640798077</v>
      </c>
      <c r="AB411" s="123">
        <f t="shared" si="106"/>
        <v>1049.876755210641</v>
      </c>
      <c r="AC411" s="123">
        <f t="shared" si="107"/>
        <v>1312.3459440133013</v>
      </c>
      <c r="AE411" s="789"/>
      <c r="AF411" s="780"/>
      <c r="AH411" s="101">
        <f t="shared" si="121"/>
        <v>1000000</v>
      </c>
      <c r="AI411" s="101">
        <f t="shared" si="119"/>
        <v>0</v>
      </c>
      <c r="AJ411" s="153">
        <v>1</v>
      </c>
      <c r="AK411" s="121">
        <f t="shared" ref="AK411:AK474" si="122">AK410+1</f>
        <v>2</v>
      </c>
      <c r="AL411" s="158">
        <f t="shared" si="120"/>
        <v>208.08841724548196</v>
      </c>
      <c r="AR411" s="101">
        <f t="array" ref="AR411">MIN(IF(AI1217:AI1620&lt;&gt;0,AI1217:AI1620))</f>
        <v>153.12345540579446</v>
      </c>
      <c r="AX411" s="101">
        <f>VLOOKUP(AR411,AI1217:AL1620,2,0)</f>
        <v>1</v>
      </c>
      <c r="AY411" s="101">
        <f>VLOOKUP(AR411,AI1217:AL1620,3,0)</f>
        <v>0</v>
      </c>
      <c r="BE411" s="101">
        <f>AX411</f>
        <v>1</v>
      </c>
    </row>
    <row r="412" spans="23:64" ht="15.75" hidden="1" thickBot="1">
      <c r="W412" s="777"/>
      <c r="X412" s="121">
        <f t="shared" si="116"/>
        <v>6</v>
      </c>
      <c r="Y412" s="122">
        <f t="shared" si="118"/>
        <v>261.71289613913035</v>
      </c>
      <c r="Z412" s="123">
        <f t="shared" si="104"/>
        <v>523.4257922782607</v>
      </c>
      <c r="AA412" s="123">
        <f t="shared" si="105"/>
        <v>785.13868841739099</v>
      </c>
      <c r="AB412" s="123">
        <f t="shared" si="106"/>
        <v>1046.8515845565214</v>
      </c>
      <c r="AC412" s="123">
        <f t="shared" si="107"/>
        <v>1308.5644806956518</v>
      </c>
      <c r="AE412" s="789"/>
      <c r="AF412" s="780"/>
      <c r="AH412" s="101">
        <f t="shared" si="121"/>
        <v>1000000</v>
      </c>
      <c r="AI412" s="101">
        <f t="shared" si="119"/>
        <v>0</v>
      </c>
      <c r="AJ412" s="153">
        <v>1</v>
      </c>
      <c r="AK412" s="121">
        <f t="shared" si="122"/>
        <v>3</v>
      </c>
      <c r="AL412" s="158">
        <f t="shared" si="120"/>
        <v>207.62641082279958</v>
      </c>
      <c r="AR412" s="101">
        <f t="array" ref="AR412">MIN(IF(AI1621:AI2024&lt;&gt;0,AI1621:AI2024))</f>
        <v>153.12345540579446</v>
      </c>
      <c r="AX412" s="101">
        <f>VLOOKUP(AR412,AI1621:AL2024,2,0)</f>
        <v>1</v>
      </c>
      <c r="AY412" s="101">
        <f>VLOOKUP(AR412,AI1621:AL2024,3,0)</f>
        <v>0</v>
      </c>
      <c r="BE412" s="101">
        <f>AX412</f>
        <v>1</v>
      </c>
    </row>
    <row r="413" spans="23:64" ht="15.75" hidden="1" thickBot="1">
      <c r="W413" s="777"/>
      <c r="X413" s="121">
        <f t="shared" si="116"/>
        <v>7</v>
      </c>
      <c r="Y413" s="122">
        <f t="shared" si="118"/>
        <v>260.95660347560039</v>
      </c>
      <c r="Z413" s="123">
        <f t="shared" si="104"/>
        <v>521.91320695120078</v>
      </c>
      <c r="AA413" s="123">
        <f t="shared" si="105"/>
        <v>782.86981042680122</v>
      </c>
      <c r="AB413" s="123">
        <f t="shared" si="106"/>
        <v>1043.8264139024016</v>
      </c>
      <c r="AC413" s="123">
        <f t="shared" si="107"/>
        <v>1304.7830173780019</v>
      </c>
      <c r="AE413" s="789"/>
      <c r="AF413" s="780"/>
      <c r="AH413" s="101">
        <f t="shared" si="121"/>
        <v>1000000</v>
      </c>
      <c r="AI413" s="101">
        <f t="shared" si="119"/>
        <v>0</v>
      </c>
      <c r="AJ413" s="153">
        <v>1</v>
      </c>
      <c r="AK413" s="121">
        <f t="shared" si="122"/>
        <v>4</v>
      </c>
      <c r="AL413" s="158">
        <f t="shared" si="120"/>
        <v>207.16440440011723</v>
      </c>
    </row>
    <row r="414" spans="23:64" ht="15.75" hidden="1" thickBot="1">
      <c r="W414" s="777"/>
      <c r="X414" s="121">
        <f t="shared" si="116"/>
        <v>8</v>
      </c>
      <c r="Y414" s="122">
        <f t="shared" si="118"/>
        <v>260.20031081207048</v>
      </c>
      <c r="Z414" s="123">
        <f t="shared" si="104"/>
        <v>520.40062162414097</v>
      </c>
      <c r="AA414" s="123">
        <f t="shared" si="105"/>
        <v>780.60093243621145</v>
      </c>
      <c r="AB414" s="123">
        <f t="shared" si="106"/>
        <v>1040.8012432482819</v>
      </c>
      <c r="AC414" s="123">
        <f t="shared" si="107"/>
        <v>1301.0015540603524</v>
      </c>
      <c r="AE414" s="789"/>
      <c r="AF414" s="780"/>
      <c r="AH414" s="101">
        <f t="shared" si="121"/>
        <v>1000000</v>
      </c>
      <c r="AI414" s="101">
        <f t="shared" si="119"/>
        <v>0</v>
      </c>
      <c r="AJ414" s="153">
        <v>1</v>
      </c>
      <c r="AK414" s="121">
        <f t="shared" si="122"/>
        <v>5</v>
      </c>
      <c r="AL414" s="158">
        <f t="shared" si="120"/>
        <v>206.70239797743486</v>
      </c>
    </row>
    <row r="415" spans="23:64" ht="15.75" hidden="1" thickBot="1">
      <c r="W415" s="777"/>
      <c r="X415" s="121">
        <f t="shared" si="116"/>
        <v>9</v>
      </c>
      <c r="Y415" s="122">
        <f t="shared" si="118"/>
        <v>259.44401814854058</v>
      </c>
      <c r="Z415" s="123">
        <f t="shared" si="104"/>
        <v>518.88803629708116</v>
      </c>
      <c r="AA415" s="123">
        <f t="shared" si="105"/>
        <v>778.33205444562168</v>
      </c>
      <c r="AB415" s="123">
        <f t="shared" si="106"/>
        <v>1037.7760725941623</v>
      </c>
      <c r="AC415" s="123">
        <f t="shared" si="107"/>
        <v>1297.220090742703</v>
      </c>
      <c r="AE415" s="789"/>
      <c r="AF415" s="780"/>
      <c r="AH415" s="101">
        <f t="shared" si="121"/>
        <v>1000000</v>
      </c>
      <c r="AI415" s="101">
        <f t="shared" si="119"/>
        <v>0</v>
      </c>
      <c r="AJ415" s="153">
        <v>1</v>
      </c>
      <c r="AK415" s="121">
        <f t="shared" si="122"/>
        <v>6</v>
      </c>
      <c r="AL415" s="158">
        <f t="shared" si="120"/>
        <v>206.24039155475251</v>
      </c>
    </row>
    <row r="416" spans="23:64" ht="15.75" hidden="1" thickBot="1">
      <c r="W416" s="777"/>
      <c r="X416" s="121">
        <f t="shared" si="116"/>
        <v>10</v>
      </c>
      <c r="Y416" s="122">
        <f t="shared" si="118"/>
        <v>258.68772548501067</v>
      </c>
      <c r="Z416" s="123">
        <f t="shared" si="104"/>
        <v>517.37545097002135</v>
      </c>
      <c r="AA416" s="123">
        <f t="shared" si="105"/>
        <v>776.06317645503202</v>
      </c>
      <c r="AB416" s="123">
        <f t="shared" si="106"/>
        <v>1034.7509019400427</v>
      </c>
      <c r="AC416" s="123">
        <f t="shared" si="107"/>
        <v>1293.4386274250533</v>
      </c>
      <c r="AE416" s="789"/>
      <c r="AF416" s="780"/>
      <c r="AH416" s="101">
        <f t="shared" si="121"/>
        <v>1000000</v>
      </c>
      <c r="AI416" s="101">
        <f t="shared" si="119"/>
        <v>0</v>
      </c>
      <c r="AJ416" s="153">
        <v>1</v>
      </c>
      <c r="AK416" s="121">
        <f t="shared" si="122"/>
        <v>7</v>
      </c>
      <c r="AL416" s="158">
        <f t="shared" si="120"/>
        <v>205.77838513207013</v>
      </c>
    </row>
    <row r="417" spans="23:38" ht="15.75" hidden="1" thickBot="1">
      <c r="W417" s="777"/>
      <c r="X417" s="121">
        <f t="shared" si="116"/>
        <v>11</v>
      </c>
      <c r="Y417" s="122">
        <f t="shared" si="118"/>
        <v>257.93143282148083</v>
      </c>
      <c r="Z417" s="123">
        <f t="shared" si="104"/>
        <v>515.86286564296165</v>
      </c>
      <c r="AA417" s="123">
        <f t="shared" si="105"/>
        <v>773.79429846444248</v>
      </c>
      <c r="AB417" s="123">
        <f t="shared" si="106"/>
        <v>1031.7257312859233</v>
      </c>
      <c r="AC417" s="123">
        <f t="shared" si="107"/>
        <v>1289.6571641074042</v>
      </c>
      <c r="AE417" s="789"/>
      <c r="AF417" s="780"/>
      <c r="AH417" s="101">
        <f t="shared" si="121"/>
        <v>1000000</v>
      </c>
      <c r="AI417" s="101">
        <f t="shared" si="119"/>
        <v>0</v>
      </c>
      <c r="AJ417" s="153">
        <v>1</v>
      </c>
      <c r="AK417" s="121">
        <f t="shared" si="122"/>
        <v>8</v>
      </c>
      <c r="AL417" s="158">
        <f t="shared" si="120"/>
        <v>205.31637870938778</v>
      </c>
    </row>
    <row r="418" spans="23:38" ht="15.75" hidden="1" thickBot="1">
      <c r="W418" s="777"/>
      <c r="X418" s="121">
        <f t="shared" si="116"/>
        <v>12</v>
      </c>
      <c r="Y418" s="122">
        <f t="shared" si="118"/>
        <v>257.17514015795086</v>
      </c>
      <c r="Z418" s="123">
        <f t="shared" si="104"/>
        <v>514.35028031590173</v>
      </c>
      <c r="AA418" s="123">
        <f t="shared" si="105"/>
        <v>771.52542047385259</v>
      </c>
      <c r="AB418" s="123">
        <f t="shared" si="106"/>
        <v>1028.7005606318035</v>
      </c>
      <c r="AC418" s="123">
        <f t="shared" si="107"/>
        <v>1285.8757007897543</v>
      </c>
      <c r="AE418" s="789"/>
      <c r="AF418" s="780"/>
      <c r="AH418" s="101">
        <f t="shared" si="121"/>
        <v>1000000</v>
      </c>
      <c r="AI418" s="101">
        <f t="shared" si="119"/>
        <v>0</v>
      </c>
      <c r="AJ418" s="153">
        <v>1</v>
      </c>
      <c r="AK418" s="121">
        <f t="shared" si="122"/>
        <v>9</v>
      </c>
      <c r="AL418" s="158">
        <f t="shared" si="120"/>
        <v>204.85437228670543</v>
      </c>
    </row>
    <row r="419" spans="23:38" ht="15.75" hidden="1" thickBot="1">
      <c r="W419" s="777"/>
      <c r="X419" s="121">
        <f t="shared" si="116"/>
        <v>13</v>
      </c>
      <c r="Y419" s="122">
        <f t="shared" si="118"/>
        <v>256.41884749442096</v>
      </c>
      <c r="Z419" s="123">
        <f t="shared" si="104"/>
        <v>512.83769498884192</v>
      </c>
      <c r="AA419" s="123">
        <f t="shared" si="105"/>
        <v>769.25654248326282</v>
      </c>
      <c r="AB419" s="123">
        <f t="shared" si="106"/>
        <v>1025.6753899776838</v>
      </c>
      <c r="AC419" s="123">
        <f t="shared" si="107"/>
        <v>1282.0942374721049</v>
      </c>
      <c r="AE419" s="789"/>
      <c r="AF419" s="780"/>
      <c r="AH419" s="101">
        <f t="shared" si="121"/>
        <v>1000000</v>
      </c>
      <c r="AI419" s="101">
        <f t="shared" si="119"/>
        <v>0</v>
      </c>
      <c r="AJ419" s="153">
        <v>1</v>
      </c>
      <c r="AK419" s="121">
        <f t="shared" si="122"/>
        <v>10</v>
      </c>
      <c r="AL419" s="158">
        <f t="shared" si="120"/>
        <v>204.39236586402305</v>
      </c>
    </row>
    <row r="420" spans="23:38" ht="15.75" hidden="1" thickBot="1">
      <c r="W420" s="777"/>
      <c r="X420" s="121">
        <f t="shared" si="116"/>
        <v>14</v>
      </c>
      <c r="Y420" s="122">
        <f t="shared" si="118"/>
        <v>255.66255483089105</v>
      </c>
      <c r="Z420" s="123">
        <f t="shared" si="104"/>
        <v>511.32510966178211</v>
      </c>
      <c r="AA420" s="123">
        <f t="shared" si="105"/>
        <v>766.98766449267316</v>
      </c>
      <c r="AB420" s="123">
        <f t="shared" si="106"/>
        <v>1022.6502193235642</v>
      </c>
      <c r="AC420" s="123">
        <f t="shared" si="107"/>
        <v>1278.3127741544554</v>
      </c>
      <c r="AE420" s="789"/>
      <c r="AF420" s="780"/>
      <c r="AH420" s="101">
        <f t="shared" si="121"/>
        <v>1000000</v>
      </c>
      <c r="AI420" s="101">
        <f t="shared" si="119"/>
        <v>0</v>
      </c>
      <c r="AJ420" s="153">
        <v>1</v>
      </c>
      <c r="AK420" s="121">
        <f t="shared" si="122"/>
        <v>11</v>
      </c>
      <c r="AL420" s="158">
        <f t="shared" si="120"/>
        <v>203.93035944134067</v>
      </c>
    </row>
    <row r="421" spans="23:38" ht="15.75" hidden="1" thickBot="1">
      <c r="W421" s="777"/>
      <c r="X421" s="121">
        <f t="shared" si="116"/>
        <v>15</v>
      </c>
      <c r="Y421" s="122">
        <f t="shared" si="118"/>
        <v>254.90626216736112</v>
      </c>
      <c r="Z421" s="123">
        <f t="shared" si="104"/>
        <v>509.81252433472224</v>
      </c>
      <c r="AA421" s="123">
        <f t="shared" si="105"/>
        <v>764.71878650208339</v>
      </c>
      <c r="AB421" s="123">
        <f t="shared" si="106"/>
        <v>1019.6250486694445</v>
      </c>
      <c r="AC421" s="123">
        <f t="shared" si="107"/>
        <v>1274.5313108368057</v>
      </c>
      <c r="AE421" s="789"/>
      <c r="AF421" s="780"/>
      <c r="AH421" s="101">
        <f t="shared" si="121"/>
        <v>1000000</v>
      </c>
      <c r="AI421" s="101">
        <f t="shared" si="119"/>
        <v>0</v>
      </c>
      <c r="AJ421" s="153">
        <v>1</v>
      </c>
      <c r="AK421" s="121">
        <f t="shared" si="122"/>
        <v>12</v>
      </c>
      <c r="AL421" s="158">
        <f t="shared" si="120"/>
        <v>203.46835301865832</v>
      </c>
    </row>
    <row r="422" spans="23:38" ht="15.75" hidden="1" thickBot="1">
      <c r="W422" s="777"/>
      <c r="X422" s="121">
        <f t="shared" si="116"/>
        <v>16</v>
      </c>
      <c r="Y422" s="122">
        <f t="shared" si="118"/>
        <v>254.14996950383124</v>
      </c>
      <c r="Z422" s="123">
        <f t="shared" si="104"/>
        <v>508.29993900766249</v>
      </c>
      <c r="AA422" s="123">
        <f t="shared" si="105"/>
        <v>762.44990851149373</v>
      </c>
      <c r="AB422" s="123">
        <f t="shared" si="106"/>
        <v>1016.599878015325</v>
      </c>
      <c r="AC422" s="123">
        <f t="shared" si="107"/>
        <v>1270.7498475191562</v>
      </c>
      <c r="AE422" s="789"/>
      <c r="AF422" s="780"/>
      <c r="AH422" s="101">
        <f t="shared" si="121"/>
        <v>1000000</v>
      </c>
      <c r="AI422" s="101">
        <f t="shared" si="119"/>
        <v>0</v>
      </c>
      <c r="AJ422" s="153">
        <v>1</v>
      </c>
      <c r="AK422" s="121">
        <f t="shared" si="122"/>
        <v>13</v>
      </c>
      <c r="AL422" s="158">
        <f t="shared" si="120"/>
        <v>203.00634659597597</v>
      </c>
    </row>
    <row r="423" spans="23:38" ht="15.75" hidden="1" thickBot="1">
      <c r="W423" s="777"/>
      <c r="X423" s="121">
        <f t="shared" si="116"/>
        <v>17</v>
      </c>
      <c r="Y423" s="122">
        <f t="shared" si="118"/>
        <v>253.39367684030131</v>
      </c>
      <c r="Z423" s="123">
        <f t="shared" si="104"/>
        <v>506.78735368060262</v>
      </c>
      <c r="AA423" s="123">
        <f t="shared" si="105"/>
        <v>760.18103052090396</v>
      </c>
      <c r="AB423" s="123">
        <f t="shared" si="106"/>
        <v>1013.5747073612052</v>
      </c>
      <c r="AC423" s="123">
        <f t="shared" si="107"/>
        <v>1266.9683842015065</v>
      </c>
      <c r="AE423" s="789"/>
      <c r="AF423" s="780"/>
      <c r="AH423" s="101">
        <f t="shared" si="121"/>
        <v>1000000</v>
      </c>
      <c r="AI423" s="101">
        <f t="shared" si="119"/>
        <v>0</v>
      </c>
      <c r="AJ423" s="153">
        <v>1</v>
      </c>
      <c r="AK423" s="121">
        <f t="shared" si="122"/>
        <v>14</v>
      </c>
      <c r="AL423" s="158">
        <f t="shared" si="120"/>
        <v>202.54434017329359</v>
      </c>
    </row>
    <row r="424" spans="23:38" ht="15.75" hidden="1" thickBot="1">
      <c r="W424" s="777"/>
      <c r="X424" s="121">
        <f t="shared" si="116"/>
        <v>18</v>
      </c>
      <c r="Y424" s="122">
        <f t="shared" si="118"/>
        <v>252.63738417677141</v>
      </c>
      <c r="Z424" s="123">
        <f t="shared" si="104"/>
        <v>505.27476835354281</v>
      </c>
      <c r="AA424" s="123">
        <f t="shared" si="105"/>
        <v>757.91215253031419</v>
      </c>
      <c r="AB424" s="123">
        <f t="shared" si="106"/>
        <v>1010.5495367070856</v>
      </c>
      <c r="AC424" s="123">
        <f t="shared" si="107"/>
        <v>1263.1869208838571</v>
      </c>
      <c r="AE424" s="789"/>
      <c r="AF424" s="780"/>
      <c r="AH424" s="101">
        <f t="shared" si="121"/>
        <v>1000000</v>
      </c>
      <c r="AI424" s="101">
        <f t="shared" si="119"/>
        <v>0</v>
      </c>
      <c r="AJ424" s="153">
        <v>1</v>
      </c>
      <c r="AK424" s="121">
        <f t="shared" si="122"/>
        <v>15</v>
      </c>
      <c r="AL424" s="158">
        <f t="shared" si="120"/>
        <v>202.08233375061124</v>
      </c>
    </row>
    <row r="425" spans="23:38" ht="15.75" hidden="1" thickBot="1">
      <c r="W425" s="777"/>
      <c r="X425" s="121">
        <f t="shared" si="116"/>
        <v>19</v>
      </c>
      <c r="Y425" s="122">
        <f t="shared" si="118"/>
        <v>251.88109151324153</v>
      </c>
      <c r="Z425" s="123">
        <f t="shared" si="104"/>
        <v>503.76218302648306</v>
      </c>
      <c r="AA425" s="123">
        <f t="shared" si="105"/>
        <v>755.64327453972464</v>
      </c>
      <c r="AB425" s="123">
        <f t="shared" si="106"/>
        <v>1007.5243660529661</v>
      </c>
      <c r="AC425" s="123">
        <f t="shared" si="107"/>
        <v>1259.4054575662076</v>
      </c>
      <c r="AE425" s="789"/>
      <c r="AF425" s="780"/>
      <c r="AH425" s="101">
        <f t="shared" si="121"/>
        <v>1000000</v>
      </c>
      <c r="AI425" s="101">
        <f t="shared" si="119"/>
        <v>0</v>
      </c>
      <c r="AJ425" s="153">
        <v>1</v>
      </c>
      <c r="AK425" s="121">
        <f t="shared" si="122"/>
        <v>16</v>
      </c>
      <c r="AL425" s="158">
        <f t="shared" si="120"/>
        <v>201.62032732792886</v>
      </c>
    </row>
    <row r="426" spans="23:38" ht="15.75" hidden="1" thickBot="1">
      <c r="W426" s="777"/>
      <c r="X426" s="121">
        <f t="shared" si="116"/>
        <v>20</v>
      </c>
      <c r="Y426" s="122">
        <f t="shared" si="118"/>
        <v>251.1247988497116</v>
      </c>
      <c r="Z426" s="123">
        <f t="shared" si="104"/>
        <v>502.24959769942319</v>
      </c>
      <c r="AA426" s="123">
        <f t="shared" si="105"/>
        <v>753.37439654913476</v>
      </c>
      <c r="AB426" s="123">
        <f t="shared" si="106"/>
        <v>1004.4991953988464</v>
      </c>
      <c r="AC426" s="123">
        <f t="shared" si="107"/>
        <v>1255.6239942485579</v>
      </c>
      <c r="AE426" s="789"/>
      <c r="AF426" s="780"/>
      <c r="AH426" s="101">
        <f t="shared" si="121"/>
        <v>1000000</v>
      </c>
      <c r="AI426" s="101">
        <f t="shared" si="119"/>
        <v>0</v>
      </c>
      <c r="AJ426" s="153">
        <v>1</v>
      </c>
      <c r="AK426" s="121">
        <f t="shared" si="122"/>
        <v>17</v>
      </c>
      <c r="AL426" s="158">
        <f t="shared" si="120"/>
        <v>201.15832090524651</v>
      </c>
    </row>
    <row r="427" spans="23:38" ht="15.75" hidden="1" thickBot="1">
      <c r="W427" s="777"/>
      <c r="X427" s="121">
        <f t="shared" si="116"/>
        <v>21</v>
      </c>
      <c r="Y427" s="122">
        <f t="shared" si="118"/>
        <v>250.36850618618166</v>
      </c>
      <c r="Z427" s="123">
        <f t="shared" ref="Z427:Z490" si="123">Y427*2</f>
        <v>500.73701237236332</v>
      </c>
      <c r="AA427" s="123">
        <f t="shared" ref="AA427:AA490" si="124">Y427*3</f>
        <v>751.10551855854499</v>
      </c>
      <c r="AB427" s="123">
        <f t="shared" ref="AB427:AB490" si="125">Y427*4</f>
        <v>1001.4740247447266</v>
      </c>
      <c r="AC427" s="123">
        <f t="shared" ref="AC427:AC490" si="126">Y427*5</f>
        <v>1251.8425309309082</v>
      </c>
      <c r="AE427" s="789"/>
      <c r="AF427" s="780"/>
      <c r="AH427" s="101">
        <f t="shared" si="121"/>
        <v>1000000</v>
      </c>
      <c r="AI427" s="101">
        <f t="shared" si="119"/>
        <v>0</v>
      </c>
      <c r="AJ427" s="153">
        <v>1</v>
      </c>
      <c r="AK427" s="121">
        <f t="shared" si="122"/>
        <v>18</v>
      </c>
      <c r="AL427" s="158">
        <f t="shared" si="120"/>
        <v>200.69631448256413</v>
      </c>
    </row>
    <row r="428" spans="23:38" ht="15.75" hidden="1" thickBot="1">
      <c r="W428" s="777"/>
      <c r="X428" s="121">
        <f t="shared" si="116"/>
        <v>22</v>
      </c>
      <c r="Y428" s="122">
        <f t="shared" si="118"/>
        <v>249.61221352265176</v>
      </c>
      <c r="Z428" s="123">
        <f t="shared" si="123"/>
        <v>499.22442704530351</v>
      </c>
      <c r="AA428" s="123">
        <f t="shared" si="124"/>
        <v>748.83664056795533</v>
      </c>
      <c r="AB428" s="123">
        <f t="shared" si="125"/>
        <v>998.44885409060703</v>
      </c>
      <c r="AC428" s="123">
        <f t="shared" si="126"/>
        <v>1248.0610676132587</v>
      </c>
      <c r="AE428" s="789"/>
      <c r="AF428" s="780"/>
      <c r="AH428" s="101">
        <f t="shared" si="121"/>
        <v>1000000</v>
      </c>
      <c r="AI428" s="101">
        <f t="shared" si="119"/>
        <v>0</v>
      </c>
      <c r="AJ428" s="153">
        <v>1</v>
      </c>
      <c r="AK428" s="121">
        <f t="shared" si="122"/>
        <v>19</v>
      </c>
      <c r="AL428" s="158">
        <f t="shared" si="120"/>
        <v>200.23430805988178</v>
      </c>
    </row>
    <row r="429" spans="23:38" ht="15.75" hidden="1" thickBot="1">
      <c r="W429" s="777"/>
      <c r="X429" s="121">
        <f t="shared" si="116"/>
        <v>23</v>
      </c>
      <c r="Y429" s="122">
        <f t="shared" si="118"/>
        <v>248.85592085912185</v>
      </c>
      <c r="Z429" s="123">
        <f t="shared" si="123"/>
        <v>497.7118417182437</v>
      </c>
      <c r="AA429" s="123">
        <f t="shared" si="124"/>
        <v>746.56776257736556</v>
      </c>
      <c r="AB429" s="123">
        <f t="shared" si="125"/>
        <v>995.42368343648741</v>
      </c>
      <c r="AC429" s="123">
        <f t="shared" si="126"/>
        <v>1244.2796042956093</v>
      </c>
      <c r="AE429" s="789"/>
      <c r="AF429" s="780"/>
      <c r="AH429" s="101">
        <f t="shared" si="121"/>
        <v>1000000</v>
      </c>
      <c r="AI429" s="101">
        <f t="shared" si="119"/>
        <v>0</v>
      </c>
      <c r="AJ429" s="153">
        <v>1</v>
      </c>
      <c r="AK429" s="121">
        <f t="shared" si="122"/>
        <v>20</v>
      </c>
      <c r="AL429" s="158">
        <f t="shared" si="120"/>
        <v>199.7723016371994</v>
      </c>
    </row>
    <row r="430" spans="23:38" ht="15.75" hidden="1" thickBot="1">
      <c r="W430" s="777"/>
      <c r="X430" s="121">
        <f t="shared" si="116"/>
        <v>24</v>
      </c>
      <c r="Y430" s="122">
        <f t="shared" si="118"/>
        <v>248.09962819559195</v>
      </c>
      <c r="Z430" s="123">
        <f t="shared" si="123"/>
        <v>496.19925639118389</v>
      </c>
      <c r="AA430" s="123">
        <f t="shared" si="124"/>
        <v>744.29888458677578</v>
      </c>
      <c r="AB430" s="123">
        <f t="shared" si="125"/>
        <v>992.39851278236779</v>
      </c>
      <c r="AC430" s="123">
        <f t="shared" si="126"/>
        <v>1240.4981409779598</v>
      </c>
      <c r="AE430" s="789"/>
      <c r="AF430" s="780"/>
      <c r="AH430" s="101">
        <f t="shared" si="121"/>
        <v>1000000</v>
      </c>
      <c r="AI430" s="101">
        <f t="shared" si="119"/>
        <v>0</v>
      </c>
      <c r="AJ430" s="153">
        <v>1</v>
      </c>
      <c r="AK430" s="121">
        <f t="shared" si="122"/>
        <v>21</v>
      </c>
      <c r="AL430" s="158">
        <f t="shared" si="120"/>
        <v>199.31029521451705</v>
      </c>
    </row>
    <row r="431" spans="23:38" ht="15.75" hidden="1" thickBot="1">
      <c r="W431" s="777"/>
      <c r="X431" s="121">
        <f t="shared" si="116"/>
        <v>25</v>
      </c>
      <c r="Y431" s="122">
        <f t="shared" si="118"/>
        <v>247.34333553206204</v>
      </c>
      <c r="Z431" s="123">
        <f t="shared" si="123"/>
        <v>494.68667106412408</v>
      </c>
      <c r="AA431" s="123">
        <f t="shared" si="124"/>
        <v>742.03000659618613</v>
      </c>
      <c r="AB431" s="123">
        <f t="shared" si="125"/>
        <v>989.37334212824817</v>
      </c>
      <c r="AC431" s="123">
        <f t="shared" si="126"/>
        <v>1236.7166776603103</v>
      </c>
      <c r="AE431" s="789"/>
      <c r="AF431" s="780"/>
      <c r="AH431" s="101">
        <f t="shared" si="121"/>
        <v>1000000</v>
      </c>
      <c r="AI431" s="101">
        <f t="shared" si="119"/>
        <v>0</v>
      </c>
      <c r="AJ431" s="153">
        <v>1</v>
      </c>
      <c r="AK431" s="121">
        <f t="shared" si="122"/>
        <v>22</v>
      </c>
      <c r="AL431" s="158">
        <f t="shared" si="120"/>
        <v>198.84828879183468</v>
      </c>
    </row>
    <row r="432" spans="23:38" ht="15.75" hidden="1" thickBot="1">
      <c r="W432" s="777"/>
      <c r="X432" s="121">
        <f t="shared" si="116"/>
        <v>26</v>
      </c>
      <c r="Y432" s="122">
        <f t="shared" si="118"/>
        <v>246.58704286853214</v>
      </c>
      <c r="Z432" s="123">
        <f t="shared" si="123"/>
        <v>493.17408573706427</v>
      </c>
      <c r="AA432" s="123">
        <f t="shared" si="124"/>
        <v>739.76112860559647</v>
      </c>
      <c r="AB432" s="123">
        <f t="shared" si="125"/>
        <v>986.34817147412855</v>
      </c>
      <c r="AC432" s="123">
        <f t="shared" si="126"/>
        <v>1232.9352143426606</v>
      </c>
      <c r="AE432" s="789"/>
      <c r="AF432" s="780"/>
      <c r="AH432" s="101">
        <f t="shared" si="121"/>
        <v>1000000</v>
      </c>
      <c r="AI432" s="101">
        <f t="shared" si="119"/>
        <v>0</v>
      </c>
      <c r="AJ432" s="153">
        <v>1</v>
      </c>
      <c r="AK432" s="121">
        <f t="shared" si="122"/>
        <v>23</v>
      </c>
      <c r="AL432" s="158">
        <f t="shared" si="120"/>
        <v>198.38628236915233</v>
      </c>
    </row>
    <row r="433" spans="23:38" ht="15.75" hidden="1" thickBot="1">
      <c r="W433" s="777"/>
      <c r="X433" s="121">
        <f t="shared" si="116"/>
        <v>27</v>
      </c>
      <c r="Y433" s="122">
        <f t="shared" si="118"/>
        <v>245.8307502050022</v>
      </c>
      <c r="Z433" s="123">
        <f t="shared" si="123"/>
        <v>491.66150041000441</v>
      </c>
      <c r="AA433" s="123">
        <f t="shared" si="124"/>
        <v>737.49225061500658</v>
      </c>
      <c r="AB433" s="123">
        <f t="shared" si="125"/>
        <v>983.32300082000882</v>
      </c>
      <c r="AC433" s="123">
        <f t="shared" si="126"/>
        <v>1229.1537510250109</v>
      </c>
      <c r="AE433" s="789"/>
      <c r="AF433" s="780"/>
      <c r="AH433" s="101">
        <f t="shared" si="121"/>
        <v>1000000</v>
      </c>
      <c r="AI433" s="101">
        <f t="shared" si="119"/>
        <v>0</v>
      </c>
      <c r="AJ433" s="153">
        <v>1</v>
      </c>
      <c r="AK433" s="121">
        <f t="shared" si="122"/>
        <v>24</v>
      </c>
      <c r="AL433" s="158">
        <f t="shared" si="120"/>
        <v>197.92427594646995</v>
      </c>
    </row>
    <row r="434" spans="23:38" ht="15.75" hidden="1" thickBot="1">
      <c r="W434" s="777"/>
      <c r="X434" s="121">
        <f t="shared" si="116"/>
        <v>28</v>
      </c>
      <c r="Y434" s="122">
        <f t="shared" si="118"/>
        <v>245.07445754147233</v>
      </c>
      <c r="Z434" s="123">
        <f t="shared" si="123"/>
        <v>490.14891508294465</v>
      </c>
      <c r="AA434" s="123">
        <f t="shared" si="124"/>
        <v>735.22337262441692</v>
      </c>
      <c r="AB434" s="123">
        <f t="shared" si="125"/>
        <v>980.29783016588931</v>
      </c>
      <c r="AC434" s="123">
        <f t="shared" si="126"/>
        <v>1225.3722877073617</v>
      </c>
      <c r="AE434" s="789"/>
      <c r="AF434" s="780"/>
      <c r="AH434" s="101">
        <f t="shared" si="121"/>
        <v>1000000</v>
      </c>
      <c r="AI434" s="101">
        <f t="shared" si="119"/>
        <v>0</v>
      </c>
      <c r="AJ434" s="153">
        <v>1</v>
      </c>
      <c r="AK434" s="121">
        <f t="shared" si="122"/>
        <v>25</v>
      </c>
      <c r="AL434" s="158">
        <f t="shared" si="120"/>
        <v>197.4622695237876</v>
      </c>
    </row>
    <row r="435" spans="23:38" ht="15.75" hidden="1" thickBot="1">
      <c r="W435" s="777"/>
      <c r="X435" s="121">
        <f t="shared" si="116"/>
        <v>29</v>
      </c>
      <c r="Y435" s="122">
        <f t="shared" si="118"/>
        <v>244.31816487794239</v>
      </c>
      <c r="Z435" s="123">
        <f t="shared" si="123"/>
        <v>488.63632975588479</v>
      </c>
      <c r="AA435" s="123">
        <f t="shared" si="124"/>
        <v>732.95449463382715</v>
      </c>
      <c r="AB435" s="123">
        <f t="shared" si="125"/>
        <v>977.27265951176958</v>
      </c>
      <c r="AC435" s="123">
        <f t="shared" si="126"/>
        <v>1221.590824389712</v>
      </c>
      <c r="AE435" s="789"/>
      <c r="AF435" s="780"/>
      <c r="AH435" s="101">
        <f t="shared" si="121"/>
        <v>1000000</v>
      </c>
      <c r="AI435" s="101">
        <f t="shared" si="119"/>
        <v>0</v>
      </c>
      <c r="AJ435" s="153">
        <v>1</v>
      </c>
      <c r="AK435" s="121">
        <f t="shared" si="122"/>
        <v>26</v>
      </c>
      <c r="AL435" s="158">
        <f t="shared" si="120"/>
        <v>197.00026310110522</v>
      </c>
    </row>
    <row r="436" spans="23:38" ht="15.75" hidden="1" thickBot="1">
      <c r="W436" s="777"/>
      <c r="X436" s="121">
        <f t="shared" si="116"/>
        <v>30</v>
      </c>
      <c r="Y436" s="122">
        <f t="shared" si="118"/>
        <v>243.56187221441249</v>
      </c>
      <c r="Z436" s="123">
        <f t="shared" si="123"/>
        <v>487.12374442882498</v>
      </c>
      <c r="AA436" s="123">
        <f t="shared" si="124"/>
        <v>730.68561664323749</v>
      </c>
      <c r="AB436" s="123">
        <f t="shared" si="125"/>
        <v>974.24748885764996</v>
      </c>
      <c r="AC436" s="123">
        <f t="shared" si="126"/>
        <v>1217.8093610720625</v>
      </c>
      <c r="AE436" s="789"/>
      <c r="AF436" s="780"/>
      <c r="AH436" s="101">
        <f t="shared" si="121"/>
        <v>1000000</v>
      </c>
      <c r="AI436" s="101">
        <f t="shared" si="119"/>
        <v>0</v>
      </c>
      <c r="AJ436" s="153">
        <v>1</v>
      </c>
      <c r="AK436" s="121">
        <f t="shared" si="122"/>
        <v>27</v>
      </c>
      <c r="AL436" s="158">
        <f t="shared" si="120"/>
        <v>196.53825667842287</v>
      </c>
    </row>
    <row r="437" spans="23:38" ht="15.75" hidden="1" thickBot="1">
      <c r="W437" s="777"/>
      <c r="X437" s="121">
        <f t="shared" si="116"/>
        <v>31</v>
      </c>
      <c r="Y437" s="122">
        <f t="shared" si="118"/>
        <v>242.80557955088261</v>
      </c>
      <c r="Z437" s="123">
        <f t="shared" si="123"/>
        <v>485.61115910176522</v>
      </c>
      <c r="AA437" s="123">
        <f t="shared" si="124"/>
        <v>728.41673865264784</v>
      </c>
      <c r="AB437" s="123">
        <f t="shared" si="125"/>
        <v>971.22231820353045</v>
      </c>
      <c r="AC437" s="123">
        <f t="shared" si="126"/>
        <v>1214.0278977544131</v>
      </c>
      <c r="AE437" s="789"/>
      <c r="AF437" s="780"/>
      <c r="AH437" s="101">
        <f t="shared" si="121"/>
        <v>1000000</v>
      </c>
      <c r="AI437" s="101">
        <f t="shared" si="119"/>
        <v>0</v>
      </c>
      <c r="AJ437" s="153">
        <v>1</v>
      </c>
      <c r="AK437" s="121">
        <f t="shared" si="122"/>
        <v>28</v>
      </c>
      <c r="AL437" s="158">
        <f t="shared" si="120"/>
        <v>196.07625025574049</v>
      </c>
    </row>
    <row r="438" spans="23:38" ht="15.75" hidden="1" thickBot="1">
      <c r="W438" s="777"/>
      <c r="X438" s="121">
        <f t="shared" si="116"/>
        <v>32</v>
      </c>
      <c r="Y438" s="122">
        <f t="shared" si="118"/>
        <v>242.04928688735265</v>
      </c>
      <c r="Z438" s="123">
        <f t="shared" si="123"/>
        <v>484.0985737747053</v>
      </c>
      <c r="AA438" s="123">
        <f t="shared" si="124"/>
        <v>726.14786066205795</v>
      </c>
      <c r="AB438" s="123">
        <f t="shared" si="125"/>
        <v>968.1971475494106</v>
      </c>
      <c r="AC438" s="123">
        <f t="shared" si="126"/>
        <v>1210.2464344367631</v>
      </c>
      <c r="AE438" s="789"/>
      <c r="AF438" s="780"/>
      <c r="AH438" s="101">
        <f t="shared" si="121"/>
        <v>1000000</v>
      </c>
      <c r="AI438" s="101">
        <f t="shared" si="119"/>
        <v>0</v>
      </c>
      <c r="AJ438" s="153">
        <v>1</v>
      </c>
      <c r="AK438" s="121">
        <f t="shared" si="122"/>
        <v>29</v>
      </c>
      <c r="AL438" s="158">
        <f t="shared" si="120"/>
        <v>195.61424383305814</v>
      </c>
    </row>
    <row r="439" spans="23:38" ht="15.75" hidden="1" thickBot="1">
      <c r="W439" s="777"/>
      <c r="X439" s="121">
        <f t="shared" si="116"/>
        <v>33</v>
      </c>
      <c r="Y439" s="122">
        <f t="shared" si="118"/>
        <v>241.29299422382275</v>
      </c>
      <c r="Z439" s="123">
        <f t="shared" si="123"/>
        <v>482.58598844764549</v>
      </c>
      <c r="AA439" s="123">
        <f t="shared" si="124"/>
        <v>723.87898267146829</v>
      </c>
      <c r="AB439" s="123">
        <f t="shared" si="125"/>
        <v>965.17197689529098</v>
      </c>
      <c r="AC439" s="123">
        <f t="shared" si="126"/>
        <v>1206.4649711191137</v>
      </c>
      <c r="AE439" s="789"/>
      <c r="AF439" s="780"/>
      <c r="AH439" s="101">
        <f t="shared" si="121"/>
        <v>1000000</v>
      </c>
      <c r="AI439" s="101">
        <f t="shared" si="119"/>
        <v>0</v>
      </c>
      <c r="AJ439" s="153">
        <v>1</v>
      </c>
      <c r="AK439" s="121">
        <f t="shared" si="122"/>
        <v>30</v>
      </c>
      <c r="AL439" s="158">
        <f t="shared" si="120"/>
        <v>195.15223741037579</v>
      </c>
    </row>
    <row r="440" spans="23:38" ht="15.75" hidden="1" thickBot="1">
      <c r="W440" s="777"/>
      <c r="X440" s="121">
        <f t="shared" si="116"/>
        <v>34</v>
      </c>
      <c r="Y440" s="122">
        <f t="shared" si="118"/>
        <v>240.53670156029284</v>
      </c>
      <c r="Z440" s="123">
        <f t="shared" si="123"/>
        <v>481.07340312058568</v>
      </c>
      <c r="AA440" s="123">
        <f t="shared" si="124"/>
        <v>721.61010468087852</v>
      </c>
      <c r="AB440" s="123">
        <f t="shared" si="125"/>
        <v>962.14680624117136</v>
      </c>
      <c r="AC440" s="123">
        <f t="shared" si="126"/>
        <v>1202.6835078014642</v>
      </c>
      <c r="AE440" s="789"/>
      <c r="AF440" s="780"/>
      <c r="AH440" s="101">
        <f t="shared" si="121"/>
        <v>1000000</v>
      </c>
      <c r="AI440" s="101">
        <f t="shared" si="119"/>
        <v>0</v>
      </c>
      <c r="AJ440" s="153">
        <v>1</v>
      </c>
      <c r="AK440" s="121">
        <f t="shared" si="122"/>
        <v>31</v>
      </c>
      <c r="AL440" s="158">
        <f t="shared" si="120"/>
        <v>194.69023098769341</v>
      </c>
    </row>
    <row r="441" spans="23:38" ht="15.75" hidden="1" thickBot="1">
      <c r="W441" s="777"/>
      <c r="X441" s="121">
        <f t="shared" si="116"/>
        <v>35</v>
      </c>
      <c r="Y441" s="122">
        <f t="shared" si="118"/>
        <v>239.78040889676294</v>
      </c>
      <c r="Z441" s="123">
        <f t="shared" si="123"/>
        <v>479.56081779352587</v>
      </c>
      <c r="AA441" s="123">
        <f t="shared" si="124"/>
        <v>719.34122669028875</v>
      </c>
      <c r="AB441" s="123">
        <f t="shared" si="125"/>
        <v>959.12163558705174</v>
      </c>
      <c r="AC441" s="123">
        <f t="shared" si="126"/>
        <v>1198.9020444838147</v>
      </c>
      <c r="AE441" s="789"/>
      <c r="AF441" s="780"/>
      <c r="AH441" s="101">
        <f t="shared" si="121"/>
        <v>1000000</v>
      </c>
      <c r="AI441" s="101">
        <f t="shared" si="119"/>
        <v>0</v>
      </c>
      <c r="AJ441" s="153">
        <v>1</v>
      </c>
      <c r="AK441" s="121">
        <f t="shared" si="122"/>
        <v>32</v>
      </c>
      <c r="AL441" s="158">
        <f t="shared" ref="AL441:AL472" si="127">Z34</f>
        <v>194.22822456501106</v>
      </c>
    </row>
    <row r="442" spans="23:38" ht="15.75" hidden="1" thickBot="1">
      <c r="W442" s="777"/>
      <c r="X442" s="121">
        <f t="shared" si="116"/>
        <v>36</v>
      </c>
      <c r="Y442" s="122">
        <f t="shared" si="118"/>
        <v>239.02411623323303</v>
      </c>
      <c r="Z442" s="123">
        <f t="shared" si="123"/>
        <v>478.04823246646606</v>
      </c>
      <c r="AA442" s="123">
        <f t="shared" si="124"/>
        <v>717.07234869969909</v>
      </c>
      <c r="AB442" s="123">
        <f t="shared" si="125"/>
        <v>956.09646493293212</v>
      </c>
      <c r="AC442" s="123">
        <f t="shared" si="126"/>
        <v>1195.1205811661653</v>
      </c>
      <c r="AE442" s="789"/>
      <c r="AF442" s="780"/>
      <c r="AH442" s="101">
        <f t="shared" si="121"/>
        <v>1000000</v>
      </c>
      <c r="AI442" s="101">
        <f t="shared" si="119"/>
        <v>0</v>
      </c>
      <c r="AJ442" s="153">
        <v>1</v>
      </c>
      <c r="AK442" s="121">
        <f t="shared" si="122"/>
        <v>33</v>
      </c>
      <c r="AL442" s="158">
        <f t="shared" si="127"/>
        <v>193.76621814232868</v>
      </c>
    </row>
    <row r="443" spans="23:38" ht="15.75" hidden="1" thickBot="1">
      <c r="W443" s="777"/>
      <c r="X443" s="121">
        <f t="shared" si="116"/>
        <v>37</v>
      </c>
      <c r="Y443" s="122">
        <f t="shared" si="118"/>
        <v>238.26782356970313</v>
      </c>
      <c r="Z443" s="123">
        <f t="shared" si="123"/>
        <v>476.53564713940625</v>
      </c>
      <c r="AA443" s="123">
        <f t="shared" si="124"/>
        <v>714.80347070910943</v>
      </c>
      <c r="AB443" s="123">
        <f t="shared" si="125"/>
        <v>953.0712942788125</v>
      </c>
      <c r="AC443" s="123">
        <f t="shared" si="126"/>
        <v>1191.3391178485156</v>
      </c>
      <c r="AE443" s="789"/>
      <c r="AF443" s="780"/>
      <c r="AH443" s="101">
        <f t="shared" si="121"/>
        <v>1000000</v>
      </c>
      <c r="AI443" s="101">
        <f t="shared" si="119"/>
        <v>0</v>
      </c>
      <c r="AJ443" s="153">
        <v>1</v>
      </c>
      <c r="AK443" s="121">
        <f t="shared" si="122"/>
        <v>34</v>
      </c>
      <c r="AL443" s="158">
        <f t="shared" si="127"/>
        <v>193.30421171964633</v>
      </c>
    </row>
    <row r="444" spans="23:38" ht="15.75" hidden="1" thickBot="1">
      <c r="W444" s="777"/>
      <c r="X444" s="121">
        <f t="shared" si="116"/>
        <v>38</v>
      </c>
      <c r="Y444" s="122">
        <f t="shared" si="118"/>
        <v>237.51153090617322</v>
      </c>
      <c r="Z444" s="123">
        <f t="shared" si="123"/>
        <v>475.02306181234644</v>
      </c>
      <c r="AA444" s="123">
        <f t="shared" si="124"/>
        <v>712.53459271851966</v>
      </c>
      <c r="AB444" s="123">
        <f t="shared" si="125"/>
        <v>950.04612362469288</v>
      </c>
      <c r="AC444" s="123">
        <f t="shared" si="126"/>
        <v>1187.5576545308661</v>
      </c>
      <c r="AE444" s="789"/>
      <c r="AF444" s="780"/>
      <c r="AH444" s="101">
        <f t="shared" si="121"/>
        <v>1000000</v>
      </c>
      <c r="AI444" s="101">
        <f t="shared" si="119"/>
        <v>0</v>
      </c>
      <c r="AJ444" s="153">
        <v>1</v>
      </c>
      <c r="AK444" s="121">
        <f t="shared" si="122"/>
        <v>35</v>
      </c>
      <c r="AL444" s="158">
        <f t="shared" si="127"/>
        <v>192.84220529696395</v>
      </c>
    </row>
    <row r="445" spans="23:38" ht="15.75" hidden="1" thickBot="1">
      <c r="W445" s="777"/>
      <c r="X445" s="121">
        <f t="shared" si="116"/>
        <v>39</v>
      </c>
      <c r="Y445" s="122">
        <f t="shared" si="118"/>
        <v>236.75523824264329</v>
      </c>
      <c r="Z445" s="123">
        <f t="shared" si="123"/>
        <v>473.51047648528657</v>
      </c>
      <c r="AA445" s="123">
        <f t="shared" si="124"/>
        <v>710.26571472792989</v>
      </c>
      <c r="AB445" s="123">
        <f t="shared" si="125"/>
        <v>947.02095297057315</v>
      </c>
      <c r="AC445" s="123">
        <f t="shared" si="126"/>
        <v>1183.7761912132164</v>
      </c>
      <c r="AE445" s="789"/>
      <c r="AF445" s="780"/>
      <c r="AH445" s="101">
        <f t="shared" si="121"/>
        <v>1000000</v>
      </c>
      <c r="AI445" s="101">
        <f t="shared" si="119"/>
        <v>0</v>
      </c>
      <c r="AJ445" s="153">
        <v>1</v>
      </c>
      <c r="AK445" s="121">
        <f t="shared" si="122"/>
        <v>36</v>
      </c>
      <c r="AL445" s="158">
        <f t="shared" si="127"/>
        <v>192.38019887428158</v>
      </c>
    </row>
    <row r="446" spans="23:38" ht="15.75" hidden="1" thickBot="1">
      <c r="W446" s="777"/>
      <c r="X446" s="121">
        <f t="shared" si="116"/>
        <v>40</v>
      </c>
      <c r="Y446" s="122">
        <f t="shared" si="118"/>
        <v>235.99894557911335</v>
      </c>
      <c r="Z446" s="123">
        <f t="shared" si="123"/>
        <v>471.99789115822671</v>
      </c>
      <c r="AA446" s="123">
        <f t="shared" si="124"/>
        <v>707.99683673734012</v>
      </c>
      <c r="AB446" s="123">
        <f t="shared" si="125"/>
        <v>943.99578231645341</v>
      </c>
      <c r="AC446" s="123">
        <f t="shared" si="126"/>
        <v>1179.9947278955667</v>
      </c>
      <c r="AE446" s="789"/>
      <c r="AF446" s="780"/>
      <c r="AH446" s="101">
        <f t="shared" si="121"/>
        <v>1000000</v>
      </c>
      <c r="AI446" s="101">
        <f t="shared" si="119"/>
        <v>0</v>
      </c>
      <c r="AJ446" s="153">
        <v>1</v>
      </c>
      <c r="AK446" s="121">
        <f t="shared" si="122"/>
        <v>37</v>
      </c>
      <c r="AL446" s="158">
        <f t="shared" si="127"/>
        <v>191.91819245159923</v>
      </c>
    </row>
    <row r="447" spans="23:38" ht="15.75" hidden="1" thickBot="1">
      <c r="W447" s="777"/>
      <c r="X447" s="121">
        <f t="shared" si="116"/>
        <v>41</v>
      </c>
      <c r="Y447" s="122">
        <f t="shared" si="118"/>
        <v>235.24265291558348</v>
      </c>
      <c r="Z447" s="123">
        <f t="shared" si="123"/>
        <v>470.48530583116695</v>
      </c>
      <c r="AA447" s="123">
        <f t="shared" si="124"/>
        <v>705.72795874675046</v>
      </c>
      <c r="AB447" s="123">
        <f t="shared" si="125"/>
        <v>940.97061166233391</v>
      </c>
      <c r="AC447" s="123">
        <f t="shared" si="126"/>
        <v>1176.2132645779175</v>
      </c>
      <c r="AE447" s="789"/>
      <c r="AF447" s="780"/>
      <c r="AH447" s="101">
        <f t="shared" si="121"/>
        <v>1000000</v>
      </c>
      <c r="AI447" s="101">
        <f t="shared" si="119"/>
        <v>0</v>
      </c>
      <c r="AJ447" s="153">
        <v>1</v>
      </c>
      <c r="AK447" s="121">
        <f t="shared" si="122"/>
        <v>38</v>
      </c>
      <c r="AL447" s="158">
        <f t="shared" si="127"/>
        <v>191.45618602891687</v>
      </c>
    </row>
    <row r="448" spans="23:38" ht="15.75" hidden="1" thickBot="1">
      <c r="W448" s="777"/>
      <c r="X448" s="121">
        <f t="shared" si="116"/>
        <v>42</v>
      </c>
      <c r="Y448" s="122">
        <f t="shared" si="118"/>
        <v>234.48636025205357</v>
      </c>
      <c r="Z448" s="123">
        <f t="shared" si="123"/>
        <v>468.97272050410714</v>
      </c>
      <c r="AA448" s="123">
        <f t="shared" si="124"/>
        <v>703.45908075616069</v>
      </c>
      <c r="AB448" s="123">
        <f t="shared" si="125"/>
        <v>937.94544100821429</v>
      </c>
      <c r="AC448" s="123">
        <f t="shared" si="126"/>
        <v>1172.4318012602678</v>
      </c>
      <c r="AE448" s="789"/>
      <c r="AF448" s="780"/>
      <c r="AH448" s="101">
        <f t="shared" si="121"/>
        <v>1000000</v>
      </c>
      <c r="AI448" s="101">
        <f t="shared" si="119"/>
        <v>0</v>
      </c>
      <c r="AJ448" s="153">
        <v>1</v>
      </c>
      <c r="AK448" s="121">
        <f t="shared" si="122"/>
        <v>39</v>
      </c>
      <c r="AL448" s="158">
        <f t="shared" si="127"/>
        <v>190.9941796062345</v>
      </c>
    </row>
    <row r="449" spans="23:38" ht="15.75" hidden="1" thickBot="1">
      <c r="W449" s="777"/>
      <c r="X449" s="121">
        <f t="shared" si="116"/>
        <v>43</v>
      </c>
      <c r="Y449" s="122">
        <f t="shared" si="118"/>
        <v>233.73006758852364</v>
      </c>
      <c r="Z449" s="123">
        <f t="shared" si="123"/>
        <v>467.46013517704728</v>
      </c>
      <c r="AA449" s="123">
        <f t="shared" si="124"/>
        <v>701.19020276557092</v>
      </c>
      <c r="AB449" s="123">
        <f t="shared" si="125"/>
        <v>934.92027035409455</v>
      </c>
      <c r="AC449" s="123">
        <f t="shared" si="126"/>
        <v>1168.6503379426181</v>
      </c>
      <c r="AE449" s="789"/>
      <c r="AF449" s="780"/>
      <c r="AH449" s="101">
        <f t="shared" si="121"/>
        <v>1000000</v>
      </c>
      <c r="AI449" s="101">
        <f t="shared" si="119"/>
        <v>0</v>
      </c>
      <c r="AJ449" s="153">
        <v>1</v>
      </c>
      <c r="AK449" s="121">
        <f t="shared" si="122"/>
        <v>40</v>
      </c>
      <c r="AL449" s="158">
        <f t="shared" si="127"/>
        <v>190.53217318355215</v>
      </c>
    </row>
    <row r="450" spans="23:38" ht="15.75" hidden="1" thickBot="1">
      <c r="W450" s="777"/>
      <c r="X450" s="121">
        <f t="shared" si="116"/>
        <v>44</v>
      </c>
      <c r="Y450" s="122">
        <f t="shared" si="118"/>
        <v>232.97377492499373</v>
      </c>
      <c r="Z450" s="123">
        <f t="shared" si="123"/>
        <v>465.94754984998747</v>
      </c>
      <c r="AA450" s="123">
        <f t="shared" si="124"/>
        <v>698.92132477498126</v>
      </c>
      <c r="AB450" s="123">
        <f t="shared" si="125"/>
        <v>931.89509969997493</v>
      </c>
      <c r="AC450" s="123">
        <f t="shared" si="126"/>
        <v>1164.8688746249686</v>
      </c>
      <c r="AE450" s="789"/>
      <c r="AF450" s="780"/>
      <c r="AH450" s="101">
        <f t="shared" si="121"/>
        <v>1000000</v>
      </c>
      <c r="AI450" s="101">
        <f t="shared" si="119"/>
        <v>0</v>
      </c>
      <c r="AJ450" s="153">
        <v>1</v>
      </c>
      <c r="AK450" s="121">
        <f t="shared" si="122"/>
        <v>41</v>
      </c>
      <c r="AL450" s="158">
        <f t="shared" si="127"/>
        <v>190.07016676086977</v>
      </c>
    </row>
    <row r="451" spans="23:38" ht="15.75" hidden="1" thickBot="1">
      <c r="W451" s="777"/>
      <c r="X451" s="121">
        <f t="shared" si="116"/>
        <v>45</v>
      </c>
      <c r="Y451" s="122">
        <f t="shared" si="118"/>
        <v>232.21748226146383</v>
      </c>
      <c r="Z451" s="123">
        <f t="shared" si="123"/>
        <v>464.43496452292766</v>
      </c>
      <c r="AA451" s="123">
        <f t="shared" si="124"/>
        <v>696.65244678439149</v>
      </c>
      <c r="AB451" s="123">
        <f t="shared" si="125"/>
        <v>928.86992904585532</v>
      </c>
      <c r="AC451" s="123">
        <f t="shared" si="126"/>
        <v>1161.0874113073191</v>
      </c>
      <c r="AE451" s="789"/>
      <c r="AF451" s="780"/>
      <c r="AH451" s="101">
        <f t="shared" si="121"/>
        <v>1000000</v>
      </c>
      <c r="AI451" s="101">
        <f t="shared" si="119"/>
        <v>0</v>
      </c>
      <c r="AJ451" s="153">
        <v>1</v>
      </c>
      <c r="AK451" s="121">
        <f t="shared" si="122"/>
        <v>42</v>
      </c>
      <c r="AL451" s="158">
        <f t="shared" si="127"/>
        <v>189.60816033818742</v>
      </c>
    </row>
    <row r="452" spans="23:38" ht="15.75" hidden="1" thickBot="1">
      <c r="W452" s="777"/>
      <c r="X452" s="121">
        <f t="shared" ref="X452:X506" si="128">X451+1</f>
        <v>46</v>
      </c>
      <c r="Y452" s="122">
        <f t="shared" si="118"/>
        <v>231.46118959793392</v>
      </c>
      <c r="Z452" s="123">
        <f t="shared" si="123"/>
        <v>462.92237919586785</v>
      </c>
      <c r="AA452" s="123">
        <f t="shared" si="124"/>
        <v>694.38356879380171</v>
      </c>
      <c r="AB452" s="123">
        <f t="shared" si="125"/>
        <v>925.8447583917357</v>
      </c>
      <c r="AC452" s="123">
        <f t="shared" si="126"/>
        <v>1157.3059479896697</v>
      </c>
      <c r="AE452" s="789"/>
      <c r="AF452" s="780"/>
      <c r="AH452" s="101">
        <f t="shared" si="121"/>
        <v>1000000</v>
      </c>
      <c r="AI452" s="101">
        <f t="shared" si="119"/>
        <v>0</v>
      </c>
      <c r="AJ452" s="153">
        <v>1</v>
      </c>
      <c r="AK452" s="121">
        <f t="shared" si="122"/>
        <v>43</v>
      </c>
      <c r="AL452" s="158">
        <f t="shared" si="127"/>
        <v>189.14615391550504</v>
      </c>
    </row>
    <row r="453" spans="23:38" ht="15.75" hidden="1" thickBot="1">
      <c r="W453" s="777"/>
      <c r="X453" s="121">
        <f t="shared" si="128"/>
        <v>47</v>
      </c>
      <c r="Y453" s="122">
        <f t="shared" si="118"/>
        <v>230.70489693440402</v>
      </c>
      <c r="Z453" s="123">
        <f t="shared" si="123"/>
        <v>461.40979386880804</v>
      </c>
      <c r="AA453" s="123">
        <f t="shared" si="124"/>
        <v>692.11469080321206</v>
      </c>
      <c r="AB453" s="123">
        <f t="shared" si="125"/>
        <v>922.81958773761608</v>
      </c>
      <c r="AC453" s="123">
        <f t="shared" si="126"/>
        <v>1153.5244846720202</v>
      </c>
      <c r="AE453" s="789"/>
      <c r="AF453" s="780"/>
      <c r="AH453" s="101">
        <f t="shared" si="121"/>
        <v>1000000</v>
      </c>
      <c r="AI453" s="101">
        <f t="shared" si="119"/>
        <v>0</v>
      </c>
      <c r="AJ453" s="153">
        <v>1</v>
      </c>
      <c r="AK453" s="121">
        <f t="shared" si="122"/>
        <v>44</v>
      </c>
      <c r="AL453" s="158">
        <f t="shared" si="127"/>
        <v>188.68414749282269</v>
      </c>
    </row>
    <row r="454" spans="23:38" ht="15.75" hidden="1" thickBot="1">
      <c r="W454" s="777"/>
      <c r="X454" s="121">
        <f t="shared" si="128"/>
        <v>48</v>
      </c>
      <c r="Y454" s="122">
        <f t="shared" si="118"/>
        <v>229.94860427087411</v>
      </c>
      <c r="Z454" s="123">
        <f t="shared" si="123"/>
        <v>459.89720854174823</v>
      </c>
      <c r="AA454" s="123">
        <f t="shared" si="124"/>
        <v>689.8458128126224</v>
      </c>
      <c r="AB454" s="123">
        <f t="shared" si="125"/>
        <v>919.79441708349646</v>
      </c>
      <c r="AC454" s="123">
        <f t="shared" si="126"/>
        <v>1149.7430213543705</v>
      </c>
      <c r="AE454" s="789"/>
      <c r="AF454" s="780"/>
      <c r="AH454" s="101">
        <f t="shared" si="121"/>
        <v>1000000</v>
      </c>
      <c r="AI454" s="101">
        <f t="shared" si="119"/>
        <v>0</v>
      </c>
      <c r="AJ454" s="153">
        <v>1</v>
      </c>
      <c r="AK454" s="121">
        <f t="shared" si="122"/>
        <v>45</v>
      </c>
      <c r="AL454" s="158">
        <f t="shared" si="127"/>
        <v>188.22214107014031</v>
      </c>
    </row>
    <row r="455" spans="23:38" ht="15.75" hidden="1" thickBot="1">
      <c r="W455" s="777"/>
      <c r="X455" s="121">
        <f t="shared" si="128"/>
        <v>49</v>
      </c>
      <c r="Y455" s="122">
        <f t="shared" si="118"/>
        <v>229.19231160734418</v>
      </c>
      <c r="Z455" s="123">
        <f t="shared" si="123"/>
        <v>458.38462321468836</v>
      </c>
      <c r="AA455" s="123">
        <f t="shared" si="124"/>
        <v>687.57693482203251</v>
      </c>
      <c r="AB455" s="123">
        <f t="shared" si="125"/>
        <v>916.76924642937672</v>
      </c>
      <c r="AC455" s="123">
        <f t="shared" si="126"/>
        <v>1145.9615580367208</v>
      </c>
      <c r="AE455" s="789"/>
      <c r="AF455" s="780"/>
      <c r="AH455" s="101">
        <f t="shared" si="121"/>
        <v>1000000</v>
      </c>
      <c r="AI455" s="101">
        <f t="shared" si="119"/>
        <v>0</v>
      </c>
      <c r="AJ455" s="153">
        <v>1</v>
      </c>
      <c r="AK455" s="121">
        <f t="shared" si="122"/>
        <v>46</v>
      </c>
      <c r="AL455" s="158">
        <f t="shared" si="127"/>
        <v>187.76013464745796</v>
      </c>
    </row>
    <row r="456" spans="23:38" ht="15.75" hidden="1" thickBot="1">
      <c r="W456" s="777"/>
      <c r="X456" s="121">
        <f t="shared" si="128"/>
        <v>50</v>
      </c>
      <c r="Y456" s="122">
        <f t="shared" si="118"/>
        <v>228.43601894381425</v>
      </c>
      <c r="Z456" s="123">
        <f t="shared" si="123"/>
        <v>456.87203788762849</v>
      </c>
      <c r="AA456" s="123">
        <f t="shared" si="124"/>
        <v>685.30805683144274</v>
      </c>
      <c r="AB456" s="123">
        <f t="shared" si="125"/>
        <v>913.74407577525699</v>
      </c>
      <c r="AC456" s="123">
        <f t="shared" si="126"/>
        <v>1142.1800947190713</v>
      </c>
      <c r="AE456" s="789"/>
      <c r="AF456" s="780"/>
      <c r="AH456" s="101">
        <f t="shared" si="121"/>
        <v>1000000</v>
      </c>
      <c r="AI456" s="101">
        <f t="shared" si="119"/>
        <v>0</v>
      </c>
      <c r="AJ456" s="153">
        <v>1</v>
      </c>
      <c r="AK456" s="121">
        <f t="shared" si="122"/>
        <v>47</v>
      </c>
      <c r="AL456" s="158">
        <f t="shared" si="127"/>
        <v>187.29812822477558</v>
      </c>
    </row>
    <row r="457" spans="23:38" ht="15.75" hidden="1" thickBot="1">
      <c r="W457" s="777"/>
      <c r="X457" s="121">
        <f t="shared" si="128"/>
        <v>51</v>
      </c>
      <c r="Y457" s="122">
        <f t="shared" si="118"/>
        <v>227.67972628028437</v>
      </c>
      <c r="Z457" s="123">
        <f t="shared" si="123"/>
        <v>455.35945256056874</v>
      </c>
      <c r="AA457" s="123">
        <f t="shared" si="124"/>
        <v>683.03917884085308</v>
      </c>
      <c r="AB457" s="123">
        <f t="shared" si="125"/>
        <v>910.71890512113748</v>
      </c>
      <c r="AC457" s="123">
        <f t="shared" si="126"/>
        <v>1138.3986314014219</v>
      </c>
      <c r="AE457" s="789"/>
      <c r="AF457" s="780"/>
      <c r="AH457" s="101">
        <f t="shared" si="121"/>
        <v>1000000</v>
      </c>
      <c r="AI457" s="101">
        <f t="shared" si="119"/>
        <v>0</v>
      </c>
      <c r="AJ457" s="153">
        <v>1</v>
      </c>
      <c r="AK457" s="121">
        <f t="shared" si="122"/>
        <v>48</v>
      </c>
      <c r="AL457" s="158">
        <f t="shared" si="127"/>
        <v>186.83612180209323</v>
      </c>
    </row>
    <row r="458" spans="23:38" ht="15.75" hidden="1" thickBot="1">
      <c r="W458" s="777"/>
      <c r="X458" s="121">
        <f t="shared" si="128"/>
        <v>52</v>
      </c>
      <c r="Y458" s="122">
        <f t="shared" si="118"/>
        <v>226.92343361675447</v>
      </c>
      <c r="Z458" s="123">
        <f t="shared" si="123"/>
        <v>453.84686723350893</v>
      </c>
      <c r="AA458" s="123">
        <f t="shared" si="124"/>
        <v>680.77030085026342</v>
      </c>
      <c r="AB458" s="123">
        <f t="shared" si="125"/>
        <v>907.69373446701786</v>
      </c>
      <c r="AC458" s="123">
        <f t="shared" si="126"/>
        <v>1134.6171680837724</v>
      </c>
      <c r="AE458" s="789"/>
      <c r="AF458" s="780"/>
      <c r="AH458" s="101">
        <f t="shared" si="121"/>
        <v>1000000</v>
      </c>
      <c r="AI458" s="101">
        <f t="shared" si="119"/>
        <v>0</v>
      </c>
      <c r="AJ458" s="153">
        <v>1</v>
      </c>
      <c r="AK458" s="121">
        <f t="shared" si="122"/>
        <v>49</v>
      </c>
      <c r="AL458" s="158">
        <f t="shared" si="127"/>
        <v>186.37411537941085</v>
      </c>
    </row>
    <row r="459" spans="23:38" ht="15.75" hidden="1" thickBot="1">
      <c r="W459" s="777"/>
      <c r="X459" s="121">
        <f t="shared" si="128"/>
        <v>53</v>
      </c>
      <c r="Y459" s="122">
        <f t="shared" si="118"/>
        <v>226.16714095322453</v>
      </c>
      <c r="Z459" s="123">
        <f t="shared" si="123"/>
        <v>452.33428190644906</v>
      </c>
      <c r="AA459" s="123">
        <f t="shared" si="124"/>
        <v>678.50142285967354</v>
      </c>
      <c r="AB459" s="123">
        <f t="shared" si="125"/>
        <v>904.66856381289813</v>
      </c>
      <c r="AC459" s="123">
        <f t="shared" si="126"/>
        <v>1130.8357047661227</v>
      </c>
      <c r="AE459" s="789"/>
      <c r="AF459" s="780"/>
      <c r="AH459" s="101">
        <f t="shared" si="121"/>
        <v>1000000</v>
      </c>
      <c r="AI459" s="101">
        <f t="shared" si="119"/>
        <v>0</v>
      </c>
      <c r="AJ459" s="153">
        <v>1</v>
      </c>
      <c r="AK459" s="121">
        <f t="shared" si="122"/>
        <v>50</v>
      </c>
      <c r="AL459" s="158">
        <f t="shared" si="127"/>
        <v>185.9121089567285</v>
      </c>
    </row>
    <row r="460" spans="23:38" ht="15.75" hidden="1" thickBot="1">
      <c r="W460" s="777"/>
      <c r="X460" s="121">
        <f t="shared" si="128"/>
        <v>54</v>
      </c>
      <c r="Y460" s="122">
        <f t="shared" si="118"/>
        <v>225.41084828969463</v>
      </c>
      <c r="Z460" s="123">
        <f t="shared" si="123"/>
        <v>450.82169657938925</v>
      </c>
      <c r="AA460" s="123">
        <f t="shared" si="124"/>
        <v>676.23254486908388</v>
      </c>
      <c r="AB460" s="123">
        <f t="shared" si="125"/>
        <v>901.64339315877851</v>
      </c>
      <c r="AC460" s="123">
        <f t="shared" si="126"/>
        <v>1127.054241448473</v>
      </c>
      <c r="AE460" s="789"/>
      <c r="AF460" s="780"/>
      <c r="AH460" s="101">
        <f t="shared" si="121"/>
        <v>1000000</v>
      </c>
      <c r="AI460" s="101">
        <f t="shared" si="119"/>
        <v>0</v>
      </c>
      <c r="AJ460" s="153">
        <v>1</v>
      </c>
      <c r="AK460" s="121">
        <f t="shared" si="122"/>
        <v>51</v>
      </c>
      <c r="AL460" s="158">
        <f t="shared" si="127"/>
        <v>185.45010253404615</v>
      </c>
    </row>
    <row r="461" spans="23:38" ht="15.75" hidden="1" thickBot="1">
      <c r="W461" s="777"/>
      <c r="X461" s="121">
        <f t="shared" si="128"/>
        <v>55</v>
      </c>
      <c r="Y461" s="122">
        <f t="shared" si="118"/>
        <v>224.65455562616472</v>
      </c>
      <c r="Z461" s="123">
        <f t="shared" si="123"/>
        <v>449.30911125232944</v>
      </c>
      <c r="AA461" s="123">
        <f t="shared" si="124"/>
        <v>673.96366687849422</v>
      </c>
      <c r="AB461" s="123">
        <f t="shared" si="125"/>
        <v>898.61822250465889</v>
      </c>
      <c r="AC461" s="123">
        <f t="shared" si="126"/>
        <v>1123.2727781308236</v>
      </c>
      <c r="AE461" s="789"/>
      <c r="AF461" s="780"/>
      <c r="AH461" s="101">
        <f t="shared" si="121"/>
        <v>1000000</v>
      </c>
      <c r="AI461" s="101">
        <f t="shared" si="119"/>
        <v>0</v>
      </c>
      <c r="AJ461" s="153">
        <v>1</v>
      </c>
      <c r="AK461" s="121">
        <f t="shared" si="122"/>
        <v>52</v>
      </c>
      <c r="AL461" s="158">
        <f t="shared" si="127"/>
        <v>184.98809611136377</v>
      </c>
    </row>
    <row r="462" spans="23:38" ht="15.75" hidden="1" thickBot="1">
      <c r="W462" s="777"/>
      <c r="X462" s="121">
        <f t="shared" si="128"/>
        <v>56</v>
      </c>
      <c r="Y462" s="122">
        <f t="shared" si="118"/>
        <v>223.89826296263482</v>
      </c>
      <c r="Z462" s="123">
        <f t="shared" si="123"/>
        <v>447.79652592526963</v>
      </c>
      <c r="AA462" s="123">
        <f t="shared" si="124"/>
        <v>671.69478888790445</v>
      </c>
      <c r="AB462" s="123">
        <f t="shared" si="125"/>
        <v>895.59305185053927</v>
      </c>
      <c r="AC462" s="123">
        <f t="shared" si="126"/>
        <v>1119.4913148131741</v>
      </c>
      <c r="AE462" s="789"/>
      <c r="AF462" s="780"/>
      <c r="AH462" s="101">
        <f t="shared" si="121"/>
        <v>1000000</v>
      </c>
      <c r="AI462" s="101">
        <f t="shared" si="119"/>
        <v>0</v>
      </c>
      <c r="AJ462" s="153">
        <v>1</v>
      </c>
      <c r="AK462" s="121">
        <f t="shared" si="122"/>
        <v>53</v>
      </c>
      <c r="AL462" s="158">
        <f t="shared" si="127"/>
        <v>184.5260896886814</v>
      </c>
    </row>
    <row r="463" spans="23:38" ht="15.75" hidden="1" thickBot="1">
      <c r="W463" s="777"/>
      <c r="X463" s="121">
        <f t="shared" si="128"/>
        <v>57</v>
      </c>
      <c r="Y463" s="122">
        <f t="shared" si="118"/>
        <v>223.14197029910491</v>
      </c>
      <c r="Z463" s="123">
        <f t="shared" si="123"/>
        <v>446.28394059820982</v>
      </c>
      <c r="AA463" s="123">
        <f t="shared" si="124"/>
        <v>669.42591089731468</v>
      </c>
      <c r="AB463" s="123">
        <f t="shared" si="125"/>
        <v>892.56788119641965</v>
      </c>
      <c r="AC463" s="123">
        <f t="shared" si="126"/>
        <v>1115.7098514955246</v>
      </c>
      <c r="AE463" s="789"/>
      <c r="AF463" s="780"/>
      <c r="AH463" s="101">
        <f t="shared" si="121"/>
        <v>1000000</v>
      </c>
      <c r="AI463" s="101">
        <f t="shared" si="119"/>
        <v>0</v>
      </c>
      <c r="AJ463" s="153">
        <v>1</v>
      </c>
      <c r="AK463" s="121">
        <f t="shared" si="122"/>
        <v>54</v>
      </c>
      <c r="AL463" s="158">
        <f t="shared" si="127"/>
        <v>184.06408326599905</v>
      </c>
    </row>
    <row r="464" spans="23:38" ht="15.75" hidden="1" thickBot="1">
      <c r="W464" s="777"/>
      <c r="X464" s="121">
        <f t="shared" si="128"/>
        <v>58</v>
      </c>
      <c r="Y464" s="122">
        <f t="shared" si="118"/>
        <v>222.38567763557501</v>
      </c>
      <c r="Z464" s="123">
        <f t="shared" si="123"/>
        <v>444.77135527115001</v>
      </c>
      <c r="AA464" s="123">
        <f t="shared" si="124"/>
        <v>667.15703290672502</v>
      </c>
      <c r="AB464" s="123">
        <f t="shared" si="125"/>
        <v>889.54271054230003</v>
      </c>
      <c r="AC464" s="123">
        <f t="shared" si="126"/>
        <v>1111.9283881778751</v>
      </c>
      <c r="AE464" s="789"/>
      <c r="AF464" s="780"/>
      <c r="AH464" s="101">
        <f t="shared" si="121"/>
        <v>1000000</v>
      </c>
      <c r="AI464" s="101">
        <f t="shared" si="119"/>
        <v>0</v>
      </c>
      <c r="AJ464" s="153">
        <v>1</v>
      </c>
      <c r="AK464" s="121">
        <f t="shared" si="122"/>
        <v>55</v>
      </c>
      <c r="AL464" s="158">
        <f t="shared" si="127"/>
        <v>183.60207684331669</v>
      </c>
    </row>
    <row r="465" spans="23:38" ht="15.75" hidden="1" thickBot="1">
      <c r="W465" s="777"/>
      <c r="X465" s="121">
        <f t="shared" si="128"/>
        <v>59</v>
      </c>
      <c r="Y465" s="122">
        <f t="shared" si="118"/>
        <v>221.6293849720451</v>
      </c>
      <c r="Z465" s="123">
        <f t="shared" si="123"/>
        <v>443.2587699440902</v>
      </c>
      <c r="AA465" s="123">
        <f t="shared" si="124"/>
        <v>664.88815491613536</v>
      </c>
      <c r="AB465" s="123">
        <f t="shared" si="125"/>
        <v>886.51753988818041</v>
      </c>
      <c r="AC465" s="123">
        <f t="shared" si="126"/>
        <v>1108.1469248602255</v>
      </c>
      <c r="AE465" s="789"/>
      <c r="AF465" s="780"/>
      <c r="AH465" s="101">
        <f t="shared" si="121"/>
        <v>1000000</v>
      </c>
      <c r="AI465" s="101">
        <f t="shared" si="119"/>
        <v>0</v>
      </c>
      <c r="AJ465" s="153">
        <v>1</v>
      </c>
      <c r="AK465" s="121">
        <f t="shared" si="122"/>
        <v>56</v>
      </c>
      <c r="AL465" s="158">
        <f t="shared" si="127"/>
        <v>183.14007042063432</v>
      </c>
    </row>
    <row r="466" spans="23:38" ht="15.75" hidden="1" thickBot="1">
      <c r="W466" s="777"/>
      <c r="X466" s="121">
        <f t="shared" si="128"/>
        <v>60</v>
      </c>
      <c r="Y466" s="122">
        <f t="shared" si="118"/>
        <v>220.87309230851517</v>
      </c>
      <c r="Z466" s="123">
        <f t="shared" si="123"/>
        <v>441.74618461703034</v>
      </c>
      <c r="AA466" s="123">
        <f t="shared" si="124"/>
        <v>662.61927692554548</v>
      </c>
      <c r="AB466" s="123">
        <f t="shared" si="125"/>
        <v>883.49236923406067</v>
      </c>
      <c r="AC466" s="123">
        <f t="shared" si="126"/>
        <v>1104.3654615425758</v>
      </c>
      <c r="AE466" s="789"/>
      <c r="AF466" s="780"/>
      <c r="AH466" s="101">
        <f t="shared" si="121"/>
        <v>1000000</v>
      </c>
      <c r="AI466" s="101">
        <f t="shared" si="119"/>
        <v>0</v>
      </c>
      <c r="AJ466" s="153">
        <v>1</v>
      </c>
      <c r="AK466" s="121">
        <f t="shared" si="122"/>
        <v>57</v>
      </c>
      <c r="AL466" s="158">
        <f t="shared" si="127"/>
        <v>182.67806399795194</v>
      </c>
    </row>
    <row r="467" spans="23:38" ht="15.75" hidden="1" thickBot="1">
      <c r="W467" s="777"/>
      <c r="X467" s="121">
        <f t="shared" si="128"/>
        <v>61</v>
      </c>
      <c r="Y467" s="122">
        <f t="shared" si="118"/>
        <v>220.11679964498526</v>
      </c>
      <c r="Z467" s="123">
        <f t="shared" si="123"/>
        <v>440.23359928997053</v>
      </c>
      <c r="AA467" s="123">
        <f t="shared" si="124"/>
        <v>660.35039893495582</v>
      </c>
      <c r="AB467" s="123">
        <f t="shared" si="125"/>
        <v>880.46719857994105</v>
      </c>
      <c r="AC467" s="123">
        <f t="shared" si="126"/>
        <v>1100.5839982249263</v>
      </c>
      <c r="AE467" s="789"/>
      <c r="AF467" s="780"/>
      <c r="AH467" s="101">
        <f t="shared" si="121"/>
        <v>1000000</v>
      </c>
      <c r="AI467" s="101">
        <f t="shared" si="119"/>
        <v>0</v>
      </c>
      <c r="AJ467" s="153">
        <v>1</v>
      </c>
      <c r="AK467" s="121">
        <f t="shared" si="122"/>
        <v>58</v>
      </c>
      <c r="AL467" s="158">
        <f t="shared" si="127"/>
        <v>182.21605757526959</v>
      </c>
    </row>
    <row r="468" spans="23:38" ht="15.75" hidden="1" thickBot="1">
      <c r="W468" s="777"/>
      <c r="X468" s="121">
        <f t="shared" si="128"/>
        <v>62</v>
      </c>
      <c r="Y468" s="122">
        <f t="shared" si="118"/>
        <v>219.36050698145533</v>
      </c>
      <c r="Z468" s="123">
        <f t="shared" si="123"/>
        <v>438.72101396291066</v>
      </c>
      <c r="AA468" s="123">
        <f t="shared" si="124"/>
        <v>658.08152094436605</v>
      </c>
      <c r="AB468" s="123">
        <f t="shared" si="125"/>
        <v>877.44202792582132</v>
      </c>
      <c r="AC468" s="123">
        <f t="shared" si="126"/>
        <v>1096.8025349072766</v>
      </c>
      <c r="AE468" s="789"/>
      <c r="AF468" s="780"/>
      <c r="AH468" s="101">
        <f t="shared" si="121"/>
        <v>1000000</v>
      </c>
      <c r="AI468" s="101">
        <f t="shared" si="119"/>
        <v>0</v>
      </c>
      <c r="AJ468" s="153">
        <v>1</v>
      </c>
      <c r="AK468" s="121">
        <f t="shared" si="122"/>
        <v>59</v>
      </c>
      <c r="AL468" s="158">
        <f t="shared" si="127"/>
        <v>181.75405115258724</v>
      </c>
    </row>
    <row r="469" spans="23:38" ht="15.75" hidden="1" thickBot="1">
      <c r="W469" s="777"/>
      <c r="X469" s="121">
        <f t="shared" si="128"/>
        <v>63</v>
      </c>
      <c r="Y469" s="122">
        <f t="shared" si="118"/>
        <v>218.60421431792545</v>
      </c>
      <c r="Z469" s="123">
        <f t="shared" si="123"/>
        <v>437.20842863585091</v>
      </c>
      <c r="AA469" s="123">
        <f t="shared" si="124"/>
        <v>655.81264295377639</v>
      </c>
      <c r="AB469" s="123">
        <f t="shared" si="125"/>
        <v>874.41685727170182</v>
      </c>
      <c r="AC469" s="123">
        <f t="shared" si="126"/>
        <v>1093.0210715896274</v>
      </c>
      <c r="AE469" s="789"/>
      <c r="AF469" s="780"/>
      <c r="AH469" s="101">
        <f t="shared" si="121"/>
        <v>1000000</v>
      </c>
      <c r="AI469" s="101">
        <f t="shared" si="119"/>
        <v>0</v>
      </c>
      <c r="AJ469" s="153">
        <v>1</v>
      </c>
      <c r="AK469" s="121">
        <f t="shared" si="122"/>
        <v>60</v>
      </c>
      <c r="AL469" s="158">
        <f t="shared" si="127"/>
        <v>181.29204472990486</v>
      </c>
    </row>
    <row r="470" spans="23:38" ht="15.75" hidden="1" thickBot="1">
      <c r="W470" s="777"/>
      <c r="X470" s="121">
        <f t="shared" si="128"/>
        <v>64</v>
      </c>
      <c r="Y470" s="122">
        <f t="shared" si="118"/>
        <v>217.84792165439552</v>
      </c>
      <c r="Z470" s="123">
        <f t="shared" si="123"/>
        <v>435.69584330879104</v>
      </c>
      <c r="AA470" s="123">
        <f t="shared" si="124"/>
        <v>653.5437649631865</v>
      </c>
      <c r="AB470" s="123">
        <f t="shared" si="125"/>
        <v>871.39168661758208</v>
      </c>
      <c r="AC470" s="123">
        <f t="shared" si="126"/>
        <v>1089.2396082719777</v>
      </c>
      <c r="AE470" s="789"/>
      <c r="AF470" s="780"/>
      <c r="AH470" s="101">
        <f t="shared" si="121"/>
        <v>1000000</v>
      </c>
      <c r="AI470" s="101">
        <f t="shared" si="119"/>
        <v>0</v>
      </c>
      <c r="AJ470" s="153">
        <v>1</v>
      </c>
      <c r="AK470" s="121">
        <f t="shared" si="122"/>
        <v>61</v>
      </c>
      <c r="AL470" s="158">
        <f t="shared" si="127"/>
        <v>180.83003830722251</v>
      </c>
    </row>
    <row r="471" spans="23:38" ht="15.75" hidden="1" thickBot="1">
      <c r="W471" s="777"/>
      <c r="X471" s="121">
        <f t="shared" si="128"/>
        <v>65</v>
      </c>
      <c r="Y471" s="122">
        <f t="shared" ref="Y471:Y506" si="129">Y370+(Y370*15)/100</f>
        <v>217.09162899086562</v>
      </c>
      <c r="Z471" s="123">
        <f t="shared" si="123"/>
        <v>434.18325798173123</v>
      </c>
      <c r="AA471" s="123">
        <f t="shared" si="124"/>
        <v>651.27488697259685</v>
      </c>
      <c r="AB471" s="123">
        <f t="shared" si="125"/>
        <v>868.36651596346246</v>
      </c>
      <c r="AC471" s="123">
        <f t="shared" si="126"/>
        <v>1085.458144954328</v>
      </c>
      <c r="AE471" s="789"/>
      <c r="AF471" s="780"/>
      <c r="AH471" s="101">
        <f t="shared" si="121"/>
        <v>1000000</v>
      </c>
      <c r="AI471" s="101">
        <f t="shared" si="119"/>
        <v>0</v>
      </c>
      <c r="AJ471" s="153">
        <v>1</v>
      </c>
      <c r="AK471" s="121">
        <f t="shared" si="122"/>
        <v>62</v>
      </c>
      <c r="AL471" s="158">
        <f t="shared" si="127"/>
        <v>180.36803188454013</v>
      </c>
    </row>
    <row r="472" spans="23:38" ht="15.75" hidden="1" thickBot="1">
      <c r="W472" s="777"/>
      <c r="X472" s="121">
        <f t="shared" si="128"/>
        <v>66</v>
      </c>
      <c r="Y472" s="122">
        <f t="shared" si="129"/>
        <v>216.33533632733571</v>
      </c>
      <c r="Z472" s="123">
        <f t="shared" si="123"/>
        <v>432.67067265467142</v>
      </c>
      <c r="AA472" s="123">
        <f t="shared" si="124"/>
        <v>649.00600898200719</v>
      </c>
      <c r="AB472" s="123">
        <f t="shared" si="125"/>
        <v>865.34134530934284</v>
      </c>
      <c r="AC472" s="123">
        <f t="shared" si="126"/>
        <v>1081.6766816366785</v>
      </c>
      <c r="AE472" s="789"/>
      <c r="AF472" s="780"/>
      <c r="AH472" s="101">
        <f t="shared" si="121"/>
        <v>1000000</v>
      </c>
      <c r="AI472" s="101">
        <f t="shared" si="119"/>
        <v>0</v>
      </c>
      <c r="AJ472" s="153">
        <v>1</v>
      </c>
      <c r="AK472" s="121">
        <f t="shared" si="122"/>
        <v>63</v>
      </c>
      <c r="AL472" s="158">
        <f t="shared" si="127"/>
        <v>179.90602546185778</v>
      </c>
    </row>
    <row r="473" spans="23:38" ht="15.75" hidden="1" thickBot="1">
      <c r="W473" s="777"/>
      <c r="X473" s="121">
        <f t="shared" si="128"/>
        <v>67</v>
      </c>
      <c r="Y473" s="122">
        <f t="shared" si="129"/>
        <v>215.57904366380578</v>
      </c>
      <c r="Z473" s="123">
        <f t="shared" si="123"/>
        <v>431.15808732761155</v>
      </c>
      <c r="AA473" s="123">
        <f t="shared" si="124"/>
        <v>646.7371309914173</v>
      </c>
      <c r="AB473" s="123">
        <f t="shared" si="125"/>
        <v>862.31617465522311</v>
      </c>
      <c r="AC473" s="123">
        <f t="shared" si="126"/>
        <v>1077.8952183190288</v>
      </c>
      <c r="AE473" s="789"/>
      <c r="AF473" s="780"/>
      <c r="AH473" s="101">
        <f t="shared" si="121"/>
        <v>1000000</v>
      </c>
      <c r="AI473" s="101">
        <f t="shared" ref="AI473:AI536" si="130">IF(AL473&lt;$D$79,0,AH473)</f>
        <v>0</v>
      </c>
      <c r="AJ473" s="153">
        <v>1</v>
      </c>
      <c r="AK473" s="121">
        <f t="shared" si="122"/>
        <v>64</v>
      </c>
      <c r="AL473" s="158">
        <f t="shared" ref="AL473:AL504" si="131">Z66</f>
        <v>179.44401903917543</v>
      </c>
    </row>
    <row r="474" spans="23:38" ht="15.75" hidden="1" thickBot="1">
      <c r="W474" s="777"/>
      <c r="X474" s="121">
        <f t="shared" si="128"/>
        <v>68</v>
      </c>
      <c r="Y474" s="122">
        <f t="shared" si="129"/>
        <v>214.8227510002759</v>
      </c>
      <c r="Z474" s="123">
        <f t="shared" si="123"/>
        <v>429.6455020005518</v>
      </c>
      <c r="AA474" s="123">
        <f t="shared" si="124"/>
        <v>644.46825300082764</v>
      </c>
      <c r="AB474" s="123">
        <f t="shared" si="125"/>
        <v>859.2910040011036</v>
      </c>
      <c r="AC474" s="123">
        <f t="shared" si="126"/>
        <v>1074.1137550013796</v>
      </c>
      <c r="AE474" s="789"/>
      <c r="AF474" s="780"/>
      <c r="AH474" s="101">
        <f t="shared" ref="AH474:AH509" si="132">AQ67</f>
        <v>1000000</v>
      </c>
      <c r="AI474" s="101">
        <f t="shared" si="130"/>
        <v>0</v>
      </c>
      <c r="AJ474" s="153">
        <v>1</v>
      </c>
      <c r="AK474" s="121">
        <f t="shared" si="122"/>
        <v>65</v>
      </c>
      <c r="AL474" s="158">
        <f t="shared" si="131"/>
        <v>178.98201261649302</v>
      </c>
    </row>
    <row r="475" spans="23:38" ht="15.75" hidden="1" thickBot="1">
      <c r="W475" s="777"/>
      <c r="X475" s="121">
        <f t="shared" si="128"/>
        <v>69</v>
      </c>
      <c r="Y475" s="122">
        <f t="shared" si="129"/>
        <v>214.066458336746</v>
      </c>
      <c r="Z475" s="123">
        <f t="shared" si="123"/>
        <v>428.13291667349199</v>
      </c>
      <c r="AA475" s="123">
        <f t="shared" si="124"/>
        <v>642.19937501023799</v>
      </c>
      <c r="AB475" s="123">
        <f t="shared" si="125"/>
        <v>856.26583334698398</v>
      </c>
      <c r="AC475" s="123">
        <f t="shared" si="126"/>
        <v>1070.3322916837301</v>
      </c>
      <c r="AE475" s="789"/>
      <c r="AF475" s="780"/>
      <c r="AH475" s="101">
        <f t="shared" si="132"/>
        <v>1000000</v>
      </c>
      <c r="AI475" s="101">
        <f t="shared" si="130"/>
        <v>0</v>
      </c>
      <c r="AJ475" s="153">
        <v>1</v>
      </c>
      <c r="AK475" s="121">
        <f t="shared" ref="AK475:AK538" si="133">AK474+1</f>
        <v>66</v>
      </c>
      <c r="AL475" s="158">
        <f t="shared" si="131"/>
        <v>178.52000619381067</v>
      </c>
    </row>
    <row r="476" spans="23:38" ht="15.75" hidden="1" thickBot="1">
      <c r="W476" s="777"/>
      <c r="X476" s="121">
        <f t="shared" si="128"/>
        <v>70</v>
      </c>
      <c r="Y476" s="122">
        <f t="shared" si="129"/>
        <v>213.31016567321609</v>
      </c>
      <c r="Z476" s="123">
        <f t="shared" si="123"/>
        <v>426.62033134643218</v>
      </c>
      <c r="AA476" s="123">
        <f t="shared" si="124"/>
        <v>639.93049701964833</v>
      </c>
      <c r="AB476" s="123">
        <f t="shared" si="125"/>
        <v>853.24066269286436</v>
      </c>
      <c r="AC476" s="123">
        <f t="shared" si="126"/>
        <v>1066.5508283660804</v>
      </c>
      <c r="AE476" s="789"/>
      <c r="AF476" s="780"/>
      <c r="AH476" s="101">
        <f t="shared" si="132"/>
        <v>1000000</v>
      </c>
      <c r="AI476" s="101">
        <f t="shared" si="130"/>
        <v>0</v>
      </c>
      <c r="AJ476" s="153">
        <v>1</v>
      </c>
      <c r="AK476" s="121">
        <f t="shared" si="133"/>
        <v>67</v>
      </c>
      <c r="AL476" s="158">
        <f t="shared" si="131"/>
        <v>178.05799977112832</v>
      </c>
    </row>
    <row r="477" spans="23:38" ht="15.75" hidden="1" thickBot="1">
      <c r="W477" s="777"/>
      <c r="X477" s="121">
        <f t="shared" si="128"/>
        <v>71</v>
      </c>
      <c r="Y477" s="122">
        <f t="shared" si="129"/>
        <v>212.55387300968613</v>
      </c>
      <c r="Z477" s="123">
        <f t="shared" si="123"/>
        <v>425.10774601937226</v>
      </c>
      <c r="AA477" s="123">
        <f t="shared" si="124"/>
        <v>637.66161902905833</v>
      </c>
      <c r="AB477" s="123">
        <f t="shared" si="125"/>
        <v>850.21549203874451</v>
      </c>
      <c r="AC477" s="123">
        <f t="shared" si="126"/>
        <v>1062.7693650484307</v>
      </c>
      <c r="AE477" s="789"/>
      <c r="AF477" s="780"/>
      <c r="AH477" s="101">
        <f t="shared" si="132"/>
        <v>1000000</v>
      </c>
      <c r="AI477" s="101">
        <f t="shared" si="130"/>
        <v>0</v>
      </c>
      <c r="AJ477" s="153">
        <v>1</v>
      </c>
      <c r="AK477" s="121">
        <f t="shared" si="133"/>
        <v>68</v>
      </c>
      <c r="AL477" s="158">
        <f t="shared" si="131"/>
        <v>177.59599334844597</v>
      </c>
    </row>
    <row r="478" spans="23:38" ht="15.75" hidden="1" thickBot="1">
      <c r="W478" s="777"/>
      <c r="X478" s="121">
        <f t="shared" si="128"/>
        <v>72</v>
      </c>
      <c r="Y478" s="122">
        <f t="shared" si="129"/>
        <v>211.79758034615625</v>
      </c>
      <c r="Z478" s="123">
        <f t="shared" si="123"/>
        <v>423.5951606923125</v>
      </c>
      <c r="AA478" s="123">
        <f t="shared" si="124"/>
        <v>635.39274103846878</v>
      </c>
      <c r="AB478" s="123">
        <f t="shared" si="125"/>
        <v>847.19032138462501</v>
      </c>
      <c r="AC478" s="123">
        <f t="shared" si="126"/>
        <v>1058.9879017307812</v>
      </c>
      <c r="AE478" s="789"/>
      <c r="AF478" s="780"/>
      <c r="AH478" s="101">
        <f t="shared" si="132"/>
        <v>1000000</v>
      </c>
      <c r="AI478" s="101">
        <f t="shared" si="130"/>
        <v>0</v>
      </c>
      <c r="AJ478" s="153">
        <v>1</v>
      </c>
      <c r="AK478" s="121">
        <f t="shared" si="133"/>
        <v>69</v>
      </c>
      <c r="AL478" s="158">
        <f t="shared" si="131"/>
        <v>177.13398692576359</v>
      </c>
    </row>
    <row r="479" spans="23:38" ht="15.75" hidden="1" thickBot="1">
      <c r="W479" s="777"/>
      <c r="X479" s="121">
        <f t="shared" si="128"/>
        <v>73</v>
      </c>
      <c r="Y479" s="122">
        <f t="shared" si="129"/>
        <v>211.04128768262635</v>
      </c>
      <c r="Z479" s="123">
        <f t="shared" si="123"/>
        <v>422.08257536525269</v>
      </c>
      <c r="AA479" s="123">
        <f t="shared" si="124"/>
        <v>633.12386304787901</v>
      </c>
      <c r="AB479" s="123">
        <f t="shared" si="125"/>
        <v>844.16515073050539</v>
      </c>
      <c r="AC479" s="123">
        <f t="shared" si="126"/>
        <v>1055.2064384131318</v>
      </c>
      <c r="AE479" s="789"/>
      <c r="AF479" s="780"/>
      <c r="AH479" s="101">
        <f t="shared" si="132"/>
        <v>1000000</v>
      </c>
      <c r="AI479" s="101">
        <f t="shared" si="130"/>
        <v>0</v>
      </c>
      <c r="AJ479" s="153">
        <v>1</v>
      </c>
      <c r="AK479" s="121">
        <f t="shared" si="133"/>
        <v>70</v>
      </c>
      <c r="AL479" s="158">
        <f t="shared" si="131"/>
        <v>176.67198050308122</v>
      </c>
    </row>
    <row r="480" spans="23:38" ht="15.75" hidden="1" thickBot="1">
      <c r="W480" s="777"/>
      <c r="X480" s="121">
        <f t="shared" si="128"/>
        <v>74</v>
      </c>
      <c r="Y480" s="122">
        <f t="shared" si="129"/>
        <v>210.28499501909641</v>
      </c>
      <c r="Z480" s="123">
        <f t="shared" si="123"/>
        <v>420.56999003819283</v>
      </c>
      <c r="AA480" s="123">
        <f t="shared" si="124"/>
        <v>630.85498505728924</v>
      </c>
      <c r="AB480" s="123">
        <f t="shared" si="125"/>
        <v>841.13998007638565</v>
      </c>
      <c r="AC480" s="123">
        <f t="shared" si="126"/>
        <v>1051.4249750954821</v>
      </c>
      <c r="AE480" s="789"/>
      <c r="AF480" s="780"/>
      <c r="AH480" s="101">
        <f t="shared" si="132"/>
        <v>1000000</v>
      </c>
      <c r="AI480" s="101">
        <f t="shared" si="130"/>
        <v>0</v>
      </c>
      <c r="AJ480" s="153">
        <v>1</v>
      </c>
      <c r="AK480" s="121">
        <f t="shared" si="133"/>
        <v>71</v>
      </c>
      <c r="AL480" s="158">
        <f t="shared" si="131"/>
        <v>176.20997408039887</v>
      </c>
    </row>
    <row r="481" spans="23:38" ht="15.75" hidden="1" thickBot="1">
      <c r="W481" s="777"/>
      <c r="X481" s="121">
        <f t="shared" si="128"/>
        <v>75</v>
      </c>
      <c r="Y481" s="122">
        <f t="shared" si="129"/>
        <v>209.52870235556654</v>
      </c>
      <c r="Z481" s="123">
        <f t="shared" si="123"/>
        <v>419.05740471113307</v>
      </c>
      <c r="AA481" s="123">
        <f t="shared" si="124"/>
        <v>628.58610706669958</v>
      </c>
      <c r="AB481" s="123">
        <f t="shared" si="125"/>
        <v>838.11480942226615</v>
      </c>
      <c r="AC481" s="123">
        <f t="shared" si="126"/>
        <v>1047.6435117778326</v>
      </c>
      <c r="AE481" s="789"/>
      <c r="AF481" s="780"/>
      <c r="AH481" s="101">
        <f t="shared" si="132"/>
        <v>1000000</v>
      </c>
      <c r="AI481" s="101">
        <f t="shared" si="130"/>
        <v>0</v>
      </c>
      <c r="AJ481" s="153">
        <v>1</v>
      </c>
      <c r="AK481" s="121">
        <f t="shared" si="133"/>
        <v>72</v>
      </c>
      <c r="AL481" s="158">
        <f t="shared" si="131"/>
        <v>175.74796765771652</v>
      </c>
    </row>
    <row r="482" spans="23:38" ht="15.75" hidden="1" thickBot="1">
      <c r="W482" s="777"/>
      <c r="X482" s="121">
        <f t="shared" si="128"/>
        <v>76</v>
      </c>
      <c r="Y482" s="122">
        <f t="shared" si="129"/>
        <v>208.7724096920366</v>
      </c>
      <c r="Z482" s="123">
        <f t="shared" si="123"/>
        <v>417.54481938407321</v>
      </c>
      <c r="AA482" s="123">
        <f t="shared" si="124"/>
        <v>626.31722907610981</v>
      </c>
      <c r="AB482" s="123">
        <f t="shared" si="125"/>
        <v>835.08963876814641</v>
      </c>
      <c r="AC482" s="123">
        <f t="shared" si="126"/>
        <v>1043.8620484601829</v>
      </c>
      <c r="AE482" s="789"/>
      <c r="AF482" s="780"/>
      <c r="AH482" s="101">
        <f t="shared" si="132"/>
        <v>1000000</v>
      </c>
      <c r="AI482" s="101">
        <f t="shared" si="130"/>
        <v>0</v>
      </c>
      <c r="AJ482" s="153">
        <v>1</v>
      </c>
      <c r="AK482" s="121">
        <f t="shared" si="133"/>
        <v>73</v>
      </c>
      <c r="AL482" s="158">
        <f t="shared" si="131"/>
        <v>175.28596123503411</v>
      </c>
    </row>
    <row r="483" spans="23:38" ht="15.75" hidden="1" thickBot="1">
      <c r="W483" s="777"/>
      <c r="X483" s="121">
        <f t="shared" si="128"/>
        <v>77</v>
      </c>
      <c r="Y483" s="122">
        <f t="shared" si="129"/>
        <v>208.0161170285067</v>
      </c>
      <c r="Z483" s="123">
        <f t="shared" si="123"/>
        <v>416.0322340570134</v>
      </c>
      <c r="AA483" s="123">
        <f t="shared" si="124"/>
        <v>624.04835108552015</v>
      </c>
      <c r="AB483" s="123">
        <f t="shared" si="125"/>
        <v>832.06446811402679</v>
      </c>
      <c r="AC483" s="123">
        <f t="shared" si="126"/>
        <v>1040.0805851425334</v>
      </c>
      <c r="AE483" s="789"/>
      <c r="AF483" s="780"/>
      <c r="AH483" s="101">
        <f t="shared" si="132"/>
        <v>1000000</v>
      </c>
      <c r="AI483" s="101">
        <f t="shared" si="130"/>
        <v>0</v>
      </c>
      <c r="AJ483" s="153">
        <v>1</v>
      </c>
      <c r="AK483" s="121">
        <f t="shared" si="133"/>
        <v>74</v>
      </c>
      <c r="AL483" s="158">
        <f t="shared" si="131"/>
        <v>174.82395481235176</v>
      </c>
    </row>
    <row r="484" spans="23:38" ht="15.75" hidden="1" thickBot="1">
      <c r="W484" s="777"/>
      <c r="X484" s="121">
        <f t="shared" si="128"/>
        <v>78</v>
      </c>
      <c r="Y484" s="122">
        <f t="shared" si="129"/>
        <v>207.25982436497679</v>
      </c>
      <c r="Z484" s="123">
        <f t="shared" si="123"/>
        <v>414.51964872995359</v>
      </c>
      <c r="AA484" s="123">
        <f t="shared" si="124"/>
        <v>621.77947309493038</v>
      </c>
      <c r="AB484" s="123">
        <f t="shared" si="125"/>
        <v>829.03929745990717</v>
      </c>
      <c r="AC484" s="123">
        <f t="shared" si="126"/>
        <v>1036.299121824884</v>
      </c>
      <c r="AE484" s="789"/>
      <c r="AF484" s="780"/>
      <c r="AH484" s="101">
        <f t="shared" si="132"/>
        <v>1000000</v>
      </c>
      <c r="AI484" s="101">
        <f t="shared" si="130"/>
        <v>0</v>
      </c>
      <c r="AJ484" s="153">
        <v>1</v>
      </c>
      <c r="AK484" s="121">
        <f t="shared" si="133"/>
        <v>75</v>
      </c>
      <c r="AL484" s="158">
        <f t="shared" si="131"/>
        <v>174.36194838966941</v>
      </c>
    </row>
    <row r="485" spans="23:38" ht="15.75" hidden="1" thickBot="1">
      <c r="W485" s="777"/>
      <c r="X485" s="121">
        <f t="shared" si="128"/>
        <v>79</v>
      </c>
      <c r="Y485" s="122">
        <f t="shared" si="129"/>
        <v>206.50353170144686</v>
      </c>
      <c r="Z485" s="123">
        <f t="shared" si="123"/>
        <v>413.00706340289372</v>
      </c>
      <c r="AA485" s="123">
        <f t="shared" si="124"/>
        <v>619.51059510434061</v>
      </c>
      <c r="AB485" s="123">
        <f t="shared" si="125"/>
        <v>826.01412680578744</v>
      </c>
      <c r="AC485" s="123">
        <f t="shared" si="126"/>
        <v>1032.5176585072343</v>
      </c>
      <c r="AE485" s="789"/>
      <c r="AF485" s="780"/>
      <c r="AH485" s="101">
        <f t="shared" si="132"/>
        <v>1000000</v>
      </c>
      <c r="AI485" s="101">
        <f t="shared" si="130"/>
        <v>0</v>
      </c>
      <c r="AJ485" s="153">
        <v>1</v>
      </c>
      <c r="AK485" s="121">
        <f t="shared" si="133"/>
        <v>76</v>
      </c>
      <c r="AL485" s="158">
        <f t="shared" si="131"/>
        <v>173.89994196698706</v>
      </c>
    </row>
    <row r="486" spans="23:38" ht="15.75" hidden="1" thickBot="1">
      <c r="W486" s="777"/>
      <c r="X486" s="121">
        <f t="shared" si="128"/>
        <v>80</v>
      </c>
      <c r="Y486" s="122">
        <f t="shared" si="129"/>
        <v>205.74723903791696</v>
      </c>
      <c r="Z486" s="123">
        <f t="shared" si="123"/>
        <v>411.49447807583391</v>
      </c>
      <c r="AA486" s="123">
        <f t="shared" si="124"/>
        <v>617.24171711375084</v>
      </c>
      <c r="AB486" s="123">
        <f t="shared" si="125"/>
        <v>822.98895615166782</v>
      </c>
      <c r="AC486" s="123">
        <f t="shared" si="126"/>
        <v>1028.7361951895848</v>
      </c>
      <c r="AE486" s="789"/>
      <c r="AF486" s="780"/>
      <c r="AH486" s="101">
        <f t="shared" si="132"/>
        <v>1000000</v>
      </c>
      <c r="AI486" s="101">
        <f t="shared" si="130"/>
        <v>0</v>
      </c>
      <c r="AJ486" s="153">
        <v>1</v>
      </c>
      <c r="AK486" s="121">
        <f t="shared" si="133"/>
        <v>77</v>
      </c>
      <c r="AL486" s="158">
        <f t="shared" si="131"/>
        <v>173.43793554430468</v>
      </c>
    </row>
    <row r="487" spans="23:38" ht="15.75" hidden="1" thickBot="1">
      <c r="W487" s="777"/>
      <c r="X487" s="121">
        <f t="shared" si="128"/>
        <v>81</v>
      </c>
      <c r="Y487" s="122">
        <f t="shared" si="129"/>
        <v>204.99094637438708</v>
      </c>
      <c r="Z487" s="123">
        <f t="shared" si="123"/>
        <v>409.98189274877416</v>
      </c>
      <c r="AA487" s="123">
        <f t="shared" si="124"/>
        <v>614.97283912316129</v>
      </c>
      <c r="AB487" s="123">
        <f t="shared" si="125"/>
        <v>819.96378549754832</v>
      </c>
      <c r="AC487" s="123">
        <f t="shared" si="126"/>
        <v>1024.9547318719353</v>
      </c>
      <c r="AE487" s="789"/>
      <c r="AF487" s="780"/>
      <c r="AH487" s="101">
        <f t="shared" si="132"/>
        <v>1000000</v>
      </c>
      <c r="AI487" s="101">
        <f t="shared" si="130"/>
        <v>0</v>
      </c>
      <c r="AJ487" s="153">
        <v>1</v>
      </c>
      <c r="AK487" s="121">
        <f t="shared" si="133"/>
        <v>78</v>
      </c>
      <c r="AL487" s="158">
        <f t="shared" si="131"/>
        <v>172.9759291216223</v>
      </c>
    </row>
    <row r="488" spans="23:38" ht="15.75" hidden="1" thickBot="1">
      <c r="W488" s="777"/>
      <c r="X488" s="121">
        <f t="shared" si="128"/>
        <v>82</v>
      </c>
      <c r="Y488" s="122">
        <f t="shared" si="129"/>
        <v>204.23465371085717</v>
      </c>
      <c r="Z488" s="123">
        <f t="shared" si="123"/>
        <v>408.46930742171435</v>
      </c>
      <c r="AA488" s="123">
        <f t="shared" si="124"/>
        <v>612.70396113257152</v>
      </c>
      <c r="AB488" s="123">
        <f t="shared" si="125"/>
        <v>816.9386148434287</v>
      </c>
      <c r="AC488" s="123">
        <f t="shared" si="126"/>
        <v>1021.1732685542859</v>
      </c>
      <c r="AE488" s="789"/>
      <c r="AF488" s="780"/>
      <c r="AH488" s="101">
        <f t="shared" si="132"/>
        <v>1000000</v>
      </c>
      <c r="AI488" s="101">
        <f t="shared" si="130"/>
        <v>0</v>
      </c>
      <c r="AJ488" s="153">
        <v>1</v>
      </c>
      <c r="AK488" s="121">
        <f t="shared" si="133"/>
        <v>79</v>
      </c>
      <c r="AL488" s="158">
        <f t="shared" si="131"/>
        <v>172.51392269893995</v>
      </c>
    </row>
    <row r="489" spans="23:38" ht="15.75" hidden="1" thickBot="1">
      <c r="W489" s="777"/>
      <c r="X489" s="121">
        <f t="shared" si="128"/>
        <v>83</v>
      </c>
      <c r="Y489" s="122">
        <f t="shared" si="129"/>
        <v>203.47836104732721</v>
      </c>
      <c r="Z489" s="123">
        <f t="shared" si="123"/>
        <v>406.95672209465442</v>
      </c>
      <c r="AA489" s="123">
        <f t="shared" si="124"/>
        <v>610.43508314198164</v>
      </c>
      <c r="AB489" s="123">
        <f t="shared" si="125"/>
        <v>813.91344418930885</v>
      </c>
      <c r="AC489" s="123">
        <f t="shared" si="126"/>
        <v>1017.3918052366361</v>
      </c>
      <c r="AE489" s="789"/>
      <c r="AF489" s="780"/>
      <c r="AH489" s="101">
        <f t="shared" si="132"/>
        <v>1000000</v>
      </c>
      <c r="AI489" s="101">
        <f t="shared" si="130"/>
        <v>0</v>
      </c>
      <c r="AJ489" s="153">
        <v>1</v>
      </c>
      <c r="AK489" s="121">
        <f t="shared" si="133"/>
        <v>80</v>
      </c>
      <c r="AL489" s="158">
        <f t="shared" si="131"/>
        <v>172.0519162762576</v>
      </c>
    </row>
    <row r="490" spans="23:38" ht="15.75" hidden="1" thickBot="1">
      <c r="W490" s="777"/>
      <c r="X490" s="121">
        <f t="shared" si="128"/>
        <v>84</v>
      </c>
      <c r="Y490" s="122">
        <f t="shared" si="129"/>
        <v>202.72206838379731</v>
      </c>
      <c r="Z490" s="123">
        <f t="shared" si="123"/>
        <v>405.44413676759461</v>
      </c>
      <c r="AA490" s="123">
        <f t="shared" si="124"/>
        <v>608.16620515139198</v>
      </c>
      <c r="AB490" s="123">
        <f t="shared" si="125"/>
        <v>810.88827353518923</v>
      </c>
      <c r="AC490" s="123">
        <f t="shared" si="126"/>
        <v>1013.6103419189865</v>
      </c>
      <c r="AE490" s="789"/>
      <c r="AF490" s="780"/>
      <c r="AH490" s="101">
        <f t="shared" si="132"/>
        <v>1000000</v>
      </c>
      <c r="AI490" s="101">
        <f t="shared" si="130"/>
        <v>0</v>
      </c>
      <c r="AJ490" s="153">
        <v>1</v>
      </c>
      <c r="AK490" s="121">
        <f t="shared" si="133"/>
        <v>81</v>
      </c>
      <c r="AL490" s="158">
        <f t="shared" si="131"/>
        <v>171.58990985357522</v>
      </c>
    </row>
    <row r="491" spans="23:38" ht="15.75" hidden="1" thickBot="1">
      <c r="W491" s="777"/>
      <c r="X491" s="121">
        <f t="shared" si="128"/>
        <v>85</v>
      </c>
      <c r="Y491" s="122">
        <f t="shared" si="129"/>
        <v>201.96577572026743</v>
      </c>
      <c r="Z491" s="123">
        <f t="shared" ref="Z491:Z506" si="134">Y491*2</f>
        <v>403.93155144053486</v>
      </c>
      <c r="AA491" s="123">
        <f t="shared" ref="AA491:AA506" si="135">Y491*3</f>
        <v>605.89732716080232</v>
      </c>
      <c r="AB491" s="123">
        <f t="shared" ref="AB491:AB506" si="136">Y491*4</f>
        <v>807.86310288106972</v>
      </c>
      <c r="AC491" s="123">
        <f t="shared" ref="AC491:AC506" si="137">Y491*5</f>
        <v>1009.8288786013371</v>
      </c>
      <c r="AE491" s="789"/>
      <c r="AF491" s="780"/>
      <c r="AH491" s="101">
        <f t="shared" si="132"/>
        <v>1000000</v>
      </c>
      <c r="AI491" s="101">
        <f t="shared" si="130"/>
        <v>0</v>
      </c>
      <c r="AJ491" s="153">
        <v>1</v>
      </c>
      <c r="AK491" s="121">
        <f t="shared" si="133"/>
        <v>82</v>
      </c>
      <c r="AL491" s="158">
        <f t="shared" si="131"/>
        <v>171.12790343089284</v>
      </c>
    </row>
    <row r="492" spans="23:38" ht="15.75" hidden="1" thickBot="1">
      <c r="W492" s="777"/>
      <c r="X492" s="121">
        <f t="shared" si="128"/>
        <v>86</v>
      </c>
      <c r="Y492" s="122">
        <f t="shared" si="129"/>
        <v>201.20948305673753</v>
      </c>
      <c r="Z492" s="123">
        <f t="shared" si="134"/>
        <v>402.41896611347505</v>
      </c>
      <c r="AA492" s="123">
        <f t="shared" si="135"/>
        <v>603.62844917021255</v>
      </c>
      <c r="AB492" s="123">
        <f t="shared" si="136"/>
        <v>804.8379322269501</v>
      </c>
      <c r="AC492" s="123">
        <f t="shared" si="137"/>
        <v>1006.0474152836877</v>
      </c>
      <c r="AE492" s="789"/>
      <c r="AF492" s="780"/>
      <c r="AH492" s="101">
        <f t="shared" si="132"/>
        <v>1000000</v>
      </c>
      <c r="AI492" s="101">
        <f t="shared" si="130"/>
        <v>0</v>
      </c>
      <c r="AJ492" s="153">
        <v>1</v>
      </c>
      <c r="AK492" s="121">
        <f t="shared" si="133"/>
        <v>83</v>
      </c>
      <c r="AL492" s="158">
        <f t="shared" si="131"/>
        <v>170.66589700821049</v>
      </c>
    </row>
    <row r="493" spans="23:38" ht="15.75" hidden="1" thickBot="1">
      <c r="W493" s="777"/>
      <c r="X493" s="121">
        <f t="shared" si="128"/>
        <v>87</v>
      </c>
      <c r="Y493" s="122">
        <f t="shared" si="129"/>
        <v>200.45319039320759</v>
      </c>
      <c r="Z493" s="123">
        <f t="shared" si="134"/>
        <v>400.90638078641518</v>
      </c>
      <c r="AA493" s="123">
        <f t="shared" si="135"/>
        <v>601.35957117962278</v>
      </c>
      <c r="AB493" s="123">
        <f t="shared" si="136"/>
        <v>801.81276157283037</v>
      </c>
      <c r="AC493" s="123">
        <f t="shared" si="137"/>
        <v>1002.265951966038</v>
      </c>
      <c r="AE493" s="789"/>
      <c r="AF493" s="780"/>
      <c r="AH493" s="101">
        <f t="shared" si="132"/>
        <v>1000000</v>
      </c>
      <c r="AI493" s="101">
        <f t="shared" si="130"/>
        <v>0</v>
      </c>
      <c r="AJ493" s="153">
        <v>1</v>
      </c>
      <c r="AK493" s="121">
        <f t="shared" si="133"/>
        <v>84</v>
      </c>
      <c r="AL493" s="158">
        <f t="shared" si="131"/>
        <v>170.20389058552814</v>
      </c>
    </row>
    <row r="494" spans="23:38" ht="15.75" hidden="1" thickBot="1">
      <c r="W494" s="777"/>
      <c r="X494" s="121">
        <f t="shared" si="128"/>
        <v>88</v>
      </c>
      <c r="Y494" s="122">
        <f t="shared" si="129"/>
        <v>199.69689772967769</v>
      </c>
      <c r="Z494" s="123">
        <f t="shared" si="134"/>
        <v>399.39379545935537</v>
      </c>
      <c r="AA494" s="123">
        <f t="shared" si="135"/>
        <v>599.09069318903312</v>
      </c>
      <c r="AB494" s="123">
        <f t="shared" si="136"/>
        <v>798.78759091871075</v>
      </c>
      <c r="AC494" s="123">
        <f t="shared" si="137"/>
        <v>998.48448864838838</v>
      </c>
      <c r="AE494" s="789"/>
      <c r="AF494" s="780"/>
      <c r="AH494" s="101">
        <f t="shared" si="132"/>
        <v>1000000</v>
      </c>
      <c r="AI494" s="101">
        <f t="shared" si="130"/>
        <v>0</v>
      </c>
      <c r="AJ494" s="153">
        <v>1</v>
      </c>
      <c r="AK494" s="121">
        <f t="shared" si="133"/>
        <v>85</v>
      </c>
      <c r="AL494" s="158">
        <f t="shared" si="131"/>
        <v>169.74188416284576</v>
      </c>
    </row>
    <row r="495" spans="23:38" ht="15.75" hidden="1" thickBot="1">
      <c r="W495" s="777"/>
      <c r="X495" s="121">
        <f t="shared" si="128"/>
        <v>89</v>
      </c>
      <c r="Y495" s="122">
        <f t="shared" si="129"/>
        <v>198.94060506614778</v>
      </c>
      <c r="Z495" s="123">
        <f t="shared" si="134"/>
        <v>397.88121013229556</v>
      </c>
      <c r="AA495" s="123">
        <f t="shared" si="135"/>
        <v>596.82181519844335</v>
      </c>
      <c r="AB495" s="123">
        <f t="shared" si="136"/>
        <v>795.76242026459113</v>
      </c>
      <c r="AC495" s="123">
        <f t="shared" si="137"/>
        <v>994.70302533073891</v>
      </c>
      <c r="AE495" s="789"/>
      <c r="AF495" s="780"/>
      <c r="AH495" s="101">
        <f t="shared" si="132"/>
        <v>1000000</v>
      </c>
      <c r="AI495" s="101">
        <f t="shared" si="130"/>
        <v>0</v>
      </c>
      <c r="AJ495" s="153">
        <v>1</v>
      </c>
      <c r="AK495" s="121">
        <f t="shared" si="133"/>
        <v>86</v>
      </c>
      <c r="AL495" s="158">
        <f t="shared" si="131"/>
        <v>169.27987774016339</v>
      </c>
    </row>
    <row r="496" spans="23:38" ht="15.75" hidden="1" thickBot="1">
      <c r="W496" s="777"/>
      <c r="X496" s="121">
        <f t="shared" si="128"/>
        <v>90</v>
      </c>
      <c r="Y496" s="122">
        <f t="shared" si="129"/>
        <v>198.18431240261788</v>
      </c>
      <c r="Z496" s="123">
        <f t="shared" si="134"/>
        <v>396.36862480523575</v>
      </c>
      <c r="AA496" s="123">
        <f t="shared" si="135"/>
        <v>594.55293720785357</v>
      </c>
      <c r="AB496" s="123">
        <f t="shared" si="136"/>
        <v>792.73724961047151</v>
      </c>
      <c r="AC496" s="123">
        <f t="shared" si="137"/>
        <v>990.92156201308944</v>
      </c>
      <c r="AE496" s="789"/>
      <c r="AF496" s="780"/>
      <c r="AH496" s="101">
        <f t="shared" si="132"/>
        <v>1000000</v>
      </c>
      <c r="AI496" s="101">
        <f t="shared" si="130"/>
        <v>0</v>
      </c>
      <c r="AJ496" s="153">
        <v>1</v>
      </c>
      <c r="AK496" s="121">
        <f t="shared" si="133"/>
        <v>87</v>
      </c>
      <c r="AL496" s="158">
        <f t="shared" si="131"/>
        <v>168.81787131748104</v>
      </c>
    </row>
    <row r="497" spans="23:38" ht="15.75" hidden="1" thickBot="1">
      <c r="W497" s="777"/>
      <c r="X497" s="121">
        <f t="shared" si="128"/>
        <v>91</v>
      </c>
      <c r="Y497" s="122">
        <f t="shared" si="129"/>
        <v>197.42801973908794</v>
      </c>
      <c r="Z497" s="123">
        <f t="shared" si="134"/>
        <v>394.85603947817589</v>
      </c>
      <c r="AA497" s="123">
        <f t="shared" si="135"/>
        <v>592.2840592172638</v>
      </c>
      <c r="AB497" s="123">
        <f t="shared" si="136"/>
        <v>789.71207895635177</v>
      </c>
      <c r="AC497" s="123">
        <f t="shared" si="137"/>
        <v>987.14009869543975</v>
      </c>
      <c r="AE497" s="789"/>
      <c r="AF497" s="780"/>
      <c r="AH497" s="101">
        <f t="shared" si="132"/>
        <v>1000000</v>
      </c>
      <c r="AI497" s="101">
        <f t="shared" si="130"/>
        <v>0</v>
      </c>
      <c r="AJ497" s="153">
        <v>1</v>
      </c>
      <c r="AK497" s="121">
        <f t="shared" si="133"/>
        <v>88</v>
      </c>
      <c r="AL497" s="158">
        <f t="shared" si="131"/>
        <v>168.35586489479869</v>
      </c>
    </row>
    <row r="498" spans="23:38" ht="15.75" hidden="1" thickBot="1">
      <c r="W498" s="777"/>
      <c r="X498" s="121">
        <f t="shared" si="128"/>
        <v>92</v>
      </c>
      <c r="Y498" s="122">
        <f t="shared" si="129"/>
        <v>196.67172707555804</v>
      </c>
      <c r="Z498" s="123">
        <f t="shared" si="134"/>
        <v>393.34345415111608</v>
      </c>
      <c r="AA498" s="123">
        <f t="shared" si="135"/>
        <v>590.01518122667414</v>
      </c>
      <c r="AB498" s="123">
        <f t="shared" si="136"/>
        <v>786.68690830223215</v>
      </c>
      <c r="AC498" s="123">
        <f t="shared" si="137"/>
        <v>983.35863537779016</v>
      </c>
      <c r="AE498" s="789"/>
      <c r="AF498" s="780"/>
      <c r="AH498" s="101">
        <f t="shared" si="132"/>
        <v>1000000</v>
      </c>
      <c r="AI498" s="101">
        <f t="shared" si="130"/>
        <v>0</v>
      </c>
      <c r="AJ498" s="153">
        <v>1</v>
      </c>
      <c r="AK498" s="121">
        <f t="shared" si="133"/>
        <v>89</v>
      </c>
      <c r="AL498" s="158">
        <f t="shared" si="131"/>
        <v>167.89385847211634</v>
      </c>
    </row>
    <row r="499" spans="23:38" ht="15.75" hidden="1" thickBot="1">
      <c r="W499" s="777"/>
      <c r="X499" s="121">
        <f t="shared" si="128"/>
        <v>93</v>
      </c>
      <c r="Y499" s="122">
        <f t="shared" si="129"/>
        <v>195.91543441202816</v>
      </c>
      <c r="Z499" s="123">
        <f t="shared" si="134"/>
        <v>391.83086882405632</v>
      </c>
      <c r="AA499" s="123">
        <f t="shared" si="135"/>
        <v>587.74630323608449</v>
      </c>
      <c r="AB499" s="123">
        <f t="shared" si="136"/>
        <v>783.66173764811265</v>
      </c>
      <c r="AC499" s="123">
        <f t="shared" si="137"/>
        <v>979.57717206014081</v>
      </c>
      <c r="AE499" s="789"/>
      <c r="AF499" s="780"/>
      <c r="AH499" s="101">
        <f t="shared" si="132"/>
        <v>1000000</v>
      </c>
      <c r="AI499" s="101">
        <f t="shared" si="130"/>
        <v>0</v>
      </c>
      <c r="AJ499" s="153">
        <v>1</v>
      </c>
      <c r="AK499" s="121">
        <f t="shared" si="133"/>
        <v>90</v>
      </c>
      <c r="AL499" s="158">
        <f t="shared" si="131"/>
        <v>167.43185204943393</v>
      </c>
    </row>
    <row r="500" spans="23:38" ht="15.75" hidden="1" thickBot="1">
      <c r="W500" s="777"/>
      <c r="X500" s="121">
        <f t="shared" si="128"/>
        <v>94</v>
      </c>
      <c r="Y500" s="122">
        <f t="shared" si="129"/>
        <v>195.1591417484982</v>
      </c>
      <c r="Z500" s="123">
        <f t="shared" si="134"/>
        <v>390.3182834969964</v>
      </c>
      <c r="AA500" s="123">
        <f t="shared" si="135"/>
        <v>585.4774252454946</v>
      </c>
      <c r="AB500" s="123">
        <f t="shared" si="136"/>
        <v>780.6365669939928</v>
      </c>
      <c r="AC500" s="123">
        <f t="shared" si="137"/>
        <v>975.795708742491</v>
      </c>
      <c r="AE500" s="789"/>
      <c r="AF500" s="780"/>
      <c r="AH500" s="101">
        <f t="shared" si="132"/>
        <v>1000000</v>
      </c>
      <c r="AI500" s="101">
        <f t="shared" si="130"/>
        <v>0</v>
      </c>
      <c r="AJ500" s="153">
        <v>1</v>
      </c>
      <c r="AK500" s="121">
        <f t="shared" si="133"/>
        <v>91</v>
      </c>
      <c r="AL500" s="158">
        <f t="shared" si="131"/>
        <v>166.96984562675158</v>
      </c>
    </row>
    <row r="501" spans="23:38" ht="15.75" hidden="1" thickBot="1">
      <c r="W501" s="777"/>
      <c r="X501" s="121">
        <f t="shared" si="128"/>
        <v>95</v>
      </c>
      <c r="Y501" s="122">
        <f t="shared" si="129"/>
        <v>194.4028490849683</v>
      </c>
      <c r="Z501" s="123">
        <f t="shared" si="134"/>
        <v>388.80569816993659</v>
      </c>
      <c r="AA501" s="123">
        <f t="shared" si="135"/>
        <v>583.20854725490494</v>
      </c>
      <c r="AB501" s="123">
        <f t="shared" si="136"/>
        <v>777.61139633987318</v>
      </c>
      <c r="AC501" s="123">
        <f t="shared" si="137"/>
        <v>972.01424542484142</v>
      </c>
      <c r="AE501" s="789"/>
      <c r="AF501" s="780"/>
      <c r="AH501" s="101">
        <f t="shared" si="132"/>
        <v>1000000</v>
      </c>
      <c r="AI501" s="101">
        <f t="shared" si="130"/>
        <v>0</v>
      </c>
      <c r="AJ501" s="153">
        <v>1</v>
      </c>
      <c r="AK501" s="121">
        <f t="shared" si="133"/>
        <v>92</v>
      </c>
      <c r="AL501" s="158">
        <f t="shared" si="131"/>
        <v>166.50783920406923</v>
      </c>
    </row>
    <row r="502" spans="23:38" ht="15.75" hidden="1" thickBot="1">
      <c r="W502" s="777"/>
      <c r="X502" s="121">
        <f t="shared" si="128"/>
        <v>96</v>
      </c>
      <c r="Y502" s="122">
        <f t="shared" si="129"/>
        <v>193.64655642143839</v>
      </c>
      <c r="Z502" s="123">
        <f t="shared" si="134"/>
        <v>387.29311284287678</v>
      </c>
      <c r="AA502" s="123">
        <f t="shared" si="135"/>
        <v>580.93966926431517</v>
      </c>
      <c r="AB502" s="123">
        <f t="shared" si="136"/>
        <v>774.58622568575356</v>
      </c>
      <c r="AC502" s="123">
        <f t="shared" si="137"/>
        <v>968.23278210719195</v>
      </c>
      <c r="AE502" s="789"/>
      <c r="AF502" s="780"/>
      <c r="AH502" s="101">
        <f t="shared" si="132"/>
        <v>1000000</v>
      </c>
      <c r="AI502" s="101">
        <f t="shared" si="130"/>
        <v>0</v>
      </c>
      <c r="AJ502" s="153">
        <v>1</v>
      </c>
      <c r="AK502" s="121">
        <f t="shared" si="133"/>
        <v>93</v>
      </c>
      <c r="AL502" s="158">
        <f t="shared" si="131"/>
        <v>166.04583278138688</v>
      </c>
    </row>
    <row r="503" spans="23:38" ht="15.75" hidden="1" thickBot="1">
      <c r="W503" s="777"/>
      <c r="X503" s="121">
        <f t="shared" si="128"/>
        <v>97</v>
      </c>
      <c r="Y503" s="122">
        <f t="shared" si="129"/>
        <v>192.89026375790851</v>
      </c>
      <c r="Z503" s="123">
        <f t="shared" si="134"/>
        <v>385.78052751581703</v>
      </c>
      <c r="AA503" s="123">
        <f t="shared" si="135"/>
        <v>578.67079127372551</v>
      </c>
      <c r="AB503" s="123">
        <f t="shared" si="136"/>
        <v>771.56105503163406</v>
      </c>
      <c r="AC503" s="123">
        <f t="shared" si="137"/>
        <v>964.4513187895426</v>
      </c>
      <c r="AE503" s="789"/>
      <c r="AF503" s="780"/>
      <c r="AH503" s="101">
        <f t="shared" si="132"/>
        <v>1000000</v>
      </c>
      <c r="AI503" s="101">
        <f t="shared" si="130"/>
        <v>0</v>
      </c>
      <c r="AJ503" s="153">
        <v>1</v>
      </c>
      <c r="AK503" s="121">
        <f t="shared" si="133"/>
        <v>94</v>
      </c>
      <c r="AL503" s="158">
        <f t="shared" si="131"/>
        <v>165.5838263587045</v>
      </c>
    </row>
    <row r="504" spans="23:38" ht="15.75" hidden="1" thickBot="1">
      <c r="W504" s="777"/>
      <c r="X504" s="121">
        <f t="shared" si="128"/>
        <v>98</v>
      </c>
      <c r="Y504" s="122">
        <f t="shared" si="129"/>
        <v>192.13397109437861</v>
      </c>
      <c r="Z504" s="123">
        <f t="shared" si="134"/>
        <v>384.26794218875722</v>
      </c>
      <c r="AA504" s="123">
        <f t="shared" si="135"/>
        <v>576.40191328313585</v>
      </c>
      <c r="AB504" s="123">
        <f t="shared" si="136"/>
        <v>768.53588437751444</v>
      </c>
      <c r="AC504" s="123">
        <f t="shared" si="137"/>
        <v>960.66985547189302</v>
      </c>
      <c r="AE504" s="789"/>
      <c r="AF504" s="780"/>
      <c r="AH504" s="101">
        <f t="shared" si="132"/>
        <v>1000000</v>
      </c>
      <c r="AI504" s="101">
        <f t="shared" si="130"/>
        <v>0</v>
      </c>
      <c r="AJ504" s="153">
        <v>1</v>
      </c>
      <c r="AK504" s="121">
        <f t="shared" si="133"/>
        <v>95</v>
      </c>
      <c r="AL504" s="158">
        <f t="shared" si="131"/>
        <v>165.12181993602215</v>
      </c>
    </row>
    <row r="505" spans="23:38" ht="15.75" hidden="1" thickBot="1">
      <c r="W505" s="777"/>
      <c r="X505" s="121">
        <f t="shared" si="128"/>
        <v>99</v>
      </c>
      <c r="Y505" s="122">
        <f t="shared" si="129"/>
        <v>191.37767843084868</v>
      </c>
      <c r="Z505" s="123">
        <f t="shared" si="134"/>
        <v>382.75535686169735</v>
      </c>
      <c r="AA505" s="123">
        <f t="shared" si="135"/>
        <v>574.13303529254608</v>
      </c>
      <c r="AB505" s="123">
        <f t="shared" si="136"/>
        <v>765.5107137233947</v>
      </c>
      <c r="AC505" s="123">
        <f t="shared" si="137"/>
        <v>956.88839215424332</v>
      </c>
      <c r="AE505" s="789"/>
      <c r="AF505" s="780"/>
      <c r="AH505" s="101">
        <f t="shared" si="132"/>
        <v>1000000</v>
      </c>
      <c r="AI505" s="101">
        <f t="shared" si="130"/>
        <v>0</v>
      </c>
      <c r="AJ505" s="153">
        <v>1</v>
      </c>
      <c r="AK505" s="121">
        <f t="shared" si="133"/>
        <v>96</v>
      </c>
      <c r="AL505" s="158">
        <f>Z98</f>
        <v>164.65981351333977</v>
      </c>
    </row>
    <row r="506" spans="23:38" ht="15.75" hidden="1" thickBot="1">
      <c r="W506" s="778"/>
      <c r="X506" s="121">
        <f t="shared" si="128"/>
        <v>100</v>
      </c>
      <c r="Y506" s="122">
        <f t="shared" si="129"/>
        <v>190.62138576731877</v>
      </c>
      <c r="Z506" s="123">
        <f t="shared" si="134"/>
        <v>381.24277153463754</v>
      </c>
      <c r="AA506" s="123">
        <f t="shared" si="135"/>
        <v>571.86415730195631</v>
      </c>
      <c r="AB506" s="123">
        <f t="shared" si="136"/>
        <v>762.48554306927508</v>
      </c>
      <c r="AC506" s="123">
        <f t="shared" si="137"/>
        <v>953.10692883659385</v>
      </c>
      <c r="AE506" s="789"/>
      <c r="AF506" s="780"/>
      <c r="AH506" s="101">
        <f t="shared" si="132"/>
        <v>1000000</v>
      </c>
      <c r="AI506" s="101">
        <f t="shared" si="130"/>
        <v>0</v>
      </c>
      <c r="AJ506" s="153">
        <v>1</v>
      </c>
      <c r="AK506" s="121">
        <f t="shared" si="133"/>
        <v>97</v>
      </c>
      <c r="AL506" s="158">
        <f>Z99</f>
        <v>164.19780709065742</v>
      </c>
    </row>
    <row r="507" spans="23:38" ht="15.75" hidden="1" thickBot="1">
      <c r="AE507" s="789"/>
      <c r="AF507" s="780"/>
      <c r="AH507" s="101">
        <f t="shared" si="132"/>
        <v>1000000</v>
      </c>
      <c r="AI507" s="101">
        <f t="shared" si="130"/>
        <v>0</v>
      </c>
      <c r="AJ507" s="153">
        <v>1</v>
      </c>
      <c r="AK507" s="121">
        <f t="shared" si="133"/>
        <v>98</v>
      </c>
      <c r="AL507" s="158">
        <f>Z100</f>
        <v>163.73580066797507</v>
      </c>
    </row>
    <row r="508" spans="23:38" ht="15.75" hidden="1" thickBot="1">
      <c r="AE508" s="789"/>
      <c r="AF508" s="780"/>
      <c r="AH508" s="101">
        <f t="shared" si="132"/>
        <v>1000000</v>
      </c>
      <c r="AI508" s="101">
        <f t="shared" si="130"/>
        <v>0</v>
      </c>
      <c r="AJ508" s="153">
        <v>1</v>
      </c>
      <c r="AK508" s="121">
        <f t="shared" si="133"/>
        <v>99</v>
      </c>
      <c r="AL508" s="158">
        <f>Z101</f>
        <v>163.27379424529266</v>
      </c>
    </row>
    <row r="509" spans="23:38" ht="15.75" hidden="1" thickBot="1">
      <c r="AE509" s="789"/>
      <c r="AF509" s="781"/>
      <c r="AH509" s="101">
        <f t="shared" si="132"/>
        <v>1000000</v>
      </c>
      <c r="AI509" s="101">
        <f t="shared" si="130"/>
        <v>0</v>
      </c>
      <c r="AJ509" s="155">
        <v>1</v>
      </c>
      <c r="AK509" s="156">
        <f t="shared" si="133"/>
        <v>100</v>
      </c>
      <c r="AL509" s="159">
        <f>Z102</f>
        <v>162.81178782261031</v>
      </c>
    </row>
    <row r="510" spans="23:38" ht="15" hidden="1" customHeight="1" thickBot="1">
      <c r="AE510" s="789"/>
      <c r="AF510" s="776" t="s">
        <v>276</v>
      </c>
      <c r="AH510" s="101">
        <f>AX2</f>
        <v>171.97499912191631</v>
      </c>
      <c r="AI510" s="101">
        <f t="shared" si="130"/>
        <v>0</v>
      </c>
      <c r="AJ510" s="155">
        <v>2</v>
      </c>
      <c r="AK510" s="154">
        <v>0</v>
      </c>
      <c r="AL510" s="160">
        <f t="shared" ref="AL510:AL541" si="138">AA2</f>
        <v>313.51864513627004</v>
      </c>
    </row>
    <row r="511" spans="23:38" ht="15.75" hidden="1" thickBot="1">
      <c r="AE511" s="789"/>
      <c r="AF511" s="777"/>
      <c r="AH511" s="101">
        <f t="shared" ref="AH511:AH541" si="139">AX3</f>
        <v>1000000</v>
      </c>
      <c r="AI511" s="101">
        <f t="shared" si="130"/>
        <v>0</v>
      </c>
      <c r="AJ511" s="155">
        <v>2</v>
      </c>
      <c r="AK511" s="121">
        <f t="shared" si="133"/>
        <v>1</v>
      </c>
      <c r="AL511" s="158">
        <f t="shared" si="138"/>
        <v>312.82563550224648</v>
      </c>
    </row>
    <row r="512" spans="23:38" ht="15.75" hidden="1" thickBot="1">
      <c r="AE512" s="789"/>
      <c r="AF512" s="777"/>
      <c r="AH512" s="101">
        <f t="shared" si="139"/>
        <v>1000000</v>
      </c>
      <c r="AI512" s="101">
        <f t="shared" si="130"/>
        <v>0</v>
      </c>
      <c r="AJ512" s="155">
        <v>2</v>
      </c>
      <c r="AK512" s="121">
        <f t="shared" si="133"/>
        <v>2</v>
      </c>
      <c r="AL512" s="158">
        <f t="shared" si="138"/>
        <v>312.13262586822293</v>
      </c>
    </row>
    <row r="513" spans="31:38" ht="15.75" hidden="1" thickBot="1">
      <c r="AE513" s="789"/>
      <c r="AF513" s="777"/>
      <c r="AH513" s="101">
        <f t="shared" si="139"/>
        <v>1000000</v>
      </c>
      <c r="AI513" s="101">
        <f t="shared" si="130"/>
        <v>0</v>
      </c>
      <c r="AJ513" s="155">
        <v>2</v>
      </c>
      <c r="AK513" s="121">
        <f t="shared" si="133"/>
        <v>3</v>
      </c>
      <c r="AL513" s="158">
        <f t="shared" si="138"/>
        <v>311.43961623419938</v>
      </c>
    </row>
    <row r="514" spans="31:38" ht="15.75" hidden="1" thickBot="1">
      <c r="AE514" s="789"/>
      <c r="AF514" s="777"/>
      <c r="AH514" s="101">
        <f t="shared" si="139"/>
        <v>1000000</v>
      </c>
      <c r="AI514" s="101">
        <f t="shared" si="130"/>
        <v>0</v>
      </c>
      <c r="AJ514" s="155">
        <v>2</v>
      </c>
      <c r="AK514" s="121">
        <f t="shared" si="133"/>
        <v>4</v>
      </c>
      <c r="AL514" s="158">
        <f t="shared" si="138"/>
        <v>310.74660660017582</v>
      </c>
    </row>
    <row r="515" spans="31:38" ht="15.75" hidden="1" thickBot="1">
      <c r="AE515" s="789"/>
      <c r="AF515" s="777"/>
      <c r="AH515" s="101">
        <f t="shared" si="139"/>
        <v>1000000</v>
      </c>
      <c r="AI515" s="101">
        <f t="shared" si="130"/>
        <v>0</v>
      </c>
      <c r="AJ515" s="155">
        <v>2</v>
      </c>
      <c r="AK515" s="121">
        <f t="shared" si="133"/>
        <v>5</v>
      </c>
      <c r="AL515" s="158">
        <f t="shared" si="138"/>
        <v>310.05359696615227</v>
      </c>
    </row>
    <row r="516" spans="31:38" ht="15.75" hidden="1" thickBot="1">
      <c r="AE516" s="789"/>
      <c r="AF516" s="777"/>
      <c r="AH516" s="101">
        <f t="shared" si="139"/>
        <v>1000000</v>
      </c>
      <c r="AI516" s="101">
        <f t="shared" si="130"/>
        <v>0</v>
      </c>
      <c r="AJ516" s="155">
        <v>2</v>
      </c>
      <c r="AK516" s="121">
        <f t="shared" si="133"/>
        <v>6</v>
      </c>
      <c r="AL516" s="158">
        <f t="shared" si="138"/>
        <v>309.36058733212877</v>
      </c>
    </row>
    <row r="517" spans="31:38" ht="15.75" hidden="1" thickBot="1">
      <c r="AE517" s="789"/>
      <c r="AF517" s="777"/>
      <c r="AH517" s="101">
        <f t="shared" si="139"/>
        <v>1000000</v>
      </c>
      <c r="AI517" s="101">
        <f t="shared" si="130"/>
        <v>0</v>
      </c>
      <c r="AJ517" s="155">
        <v>2</v>
      </c>
      <c r="AK517" s="121">
        <f t="shared" si="133"/>
        <v>7</v>
      </c>
      <c r="AL517" s="158">
        <f t="shared" si="138"/>
        <v>308.66757769810522</v>
      </c>
    </row>
    <row r="518" spans="31:38" ht="15.75" hidden="1" thickBot="1">
      <c r="AE518" s="789"/>
      <c r="AF518" s="777"/>
      <c r="AH518" s="101">
        <f t="shared" si="139"/>
        <v>1000000</v>
      </c>
      <c r="AI518" s="101">
        <f t="shared" si="130"/>
        <v>0</v>
      </c>
      <c r="AJ518" s="155">
        <v>2</v>
      </c>
      <c r="AK518" s="121">
        <f t="shared" si="133"/>
        <v>8</v>
      </c>
      <c r="AL518" s="158">
        <f t="shared" si="138"/>
        <v>307.97456806408167</v>
      </c>
    </row>
    <row r="519" spans="31:38" ht="15.75" hidden="1" thickBot="1">
      <c r="AE519" s="789"/>
      <c r="AF519" s="777"/>
      <c r="AH519" s="101">
        <f t="shared" si="139"/>
        <v>1000000</v>
      </c>
      <c r="AI519" s="101">
        <f t="shared" si="130"/>
        <v>0</v>
      </c>
      <c r="AJ519" s="155">
        <v>2</v>
      </c>
      <c r="AK519" s="121">
        <f t="shared" si="133"/>
        <v>9</v>
      </c>
      <c r="AL519" s="158">
        <f t="shared" si="138"/>
        <v>307.28155843005811</v>
      </c>
    </row>
    <row r="520" spans="31:38" ht="15.75" hidden="1" thickBot="1">
      <c r="AE520" s="789"/>
      <c r="AF520" s="777"/>
      <c r="AH520" s="101">
        <f t="shared" si="139"/>
        <v>1000000</v>
      </c>
      <c r="AI520" s="101">
        <f t="shared" si="130"/>
        <v>0</v>
      </c>
      <c r="AJ520" s="155">
        <v>2</v>
      </c>
      <c r="AK520" s="121">
        <f t="shared" si="133"/>
        <v>10</v>
      </c>
      <c r="AL520" s="158">
        <f t="shared" si="138"/>
        <v>306.58854879603456</v>
      </c>
    </row>
    <row r="521" spans="31:38" ht="15.75" hidden="1" thickBot="1">
      <c r="AE521" s="789"/>
      <c r="AF521" s="777"/>
      <c r="AH521" s="101">
        <f t="shared" si="139"/>
        <v>1000000</v>
      </c>
      <c r="AI521" s="101">
        <f t="shared" si="130"/>
        <v>0</v>
      </c>
      <c r="AJ521" s="155">
        <v>2</v>
      </c>
      <c r="AK521" s="121">
        <f t="shared" si="133"/>
        <v>11</v>
      </c>
      <c r="AL521" s="158">
        <f t="shared" si="138"/>
        <v>305.895539162011</v>
      </c>
    </row>
    <row r="522" spans="31:38" ht="15.75" hidden="1" thickBot="1">
      <c r="AE522" s="789"/>
      <c r="AF522" s="777"/>
      <c r="AH522" s="101">
        <f t="shared" si="139"/>
        <v>1000000</v>
      </c>
      <c r="AI522" s="101">
        <f t="shared" si="130"/>
        <v>0</v>
      </c>
      <c r="AJ522" s="155">
        <v>2</v>
      </c>
      <c r="AK522" s="121">
        <f t="shared" si="133"/>
        <v>12</v>
      </c>
      <c r="AL522" s="158">
        <f t="shared" si="138"/>
        <v>305.20252952798751</v>
      </c>
    </row>
    <row r="523" spans="31:38" ht="15.75" hidden="1" thickBot="1">
      <c r="AE523" s="789"/>
      <c r="AF523" s="777"/>
      <c r="AH523" s="101">
        <f t="shared" si="139"/>
        <v>1000000</v>
      </c>
      <c r="AI523" s="101">
        <f t="shared" si="130"/>
        <v>0</v>
      </c>
      <c r="AJ523" s="155">
        <v>2</v>
      </c>
      <c r="AK523" s="121">
        <f t="shared" si="133"/>
        <v>13</v>
      </c>
      <c r="AL523" s="158">
        <f t="shared" si="138"/>
        <v>304.50951989396395</v>
      </c>
    </row>
    <row r="524" spans="31:38" ht="15.75" hidden="1" thickBot="1">
      <c r="AE524" s="789"/>
      <c r="AF524" s="777"/>
      <c r="AH524" s="101">
        <f t="shared" si="139"/>
        <v>1000000</v>
      </c>
      <c r="AI524" s="101">
        <f t="shared" si="130"/>
        <v>0</v>
      </c>
      <c r="AJ524" s="155">
        <v>2</v>
      </c>
      <c r="AK524" s="121">
        <f t="shared" si="133"/>
        <v>14</v>
      </c>
      <c r="AL524" s="158">
        <f t="shared" si="138"/>
        <v>303.8165102599404</v>
      </c>
    </row>
    <row r="525" spans="31:38" ht="15.75" hidden="1" thickBot="1">
      <c r="AE525" s="789"/>
      <c r="AF525" s="777"/>
      <c r="AH525" s="101">
        <f t="shared" si="139"/>
        <v>1000000</v>
      </c>
      <c r="AI525" s="101">
        <f t="shared" si="130"/>
        <v>0</v>
      </c>
      <c r="AJ525" s="155">
        <v>2</v>
      </c>
      <c r="AK525" s="121">
        <f t="shared" si="133"/>
        <v>15</v>
      </c>
      <c r="AL525" s="158">
        <f t="shared" si="138"/>
        <v>303.12350062591685</v>
      </c>
    </row>
    <row r="526" spans="31:38" ht="15.75" hidden="1" thickBot="1">
      <c r="AE526" s="789"/>
      <c r="AF526" s="777"/>
      <c r="AH526" s="101">
        <f t="shared" si="139"/>
        <v>1000000</v>
      </c>
      <c r="AI526" s="101">
        <f t="shared" si="130"/>
        <v>0</v>
      </c>
      <c r="AJ526" s="155">
        <v>2</v>
      </c>
      <c r="AK526" s="121">
        <f t="shared" si="133"/>
        <v>16</v>
      </c>
      <c r="AL526" s="158">
        <f t="shared" si="138"/>
        <v>302.43049099189329</v>
      </c>
    </row>
    <row r="527" spans="31:38" ht="15.75" hidden="1" thickBot="1">
      <c r="AE527" s="789"/>
      <c r="AF527" s="777"/>
      <c r="AH527" s="101">
        <f t="shared" si="139"/>
        <v>1000000</v>
      </c>
      <c r="AI527" s="101">
        <f t="shared" si="130"/>
        <v>0</v>
      </c>
      <c r="AJ527" s="155">
        <v>2</v>
      </c>
      <c r="AK527" s="121">
        <f t="shared" si="133"/>
        <v>17</v>
      </c>
      <c r="AL527" s="158">
        <f t="shared" si="138"/>
        <v>301.7374813578698</v>
      </c>
    </row>
    <row r="528" spans="31:38" ht="15.75" hidden="1" thickBot="1">
      <c r="AE528" s="789"/>
      <c r="AF528" s="777"/>
      <c r="AH528" s="101">
        <f t="shared" si="139"/>
        <v>1000000</v>
      </c>
      <c r="AI528" s="101">
        <f t="shared" si="130"/>
        <v>0</v>
      </c>
      <c r="AJ528" s="155">
        <v>2</v>
      </c>
      <c r="AK528" s="121">
        <f t="shared" si="133"/>
        <v>18</v>
      </c>
      <c r="AL528" s="158">
        <f t="shared" si="138"/>
        <v>301.04447172384619</v>
      </c>
    </row>
    <row r="529" spans="31:38" ht="15.75" hidden="1" thickBot="1">
      <c r="AE529" s="789"/>
      <c r="AF529" s="777"/>
      <c r="AH529" s="101">
        <f t="shared" si="139"/>
        <v>1000000</v>
      </c>
      <c r="AI529" s="101">
        <f t="shared" si="130"/>
        <v>0</v>
      </c>
      <c r="AJ529" s="155">
        <v>2</v>
      </c>
      <c r="AK529" s="121">
        <f t="shared" si="133"/>
        <v>19</v>
      </c>
      <c r="AL529" s="158">
        <f t="shared" si="138"/>
        <v>300.35146208982269</v>
      </c>
    </row>
    <row r="530" spans="31:38" ht="15.75" hidden="1" thickBot="1">
      <c r="AE530" s="789"/>
      <c r="AF530" s="777"/>
      <c r="AH530" s="101">
        <f t="shared" si="139"/>
        <v>1000000</v>
      </c>
      <c r="AI530" s="101">
        <f t="shared" si="130"/>
        <v>0</v>
      </c>
      <c r="AJ530" s="155">
        <v>2</v>
      </c>
      <c r="AK530" s="121">
        <f t="shared" si="133"/>
        <v>20</v>
      </c>
      <c r="AL530" s="158">
        <f t="shared" si="138"/>
        <v>299.65845245579908</v>
      </c>
    </row>
    <row r="531" spans="31:38" ht="15.75" hidden="1" thickBot="1">
      <c r="AE531" s="789"/>
      <c r="AF531" s="777"/>
      <c r="AH531" s="101">
        <f t="shared" si="139"/>
        <v>1000000</v>
      </c>
      <c r="AI531" s="101">
        <f t="shared" si="130"/>
        <v>0</v>
      </c>
      <c r="AJ531" s="155">
        <v>2</v>
      </c>
      <c r="AK531" s="121">
        <f t="shared" si="133"/>
        <v>21</v>
      </c>
      <c r="AL531" s="158">
        <f t="shared" si="138"/>
        <v>298.96544282177558</v>
      </c>
    </row>
    <row r="532" spans="31:38" ht="15.75" hidden="1" thickBot="1">
      <c r="AE532" s="789"/>
      <c r="AF532" s="777"/>
      <c r="AH532" s="101">
        <f t="shared" si="139"/>
        <v>1000000</v>
      </c>
      <c r="AI532" s="101">
        <f t="shared" si="130"/>
        <v>0</v>
      </c>
      <c r="AJ532" s="155">
        <v>2</v>
      </c>
      <c r="AK532" s="121">
        <f t="shared" si="133"/>
        <v>22</v>
      </c>
      <c r="AL532" s="158">
        <f t="shared" si="138"/>
        <v>298.27243318775203</v>
      </c>
    </row>
    <row r="533" spans="31:38" ht="15.75" hidden="1" thickBot="1">
      <c r="AE533" s="789"/>
      <c r="AF533" s="777"/>
      <c r="AH533" s="101">
        <f t="shared" si="139"/>
        <v>1000000</v>
      </c>
      <c r="AI533" s="101">
        <f t="shared" si="130"/>
        <v>0</v>
      </c>
      <c r="AJ533" s="155">
        <v>2</v>
      </c>
      <c r="AK533" s="121">
        <f t="shared" si="133"/>
        <v>23</v>
      </c>
      <c r="AL533" s="158">
        <f t="shared" si="138"/>
        <v>297.57942355372847</v>
      </c>
    </row>
    <row r="534" spans="31:38" ht="15.75" hidden="1" thickBot="1">
      <c r="AE534" s="789"/>
      <c r="AF534" s="777"/>
      <c r="AH534" s="101">
        <f t="shared" si="139"/>
        <v>1000000</v>
      </c>
      <c r="AI534" s="101">
        <f t="shared" si="130"/>
        <v>0</v>
      </c>
      <c r="AJ534" s="155">
        <v>2</v>
      </c>
      <c r="AK534" s="121">
        <f t="shared" si="133"/>
        <v>24</v>
      </c>
      <c r="AL534" s="158">
        <f t="shared" si="138"/>
        <v>296.88641391970492</v>
      </c>
    </row>
    <row r="535" spans="31:38" ht="15.75" hidden="1" thickBot="1">
      <c r="AE535" s="789"/>
      <c r="AF535" s="777"/>
      <c r="AH535" s="101">
        <f t="shared" si="139"/>
        <v>1000000</v>
      </c>
      <c r="AI535" s="101">
        <f t="shared" si="130"/>
        <v>0</v>
      </c>
      <c r="AJ535" s="155">
        <v>2</v>
      </c>
      <c r="AK535" s="121">
        <f t="shared" si="133"/>
        <v>25</v>
      </c>
      <c r="AL535" s="158">
        <f t="shared" si="138"/>
        <v>296.19340428568137</v>
      </c>
    </row>
    <row r="536" spans="31:38" ht="15.75" hidden="1" thickBot="1">
      <c r="AE536" s="789"/>
      <c r="AF536" s="777"/>
      <c r="AH536" s="101">
        <f t="shared" si="139"/>
        <v>1000000</v>
      </c>
      <c r="AI536" s="101">
        <f t="shared" si="130"/>
        <v>0</v>
      </c>
      <c r="AJ536" s="155">
        <v>2</v>
      </c>
      <c r="AK536" s="121">
        <f t="shared" si="133"/>
        <v>26</v>
      </c>
      <c r="AL536" s="158">
        <f t="shared" si="138"/>
        <v>295.50039465165781</v>
      </c>
    </row>
    <row r="537" spans="31:38" ht="15.75" hidden="1" thickBot="1">
      <c r="AE537" s="789"/>
      <c r="AF537" s="777"/>
      <c r="AH537" s="101">
        <f t="shared" si="139"/>
        <v>1000000</v>
      </c>
      <c r="AI537" s="101">
        <f t="shared" ref="AI537:AI600" si="140">IF(AL537&lt;$D$79,0,AH537)</f>
        <v>0</v>
      </c>
      <c r="AJ537" s="155">
        <v>2</v>
      </c>
      <c r="AK537" s="121">
        <f t="shared" si="133"/>
        <v>27</v>
      </c>
      <c r="AL537" s="158">
        <f t="shared" si="138"/>
        <v>294.80738501763432</v>
      </c>
    </row>
    <row r="538" spans="31:38" ht="15.75" hidden="1" thickBot="1">
      <c r="AE538" s="789"/>
      <c r="AF538" s="777"/>
      <c r="AH538" s="101">
        <f t="shared" si="139"/>
        <v>1000000</v>
      </c>
      <c r="AI538" s="101">
        <f t="shared" si="140"/>
        <v>0</v>
      </c>
      <c r="AJ538" s="155">
        <v>2</v>
      </c>
      <c r="AK538" s="121">
        <f t="shared" si="133"/>
        <v>28</v>
      </c>
      <c r="AL538" s="158">
        <f t="shared" si="138"/>
        <v>294.11437538361076</v>
      </c>
    </row>
    <row r="539" spans="31:38" ht="15.75" hidden="1" thickBot="1">
      <c r="AE539" s="789"/>
      <c r="AF539" s="777"/>
      <c r="AH539" s="101">
        <f t="shared" si="139"/>
        <v>1000000</v>
      </c>
      <c r="AI539" s="101">
        <f t="shared" si="140"/>
        <v>0</v>
      </c>
      <c r="AJ539" s="155">
        <v>2</v>
      </c>
      <c r="AK539" s="121">
        <f t="shared" ref="AK539:AK602" si="141">AK538+1</f>
        <v>29</v>
      </c>
      <c r="AL539" s="158">
        <f t="shared" si="138"/>
        <v>293.42136574958721</v>
      </c>
    </row>
    <row r="540" spans="31:38" ht="15.75" hidden="1" thickBot="1">
      <c r="AE540" s="789"/>
      <c r="AF540" s="777"/>
      <c r="AH540" s="101">
        <f t="shared" si="139"/>
        <v>1000000</v>
      </c>
      <c r="AI540" s="101">
        <f t="shared" si="140"/>
        <v>0</v>
      </c>
      <c r="AJ540" s="155">
        <v>2</v>
      </c>
      <c r="AK540" s="121">
        <f t="shared" si="141"/>
        <v>30</v>
      </c>
      <c r="AL540" s="158">
        <f t="shared" si="138"/>
        <v>292.72835611556366</v>
      </c>
    </row>
    <row r="541" spans="31:38" ht="15.75" hidden="1" thickBot="1">
      <c r="AE541" s="789"/>
      <c r="AF541" s="777"/>
      <c r="AH541" s="101">
        <f t="shared" si="139"/>
        <v>1000000</v>
      </c>
      <c r="AI541" s="101">
        <f t="shared" si="140"/>
        <v>0</v>
      </c>
      <c r="AJ541" s="155">
        <v>2</v>
      </c>
      <c r="AK541" s="121">
        <f t="shared" si="141"/>
        <v>31</v>
      </c>
      <c r="AL541" s="158">
        <f t="shared" si="138"/>
        <v>292.0353464815401</v>
      </c>
    </row>
    <row r="542" spans="31:38" ht="15.75" hidden="1" thickBot="1">
      <c r="AE542" s="789"/>
      <c r="AF542" s="777"/>
      <c r="AH542" s="101">
        <f t="shared" ref="AH542:AH573" si="142">AX34</f>
        <v>1000000</v>
      </c>
      <c r="AI542" s="101">
        <f t="shared" si="140"/>
        <v>0</v>
      </c>
      <c r="AJ542" s="155">
        <v>2</v>
      </c>
      <c r="AK542" s="121">
        <f t="shared" si="141"/>
        <v>32</v>
      </c>
      <c r="AL542" s="158">
        <f t="shared" ref="AL542:AL573" si="143">AA34</f>
        <v>291.34233684751661</v>
      </c>
    </row>
    <row r="543" spans="31:38" ht="15.75" hidden="1" thickBot="1">
      <c r="AE543" s="789"/>
      <c r="AF543" s="777"/>
      <c r="AH543" s="101">
        <f t="shared" si="142"/>
        <v>1000000</v>
      </c>
      <c r="AI543" s="101">
        <f t="shared" si="140"/>
        <v>0</v>
      </c>
      <c r="AJ543" s="155">
        <v>2</v>
      </c>
      <c r="AK543" s="121">
        <f t="shared" si="141"/>
        <v>33</v>
      </c>
      <c r="AL543" s="158">
        <f t="shared" si="143"/>
        <v>290.64932721349305</v>
      </c>
    </row>
    <row r="544" spans="31:38" ht="15.75" hidden="1" thickBot="1">
      <c r="AE544" s="789"/>
      <c r="AF544" s="777"/>
      <c r="AH544" s="101">
        <f t="shared" si="142"/>
        <v>1000000</v>
      </c>
      <c r="AI544" s="101">
        <f t="shared" si="140"/>
        <v>0</v>
      </c>
      <c r="AJ544" s="155">
        <v>2</v>
      </c>
      <c r="AK544" s="121">
        <f t="shared" si="141"/>
        <v>34</v>
      </c>
      <c r="AL544" s="158">
        <f t="shared" si="143"/>
        <v>289.9563175794695</v>
      </c>
    </row>
    <row r="545" spans="31:38" ht="15.75" hidden="1" thickBot="1">
      <c r="AE545" s="789"/>
      <c r="AF545" s="777"/>
      <c r="AH545" s="101">
        <f t="shared" si="142"/>
        <v>1000000</v>
      </c>
      <c r="AI545" s="101">
        <f t="shared" si="140"/>
        <v>0</v>
      </c>
      <c r="AJ545" s="155">
        <v>2</v>
      </c>
      <c r="AK545" s="121">
        <f t="shared" si="141"/>
        <v>35</v>
      </c>
      <c r="AL545" s="158">
        <f t="shared" si="143"/>
        <v>289.26330794544594</v>
      </c>
    </row>
    <row r="546" spans="31:38" ht="15.75" hidden="1" thickBot="1">
      <c r="AE546" s="789"/>
      <c r="AF546" s="777"/>
      <c r="AH546" s="101">
        <f t="shared" si="142"/>
        <v>1000000</v>
      </c>
      <c r="AI546" s="101">
        <f t="shared" si="140"/>
        <v>0</v>
      </c>
      <c r="AJ546" s="155">
        <v>2</v>
      </c>
      <c r="AK546" s="121">
        <f t="shared" si="141"/>
        <v>36</v>
      </c>
      <c r="AL546" s="158">
        <f t="shared" si="143"/>
        <v>288.57029831142233</v>
      </c>
    </row>
    <row r="547" spans="31:38" ht="15.75" hidden="1" thickBot="1">
      <c r="AE547" s="789"/>
      <c r="AF547" s="777"/>
      <c r="AH547" s="101">
        <f t="shared" si="142"/>
        <v>1000000</v>
      </c>
      <c r="AI547" s="101">
        <f t="shared" si="140"/>
        <v>0</v>
      </c>
      <c r="AJ547" s="155">
        <v>2</v>
      </c>
      <c r="AK547" s="121">
        <f t="shared" si="141"/>
        <v>37</v>
      </c>
      <c r="AL547" s="158">
        <f t="shared" si="143"/>
        <v>287.87728867739884</v>
      </c>
    </row>
    <row r="548" spans="31:38" ht="15.75" hidden="1" thickBot="1">
      <c r="AE548" s="789"/>
      <c r="AF548" s="777"/>
      <c r="AH548" s="101">
        <f t="shared" si="142"/>
        <v>1000000</v>
      </c>
      <c r="AI548" s="101">
        <f t="shared" si="140"/>
        <v>0</v>
      </c>
      <c r="AJ548" s="155">
        <v>2</v>
      </c>
      <c r="AK548" s="121">
        <f t="shared" si="141"/>
        <v>38</v>
      </c>
      <c r="AL548" s="158">
        <f t="shared" si="143"/>
        <v>287.18427904337534</v>
      </c>
    </row>
    <row r="549" spans="31:38" ht="15.75" hidden="1" thickBot="1">
      <c r="AE549" s="789"/>
      <c r="AF549" s="777"/>
      <c r="AH549" s="101">
        <f t="shared" si="142"/>
        <v>1000000</v>
      </c>
      <c r="AI549" s="101">
        <f t="shared" si="140"/>
        <v>0</v>
      </c>
      <c r="AJ549" s="155">
        <v>2</v>
      </c>
      <c r="AK549" s="121">
        <f t="shared" si="141"/>
        <v>39</v>
      </c>
      <c r="AL549" s="158">
        <f t="shared" si="143"/>
        <v>286.49126940935173</v>
      </c>
    </row>
    <row r="550" spans="31:38" ht="15.75" hidden="1" thickBot="1">
      <c r="AE550" s="789"/>
      <c r="AF550" s="777"/>
      <c r="AH550" s="101">
        <f t="shared" si="142"/>
        <v>1000000</v>
      </c>
      <c r="AI550" s="101">
        <f t="shared" si="140"/>
        <v>0</v>
      </c>
      <c r="AJ550" s="155">
        <v>2</v>
      </c>
      <c r="AK550" s="121">
        <f t="shared" si="141"/>
        <v>40</v>
      </c>
      <c r="AL550" s="158">
        <f t="shared" si="143"/>
        <v>285.79825977532823</v>
      </c>
    </row>
    <row r="551" spans="31:38" ht="15.75" hidden="1" thickBot="1">
      <c r="AE551" s="789"/>
      <c r="AF551" s="777"/>
      <c r="AH551" s="101">
        <f t="shared" si="142"/>
        <v>1000000</v>
      </c>
      <c r="AI551" s="101">
        <f t="shared" si="140"/>
        <v>0</v>
      </c>
      <c r="AJ551" s="155">
        <v>2</v>
      </c>
      <c r="AK551" s="121">
        <f t="shared" si="141"/>
        <v>41</v>
      </c>
      <c r="AL551" s="158">
        <f t="shared" si="143"/>
        <v>285.10525014130462</v>
      </c>
    </row>
    <row r="552" spans="31:38" ht="15.75" hidden="1" thickBot="1">
      <c r="AE552" s="789"/>
      <c r="AF552" s="777"/>
      <c r="AH552" s="101">
        <f t="shared" si="142"/>
        <v>1000000</v>
      </c>
      <c r="AI552" s="101">
        <f t="shared" si="140"/>
        <v>0</v>
      </c>
      <c r="AJ552" s="155">
        <v>2</v>
      </c>
      <c r="AK552" s="121">
        <f t="shared" si="141"/>
        <v>42</v>
      </c>
      <c r="AL552" s="158">
        <f t="shared" si="143"/>
        <v>284.41224050728113</v>
      </c>
    </row>
    <row r="553" spans="31:38" ht="15.75" hidden="1" thickBot="1">
      <c r="AE553" s="789"/>
      <c r="AF553" s="777"/>
      <c r="AH553" s="101">
        <f t="shared" si="142"/>
        <v>1000000</v>
      </c>
      <c r="AI553" s="101">
        <f t="shared" si="140"/>
        <v>0</v>
      </c>
      <c r="AJ553" s="155">
        <v>2</v>
      </c>
      <c r="AK553" s="121">
        <f t="shared" si="141"/>
        <v>43</v>
      </c>
      <c r="AL553" s="158">
        <f t="shared" si="143"/>
        <v>283.71923087325757</v>
      </c>
    </row>
    <row r="554" spans="31:38" ht="15.75" hidden="1" thickBot="1">
      <c r="AE554" s="789"/>
      <c r="AF554" s="777"/>
      <c r="AH554" s="101">
        <f t="shared" si="142"/>
        <v>1000000</v>
      </c>
      <c r="AI554" s="101">
        <f t="shared" si="140"/>
        <v>0</v>
      </c>
      <c r="AJ554" s="155">
        <v>2</v>
      </c>
      <c r="AK554" s="121">
        <f t="shared" si="141"/>
        <v>44</v>
      </c>
      <c r="AL554" s="158">
        <f t="shared" si="143"/>
        <v>283.02622123923402</v>
      </c>
    </row>
    <row r="555" spans="31:38" ht="15.75" hidden="1" thickBot="1">
      <c r="AE555" s="789"/>
      <c r="AF555" s="777"/>
      <c r="AH555" s="101">
        <f t="shared" si="142"/>
        <v>1000000</v>
      </c>
      <c r="AI555" s="101">
        <f t="shared" si="140"/>
        <v>0</v>
      </c>
      <c r="AJ555" s="155">
        <v>2</v>
      </c>
      <c r="AK555" s="121">
        <f t="shared" si="141"/>
        <v>45</v>
      </c>
      <c r="AL555" s="158">
        <f t="shared" si="143"/>
        <v>282.33321160521047</v>
      </c>
    </row>
    <row r="556" spans="31:38" ht="15.75" hidden="1" thickBot="1">
      <c r="AE556" s="789"/>
      <c r="AF556" s="777"/>
      <c r="AH556" s="101">
        <f t="shared" si="142"/>
        <v>1000000</v>
      </c>
      <c r="AI556" s="101">
        <f t="shared" si="140"/>
        <v>0</v>
      </c>
      <c r="AJ556" s="155">
        <v>2</v>
      </c>
      <c r="AK556" s="121">
        <f t="shared" si="141"/>
        <v>46</v>
      </c>
      <c r="AL556" s="158">
        <f t="shared" si="143"/>
        <v>281.64020197118691</v>
      </c>
    </row>
    <row r="557" spans="31:38" ht="15.75" hidden="1" thickBot="1">
      <c r="AE557" s="789"/>
      <c r="AF557" s="777"/>
      <c r="AH557" s="101">
        <f t="shared" si="142"/>
        <v>1000000</v>
      </c>
      <c r="AI557" s="101">
        <f t="shared" si="140"/>
        <v>0</v>
      </c>
      <c r="AJ557" s="155">
        <v>2</v>
      </c>
      <c r="AK557" s="121">
        <f t="shared" si="141"/>
        <v>47</v>
      </c>
      <c r="AL557" s="158">
        <f t="shared" si="143"/>
        <v>280.94719233716336</v>
      </c>
    </row>
    <row r="558" spans="31:38" ht="15.75" hidden="1" thickBot="1">
      <c r="AE558" s="789"/>
      <c r="AF558" s="777"/>
      <c r="AH558" s="101">
        <f t="shared" si="142"/>
        <v>1000000</v>
      </c>
      <c r="AI558" s="101">
        <f t="shared" si="140"/>
        <v>0</v>
      </c>
      <c r="AJ558" s="155">
        <v>2</v>
      </c>
      <c r="AK558" s="121">
        <f t="shared" si="141"/>
        <v>48</v>
      </c>
      <c r="AL558" s="158">
        <f t="shared" si="143"/>
        <v>280.25418270313986</v>
      </c>
    </row>
    <row r="559" spans="31:38" ht="15.75" hidden="1" thickBot="1">
      <c r="AE559" s="789"/>
      <c r="AF559" s="777"/>
      <c r="AH559" s="101">
        <f t="shared" si="142"/>
        <v>1000000</v>
      </c>
      <c r="AI559" s="101">
        <f t="shared" si="140"/>
        <v>0</v>
      </c>
      <c r="AJ559" s="155">
        <v>2</v>
      </c>
      <c r="AK559" s="121">
        <f t="shared" si="141"/>
        <v>49</v>
      </c>
      <c r="AL559" s="158">
        <f t="shared" si="143"/>
        <v>279.56117306911631</v>
      </c>
    </row>
    <row r="560" spans="31:38" ht="15.75" hidden="1" thickBot="1">
      <c r="AE560" s="789"/>
      <c r="AF560" s="777"/>
      <c r="AH560" s="101">
        <f t="shared" si="142"/>
        <v>1000000</v>
      </c>
      <c r="AI560" s="101">
        <f t="shared" si="140"/>
        <v>0</v>
      </c>
      <c r="AJ560" s="155">
        <v>2</v>
      </c>
      <c r="AK560" s="121">
        <f t="shared" si="141"/>
        <v>50</v>
      </c>
      <c r="AL560" s="158">
        <f t="shared" si="143"/>
        <v>278.86816343509275</v>
      </c>
    </row>
    <row r="561" spans="31:38" ht="15.75" hidden="1" thickBot="1">
      <c r="AE561" s="789"/>
      <c r="AF561" s="777"/>
      <c r="AH561" s="101">
        <f t="shared" si="142"/>
        <v>1000000</v>
      </c>
      <c r="AI561" s="101">
        <f t="shared" si="140"/>
        <v>0</v>
      </c>
      <c r="AJ561" s="155">
        <v>2</v>
      </c>
      <c r="AK561" s="121">
        <f t="shared" si="141"/>
        <v>51</v>
      </c>
      <c r="AL561" s="158">
        <f t="shared" si="143"/>
        <v>278.1751538010692</v>
      </c>
    </row>
    <row r="562" spans="31:38" ht="15.75" hidden="1" thickBot="1">
      <c r="AE562" s="789"/>
      <c r="AF562" s="777"/>
      <c r="AH562" s="101">
        <f t="shared" si="142"/>
        <v>1000000</v>
      </c>
      <c r="AI562" s="101">
        <f t="shared" si="140"/>
        <v>0</v>
      </c>
      <c r="AJ562" s="155">
        <v>2</v>
      </c>
      <c r="AK562" s="121">
        <f t="shared" si="141"/>
        <v>52</v>
      </c>
      <c r="AL562" s="158">
        <f t="shared" si="143"/>
        <v>277.48214416704565</v>
      </c>
    </row>
    <row r="563" spans="31:38" ht="15.75" hidden="1" thickBot="1">
      <c r="AE563" s="789"/>
      <c r="AF563" s="777"/>
      <c r="AH563" s="101">
        <f t="shared" si="142"/>
        <v>1000000</v>
      </c>
      <c r="AI563" s="101">
        <f t="shared" si="140"/>
        <v>0</v>
      </c>
      <c r="AJ563" s="155">
        <v>2</v>
      </c>
      <c r="AK563" s="121">
        <f t="shared" si="141"/>
        <v>53</v>
      </c>
      <c r="AL563" s="158">
        <f t="shared" si="143"/>
        <v>276.78913453302209</v>
      </c>
    </row>
    <row r="564" spans="31:38" ht="15.75" hidden="1" thickBot="1">
      <c r="AE564" s="789"/>
      <c r="AF564" s="777"/>
      <c r="AH564" s="101">
        <f t="shared" si="142"/>
        <v>1000000</v>
      </c>
      <c r="AI564" s="101">
        <f t="shared" si="140"/>
        <v>0</v>
      </c>
      <c r="AJ564" s="155">
        <v>2</v>
      </c>
      <c r="AK564" s="121">
        <f t="shared" si="141"/>
        <v>54</v>
      </c>
      <c r="AL564" s="158">
        <f t="shared" si="143"/>
        <v>276.0961248989986</v>
      </c>
    </row>
    <row r="565" spans="31:38" ht="15.75" hidden="1" thickBot="1">
      <c r="AE565" s="789"/>
      <c r="AF565" s="777"/>
      <c r="AH565" s="101">
        <f t="shared" si="142"/>
        <v>1000000</v>
      </c>
      <c r="AI565" s="101">
        <f t="shared" si="140"/>
        <v>0</v>
      </c>
      <c r="AJ565" s="155">
        <v>2</v>
      </c>
      <c r="AK565" s="121">
        <f t="shared" si="141"/>
        <v>55</v>
      </c>
      <c r="AL565" s="158">
        <f t="shared" si="143"/>
        <v>275.40311526497504</v>
      </c>
    </row>
    <row r="566" spans="31:38" ht="15.75" hidden="1" thickBot="1">
      <c r="AE566" s="789"/>
      <c r="AF566" s="777"/>
      <c r="AH566" s="101">
        <f t="shared" si="142"/>
        <v>1000000</v>
      </c>
      <c r="AI566" s="101">
        <f t="shared" si="140"/>
        <v>0</v>
      </c>
      <c r="AJ566" s="155">
        <v>2</v>
      </c>
      <c r="AK566" s="121">
        <f t="shared" si="141"/>
        <v>56</v>
      </c>
      <c r="AL566" s="158">
        <f t="shared" si="143"/>
        <v>274.71010563095149</v>
      </c>
    </row>
    <row r="567" spans="31:38" ht="15.75" hidden="1" thickBot="1">
      <c r="AE567" s="789"/>
      <c r="AF567" s="777"/>
      <c r="AH567" s="101">
        <f t="shared" si="142"/>
        <v>1000000</v>
      </c>
      <c r="AI567" s="101">
        <f t="shared" si="140"/>
        <v>0</v>
      </c>
      <c r="AJ567" s="155">
        <v>2</v>
      </c>
      <c r="AK567" s="121">
        <f t="shared" si="141"/>
        <v>57</v>
      </c>
      <c r="AL567" s="158">
        <f t="shared" si="143"/>
        <v>274.01709599692788</v>
      </c>
    </row>
    <row r="568" spans="31:38" ht="15.75" hidden="1" thickBot="1">
      <c r="AE568" s="789"/>
      <c r="AF568" s="777"/>
      <c r="AH568" s="101">
        <f t="shared" si="142"/>
        <v>1000000</v>
      </c>
      <c r="AI568" s="101">
        <f t="shared" si="140"/>
        <v>0</v>
      </c>
      <c r="AJ568" s="155">
        <v>2</v>
      </c>
      <c r="AK568" s="121">
        <f t="shared" si="141"/>
        <v>58</v>
      </c>
      <c r="AL568" s="158">
        <f t="shared" si="143"/>
        <v>273.32408636290438</v>
      </c>
    </row>
    <row r="569" spans="31:38" ht="15.75" hidden="1" thickBot="1">
      <c r="AE569" s="789"/>
      <c r="AF569" s="777"/>
      <c r="AH569" s="101">
        <f t="shared" si="142"/>
        <v>1000000</v>
      </c>
      <c r="AI569" s="101">
        <f t="shared" si="140"/>
        <v>0</v>
      </c>
      <c r="AJ569" s="155">
        <v>2</v>
      </c>
      <c r="AK569" s="121">
        <f t="shared" si="141"/>
        <v>59</v>
      </c>
      <c r="AL569" s="158">
        <f t="shared" si="143"/>
        <v>272.63107672888088</v>
      </c>
    </row>
    <row r="570" spans="31:38" ht="15.75" hidden="1" thickBot="1">
      <c r="AE570" s="789"/>
      <c r="AF570" s="777"/>
      <c r="AH570" s="101">
        <f t="shared" si="142"/>
        <v>1000000</v>
      </c>
      <c r="AI570" s="101">
        <f t="shared" si="140"/>
        <v>0</v>
      </c>
      <c r="AJ570" s="155">
        <v>2</v>
      </c>
      <c r="AK570" s="121">
        <f t="shared" si="141"/>
        <v>60</v>
      </c>
      <c r="AL570" s="158">
        <f t="shared" si="143"/>
        <v>271.93806709485727</v>
      </c>
    </row>
    <row r="571" spans="31:38" ht="15.75" hidden="1" thickBot="1">
      <c r="AE571" s="789"/>
      <c r="AF571" s="777"/>
      <c r="AH571" s="101">
        <f t="shared" si="142"/>
        <v>1000000</v>
      </c>
      <c r="AI571" s="101">
        <f t="shared" si="140"/>
        <v>0</v>
      </c>
      <c r="AJ571" s="155">
        <v>2</v>
      </c>
      <c r="AK571" s="121">
        <f t="shared" si="141"/>
        <v>61</v>
      </c>
      <c r="AL571" s="158">
        <f t="shared" si="143"/>
        <v>271.24505746083378</v>
      </c>
    </row>
    <row r="572" spans="31:38" ht="15.75" hidden="1" thickBot="1">
      <c r="AE572" s="789"/>
      <c r="AF572" s="777"/>
      <c r="AH572" s="101">
        <f t="shared" si="142"/>
        <v>1000000</v>
      </c>
      <c r="AI572" s="101">
        <f t="shared" si="140"/>
        <v>0</v>
      </c>
      <c r="AJ572" s="155">
        <v>2</v>
      </c>
      <c r="AK572" s="121">
        <f t="shared" si="141"/>
        <v>62</v>
      </c>
      <c r="AL572" s="158">
        <f t="shared" si="143"/>
        <v>270.55204782681017</v>
      </c>
    </row>
    <row r="573" spans="31:38" ht="15.75" hidden="1" thickBot="1">
      <c r="AE573" s="789"/>
      <c r="AF573" s="777"/>
      <c r="AH573" s="101">
        <f t="shared" si="142"/>
        <v>1000000</v>
      </c>
      <c r="AI573" s="101">
        <f t="shared" si="140"/>
        <v>0</v>
      </c>
      <c r="AJ573" s="155">
        <v>2</v>
      </c>
      <c r="AK573" s="121">
        <f t="shared" si="141"/>
        <v>63</v>
      </c>
      <c r="AL573" s="158">
        <f t="shared" si="143"/>
        <v>269.85903819278667</v>
      </c>
    </row>
    <row r="574" spans="31:38" ht="15.75" hidden="1" thickBot="1">
      <c r="AE574" s="789"/>
      <c r="AF574" s="777"/>
      <c r="AH574" s="101">
        <f t="shared" ref="AH574:AH605" si="144">AX66</f>
        <v>1000000</v>
      </c>
      <c r="AI574" s="101">
        <f t="shared" si="140"/>
        <v>0</v>
      </c>
      <c r="AJ574" s="155">
        <v>2</v>
      </c>
      <c r="AK574" s="121">
        <f t="shared" si="141"/>
        <v>64</v>
      </c>
      <c r="AL574" s="158">
        <f t="shared" ref="AL574:AL605" si="145">AA66</f>
        <v>269.16602855876317</v>
      </c>
    </row>
    <row r="575" spans="31:38" ht="15.75" hidden="1" thickBot="1">
      <c r="AE575" s="789"/>
      <c r="AF575" s="777"/>
      <c r="AH575" s="101">
        <f t="shared" si="144"/>
        <v>1000000</v>
      </c>
      <c r="AI575" s="101">
        <f t="shared" si="140"/>
        <v>0</v>
      </c>
      <c r="AJ575" s="155">
        <v>2</v>
      </c>
      <c r="AK575" s="121">
        <f t="shared" si="141"/>
        <v>65</v>
      </c>
      <c r="AL575" s="158">
        <f t="shared" si="145"/>
        <v>268.47301892473956</v>
      </c>
    </row>
    <row r="576" spans="31:38" ht="15.75" hidden="1" thickBot="1">
      <c r="AE576" s="789"/>
      <c r="AF576" s="777"/>
      <c r="AH576" s="101">
        <f t="shared" si="144"/>
        <v>1000000</v>
      </c>
      <c r="AI576" s="101">
        <f t="shared" si="140"/>
        <v>0</v>
      </c>
      <c r="AJ576" s="155">
        <v>2</v>
      </c>
      <c r="AK576" s="121">
        <f t="shared" si="141"/>
        <v>66</v>
      </c>
      <c r="AL576" s="158">
        <f t="shared" si="145"/>
        <v>267.78000929071601</v>
      </c>
    </row>
    <row r="577" spans="31:38" ht="15.75" hidden="1" thickBot="1">
      <c r="AE577" s="789"/>
      <c r="AF577" s="777"/>
      <c r="AH577" s="101">
        <f t="shared" si="144"/>
        <v>1000000</v>
      </c>
      <c r="AI577" s="101">
        <f t="shared" si="140"/>
        <v>0</v>
      </c>
      <c r="AJ577" s="155">
        <v>2</v>
      </c>
      <c r="AK577" s="121">
        <f t="shared" si="141"/>
        <v>67</v>
      </c>
      <c r="AL577" s="158">
        <f t="shared" si="145"/>
        <v>267.08699965669246</v>
      </c>
    </row>
    <row r="578" spans="31:38" ht="15.75" hidden="1" thickBot="1">
      <c r="AE578" s="789"/>
      <c r="AF578" s="777"/>
      <c r="AH578" s="101">
        <f t="shared" si="144"/>
        <v>1000000</v>
      </c>
      <c r="AI578" s="101">
        <f t="shared" si="140"/>
        <v>0</v>
      </c>
      <c r="AJ578" s="155">
        <v>2</v>
      </c>
      <c r="AK578" s="121">
        <f t="shared" si="141"/>
        <v>68</v>
      </c>
      <c r="AL578" s="158">
        <f t="shared" si="145"/>
        <v>266.39399002266896</v>
      </c>
    </row>
    <row r="579" spans="31:38" ht="15.75" hidden="1" thickBot="1">
      <c r="AE579" s="789"/>
      <c r="AF579" s="777"/>
      <c r="AH579" s="101">
        <f t="shared" si="144"/>
        <v>1000000</v>
      </c>
      <c r="AI579" s="101">
        <f t="shared" si="140"/>
        <v>0</v>
      </c>
      <c r="AJ579" s="155">
        <v>2</v>
      </c>
      <c r="AK579" s="121">
        <f t="shared" si="141"/>
        <v>69</v>
      </c>
      <c r="AL579" s="158">
        <f t="shared" si="145"/>
        <v>265.70098038864541</v>
      </c>
    </row>
    <row r="580" spans="31:38" ht="15.75" hidden="1" thickBot="1">
      <c r="AE580" s="789"/>
      <c r="AF580" s="777"/>
      <c r="AH580" s="101">
        <f t="shared" si="144"/>
        <v>1000000</v>
      </c>
      <c r="AI580" s="101">
        <f t="shared" si="140"/>
        <v>0</v>
      </c>
      <c r="AJ580" s="155">
        <v>2</v>
      </c>
      <c r="AK580" s="121">
        <f t="shared" si="141"/>
        <v>70</v>
      </c>
      <c r="AL580" s="158">
        <f t="shared" si="145"/>
        <v>265.00797075462185</v>
      </c>
    </row>
    <row r="581" spans="31:38" ht="15.75" hidden="1" thickBot="1">
      <c r="AE581" s="789"/>
      <c r="AF581" s="777"/>
      <c r="AH581" s="101">
        <f t="shared" si="144"/>
        <v>1000000</v>
      </c>
      <c r="AI581" s="101">
        <f t="shared" si="140"/>
        <v>0</v>
      </c>
      <c r="AJ581" s="155">
        <v>2</v>
      </c>
      <c r="AK581" s="121">
        <f t="shared" si="141"/>
        <v>71</v>
      </c>
      <c r="AL581" s="158">
        <f t="shared" si="145"/>
        <v>264.3149611205983</v>
      </c>
    </row>
    <row r="582" spans="31:38" ht="15.75" hidden="1" thickBot="1">
      <c r="AE582" s="789"/>
      <c r="AF582" s="777"/>
      <c r="AH582" s="101">
        <f t="shared" si="144"/>
        <v>1000000</v>
      </c>
      <c r="AI582" s="101">
        <f t="shared" si="140"/>
        <v>0</v>
      </c>
      <c r="AJ582" s="155">
        <v>2</v>
      </c>
      <c r="AK582" s="121">
        <f t="shared" si="141"/>
        <v>72</v>
      </c>
      <c r="AL582" s="158">
        <f t="shared" si="145"/>
        <v>263.62195148657474</v>
      </c>
    </row>
    <row r="583" spans="31:38" ht="15.75" hidden="1" thickBot="1">
      <c r="AE583" s="789"/>
      <c r="AF583" s="777"/>
      <c r="AH583" s="101">
        <f t="shared" si="144"/>
        <v>1000000</v>
      </c>
      <c r="AI583" s="101">
        <f t="shared" si="140"/>
        <v>0</v>
      </c>
      <c r="AJ583" s="155">
        <v>2</v>
      </c>
      <c r="AK583" s="121">
        <f t="shared" si="141"/>
        <v>73</v>
      </c>
      <c r="AL583" s="158">
        <f t="shared" si="145"/>
        <v>262.92894185255113</v>
      </c>
    </row>
    <row r="584" spans="31:38" ht="15.75" hidden="1" thickBot="1">
      <c r="AE584" s="789"/>
      <c r="AF584" s="777"/>
      <c r="AH584" s="101">
        <f t="shared" si="144"/>
        <v>1000000</v>
      </c>
      <c r="AI584" s="101">
        <f t="shared" si="140"/>
        <v>0</v>
      </c>
      <c r="AJ584" s="155">
        <v>2</v>
      </c>
      <c r="AK584" s="121">
        <f t="shared" si="141"/>
        <v>74</v>
      </c>
      <c r="AL584" s="158">
        <f t="shared" si="145"/>
        <v>262.23593221852764</v>
      </c>
    </row>
    <row r="585" spans="31:38" ht="15.75" hidden="1" thickBot="1">
      <c r="AE585" s="789"/>
      <c r="AF585" s="777"/>
      <c r="AH585" s="101">
        <f t="shared" si="144"/>
        <v>1000000</v>
      </c>
      <c r="AI585" s="101">
        <f t="shared" si="140"/>
        <v>0</v>
      </c>
      <c r="AJ585" s="155">
        <v>2</v>
      </c>
      <c r="AK585" s="121">
        <f t="shared" si="141"/>
        <v>75</v>
      </c>
      <c r="AL585" s="158">
        <f t="shared" si="145"/>
        <v>261.54292258450414</v>
      </c>
    </row>
    <row r="586" spans="31:38" ht="15.75" hidden="1" thickBot="1">
      <c r="AE586" s="789"/>
      <c r="AF586" s="777"/>
      <c r="AH586" s="101">
        <f t="shared" si="144"/>
        <v>1000000</v>
      </c>
      <c r="AI586" s="101">
        <f t="shared" si="140"/>
        <v>0</v>
      </c>
      <c r="AJ586" s="155">
        <v>2</v>
      </c>
      <c r="AK586" s="121">
        <f t="shared" si="141"/>
        <v>76</v>
      </c>
      <c r="AL586" s="158">
        <f t="shared" si="145"/>
        <v>260.84991295048059</v>
      </c>
    </row>
    <row r="587" spans="31:38" ht="15.75" hidden="1" thickBot="1">
      <c r="AE587" s="789"/>
      <c r="AF587" s="777"/>
      <c r="AH587" s="101">
        <f t="shared" si="144"/>
        <v>1000000</v>
      </c>
      <c r="AI587" s="101">
        <f t="shared" si="140"/>
        <v>0</v>
      </c>
      <c r="AJ587" s="155">
        <v>2</v>
      </c>
      <c r="AK587" s="121">
        <f t="shared" si="141"/>
        <v>77</v>
      </c>
      <c r="AL587" s="158">
        <f t="shared" si="145"/>
        <v>260.15690331645703</v>
      </c>
    </row>
    <row r="588" spans="31:38" ht="15.75" hidden="1" thickBot="1">
      <c r="AE588" s="789"/>
      <c r="AF588" s="777"/>
      <c r="AH588" s="101">
        <f t="shared" si="144"/>
        <v>1000000</v>
      </c>
      <c r="AI588" s="101">
        <f t="shared" si="140"/>
        <v>0</v>
      </c>
      <c r="AJ588" s="155">
        <v>2</v>
      </c>
      <c r="AK588" s="121">
        <f t="shared" si="141"/>
        <v>78</v>
      </c>
      <c r="AL588" s="158">
        <f t="shared" si="145"/>
        <v>259.46389368243342</v>
      </c>
    </row>
    <row r="589" spans="31:38" ht="15.75" hidden="1" thickBot="1">
      <c r="AE589" s="789"/>
      <c r="AF589" s="777"/>
      <c r="AH589" s="101">
        <f t="shared" si="144"/>
        <v>1000000</v>
      </c>
      <c r="AI589" s="101">
        <f t="shared" si="140"/>
        <v>0</v>
      </c>
      <c r="AJ589" s="155">
        <v>2</v>
      </c>
      <c r="AK589" s="121">
        <f t="shared" si="141"/>
        <v>79</v>
      </c>
      <c r="AL589" s="158">
        <f t="shared" si="145"/>
        <v>258.77088404840993</v>
      </c>
    </row>
    <row r="590" spans="31:38" ht="15.75" hidden="1" thickBot="1">
      <c r="AE590" s="789"/>
      <c r="AF590" s="777"/>
      <c r="AH590" s="101">
        <f t="shared" si="144"/>
        <v>1000000</v>
      </c>
      <c r="AI590" s="101">
        <f t="shared" si="140"/>
        <v>0</v>
      </c>
      <c r="AJ590" s="155">
        <v>2</v>
      </c>
      <c r="AK590" s="121">
        <f t="shared" si="141"/>
        <v>80</v>
      </c>
      <c r="AL590" s="158">
        <f t="shared" si="145"/>
        <v>258.07787441438643</v>
      </c>
    </row>
    <row r="591" spans="31:38" ht="15.75" hidden="1" thickBot="1">
      <c r="AE591" s="789"/>
      <c r="AF591" s="777"/>
      <c r="AH591" s="101">
        <f t="shared" si="144"/>
        <v>1000000</v>
      </c>
      <c r="AI591" s="101">
        <f t="shared" si="140"/>
        <v>0</v>
      </c>
      <c r="AJ591" s="155">
        <v>2</v>
      </c>
      <c r="AK591" s="121">
        <f t="shared" si="141"/>
        <v>81</v>
      </c>
      <c r="AL591" s="158">
        <f t="shared" si="145"/>
        <v>257.38486478036282</v>
      </c>
    </row>
    <row r="592" spans="31:38" ht="15.75" hidden="1" thickBot="1">
      <c r="AE592" s="789"/>
      <c r="AF592" s="777"/>
      <c r="AH592" s="101">
        <f t="shared" si="144"/>
        <v>1000000</v>
      </c>
      <c r="AI592" s="101">
        <f t="shared" si="140"/>
        <v>0</v>
      </c>
      <c r="AJ592" s="155">
        <v>2</v>
      </c>
      <c r="AK592" s="121">
        <f t="shared" si="141"/>
        <v>82</v>
      </c>
      <c r="AL592" s="158">
        <f t="shared" si="145"/>
        <v>256.69185514633926</v>
      </c>
    </row>
    <row r="593" spans="31:38" ht="15.75" hidden="1" thickBot="1">
      <c r="AE593" s="789"/>
      <c r="AF593" s="777"/>
      <c r="AH593" s="101">
        <f t="shared" si="144"/>
        <v>1000000</v>
      </c>
      <c r="AI593" s="101">
        <f t="shared" si="140"/>
        <v>0</v>
      </c>
      <c r="AJ593" s="155">
        <v>2</v>
      </c>
      <c r="AK593" s="121">
        <f t="shared" si="141"/>
        <v>83</v>
      </c>
      <c r="AL593" s="158">
        <f t="shared" si="145"/>
        <v>255.99884551231574</v>
      </c>
    </row>
    <row r="594" spans="31:38" ht="15.75" hidden="1" thickBot="1">
      <c r="AE594" s="789"/>
      <c r="AF594" s="777"/>
      <c r="AH594" s="101">
        <f t="shared" si="144"/>
        <v>1000000</v>
      </c>
      <c r="AI594" s="101">
        <f t="shared" si="140"/>
        <v>0</v>
      </c>
      <c r="AJ594" s="155">
        <v>2</v>
      </c>
      <c r="AK594" s="121">
        <f t="shared" si="141"/>
        <v>84</v>
      </c>
      <c r="AL594" s="158">
        <f t="shared" si="145"/>
        <v>255.30583587829221</v>
      </c>
    </row>
    <row r="595" spans="31:38" ht="15.75" hidden="1" thickBot="1">
      <c r="AE595" s="789"/>
      <c r="AF595" s="777"/>
      <c r="AH595" s="101">
        <f t="shared" si="144"/>
        <v>1000000</v>
      </c>
      <c r="AI595" s="101">
        <f t="shared" si="140"/>
        <v>0</v>
      </c>
      <c r="AJ595" s="155">
        <v>2</v>
      </c>
      <c r="AK595" s="121">
        <f t="shared" si="141"/>
        <v>85</v>
      </c>
      <c r="AL595" s="158">
        <f t="shared" si="145"/>
        <v>254.61282624426866</v>
      </c>
    </row>
    <row r="596" spans="31:38" ht="15.75" hidden="1" thickBot="1">
      <c r="AE596" s="789"/>
      <c r="AF596" s="777"/>
      <c r="AH596" s="101">
        <f t="shared" si="144"/>
        <v>1000000</v>
      </c>
      <c r="AI596" s="101">
        <f t="shared" si="140"/>
        <v>0</v>
      </c>
      <c r="AJ596" s="155">
        <v>2</v>
      </c>
      <c r="AK596" s="121">
        <f t="shared" si="141"/>
        <v>86</v>
      </c>
      <c r="AL596" s="158">
        <f t="shared" si="145"/>
        <v>253.91981661024508</v>
      </c>
    </row>
    <row r="597" spans="31:38" ht="15.75" hidden="1" thickBot="1">
      <c r="AE597" s="789"/>
      <c r="AF597" s="777"/>
      <c r="AH597" s="101">
        <f t="shared" si="144"/>
        <v>1000000</v>
      </c>
      <c r="AI597" s="101">
        <f t="shared" si="140"/>
        <v>0</v>
      </c>
      <c r="AJ597" s="155">
        <v>2</v>
      </c>
      <c r="AK597" s="121">
        <f t="shared" si="141"/>
        <v>87</v>
      </c>
      <c r="AL597" s="158">
        <f t="shared" si="145"/>
        <v>253.22680697622155</v>
      </c>
    </row>
    <row r="598" spans="31:38" ht="15.75" hidden="1" thickBot="1">
      <c r="AE598" s="789"/>
      <c r="AF598" s="777"/>
      <c r="AH598" s="101">
        <f t="shared" si="144"/>
        <v>1000000</v>
      </c>
      <c r="AI598" s="101">
        <f t="shared" si="140"/>
        <v>0</v>
      </c>
      <c r="AJ598" s="155">
        <v>2</v>
      </c>
      <c r="AK598" s="121">
        <f t="shared" si="141"/>
        <v>88</v>
      </c>
      <c r="AL598" s="158">
        <f t="shared" si="145"/>
        <v>252.53379734219803</v>
      </c>
    </row>
    <row r="599" spans="31:38" ht="15.75" hidden="1" thickBot="1">
      <c r="AE599" s="789"/>
      <c r="AF599" s="777"/>
      <c r="AH599" s="101">
        <f t="shared" si="144"/>
        <v>1000000</v>
      </c>
      <c r="AI599" s="101">
        <f t="shared" si="140"/>
        <v>0</v>
      </c>
      <c r="AJ599" s="155">
        <v>2</v>
      </c>
      <c r="AK599" s="121">
        <f t="shared" si="141"/>
        <v>89</v>
      </c>
      <c r="AL599" s="158">
        <f t="shared" si="145"/>
        <v>251.8407877081745</v>
      </c>
    </row>
    <row r="600" spans="31:38" ht="15.75" hidden="1" thickBot="1">
      <c r="AE600" s="789"/>
      <c r="AF600" s="777"/>
      <c r="AH600" s="101">
        <f t="shared" si="144"/>
        <v>1000000</v>
      </c>
      <c r="AI600" s="101">
        <f t="shared" si="140"/>
        <v>0</v>
      </c>
      <c r="AJ600" s="155">
        <v>2</v>
      </c>
      <c r="AK600" s="121">
        <f t="shared" si="141"/>
        <v>90</v>
      </c>
      <c r="AL600" s="158">
        <f t="shared" si="145"/>
        <v>251.14777807415089</v>
      </c>
    </row>
    <row r="601" spans="31:38" ht="15.75" hidden="1" thickBot="1">
      <c r="AE601" s="789"/>
      <c r="AF601" s="777"/>
      <c r="AH601" s="101">
        <f t="shared" si="144"/>
        <v>1000000</v>
      </c>
      <c r="AI601" s="101">
        <f t="shared" ref="AI601:AI664" si="146">IF(AL601&lt;$D$79,0,AH601)</f>
        <v>0</v>
      </c>
      <c r="AJ601" s="155">
        <v>2</v>
      </c>
      <c r="AK601" s="121">
        <f t="shared" si="141"/>
        <v>91</v>
      </c>
      <c r="AL601" s="158">
        <f t="shared" si="145"/>
        <v>250.45476844012737</v>
      </c>
    </row>
    <row r="602" spans="31:38" ht="15.75" hidden="1" thickBot="1">
      <c r="AE602" s="789"/>
      <c r="AF602" s="777"/>
      <c r="AH602" s="101">
        <f t="shared" si="144"/>
        <v>1000000</v>
      </c>
      <c r="AI602" s="101">
        <f t="shared" si="146"/>
        <v>0</v>
      </c>
      <c r="AJ602" s="155">
        <v>2</v>
      </c>
      <c r="AK602" s="121">
        <f t="shared" si="141"/>
        <v>92</v>
      </c>
      <c r="AL602" s="158">
        <f t="shared" si="145"/>
        <v>249.76175880610384</v>
      </c>
    </row>
    <row r="603" spans="31:38" ht="15.75" hidden="1" thickBot="1">
      <c r="AE603" s="789"/>
      <c r="AF603" s="777"/>
      <c r="AH603" s="101">
        <f t="shared" si="144"/>
        <v>1000000</v>
      </c>
      <c r="AI603" s="101">
        <f t="shared" si="146"/>
        <v>0</v>
      </c>
      <c r="AJ603" s="155">
        <v>2</v>
      </c>
      <c r="AK603" s="121">
        <f t="shared" ref="AK603:AK666" si="147">AK602+1</f>
        <v>93</v>
      </c>
      <c r="AL603" s="158">
        <f t="shared" si="145"/>
        <v>249.06874917208032</v>
      </c>
    </row>
    <row r="604" spans="31:38" ht="15.75" hidden="1" thickBot="1">
      <c r="AE604" s="789"/>
      <c r="AF604" s="777"/>
      <c r="AH604" s="101">
        <f t="shared" si="144"/>
        <v>1000000</v>
      </c>
      <c r="AI604" s="101">
        <f t="shared" si="146"/>
        <v>0</v>
      </c>
      <c r="AJ604" s="155">
        <v>2</v>
      </c>
      <c r="AK604" s="121">
        <f t="shared" si="147"/>
        <v>94</v>
      </c>
      <c r="AL604" s="158">
        <f t="shared" si="145"/>
        <v>248.37573953805673</v>
      </c>
    </row>
    <row r="605" spans="31:38" ht="15.75" hidden="1" thickBot="1">
      <c r="AE605" s="789"/>
      <c r="AF605" s="777"/>
      <c r="AH605" s="101">
        <f t="shared" si="144"/>
        <v>1000000</v>
      </c>
      <c r="AI605" s="101">
        <f t="shared" si="146"/>
        <v>0</v>
      </c>
      <c r="AJ605" s="155">
        <v>2</v>
      </c>
      <c r="AK605" s="121">
        <f t="shared" si="147"/>
        <v>95</v>
      </c>
      <c r="AL605" s="158">
        <f t="shared" si="145"/>
        <v>247.68272990403324</v>
      </c>
    </row>
    <row r="606" spans="31:38" ht="15.75" hidden="1" thickBot="1">
      <c r="AE606" s="789"/>
      <c r="AF606" s="777"/>
      <c r="AH606" s="101">
        <f>AX98</f>
        <v>1000000</v>
      </c>
      <c r="AI606" s="101">
        <f t="shared" si="146"/>
        <v>0</v>
      </c>
      <c r="AJ606" s="155">
        <v>2</v>
      </c>
      <c r="AK606" s="121">
        <f t="shared" si="147"/>
        <v>96</v>
      </c>
      <c r="AL606" s="158">
        <f>AA98</f>
        <v>246.98972027000966</v>
      </c>
    </row>
    <row r="607" spans="31:38" ht="15.75" hidden="1" thickBot="1">
      <c r="AE607" s="789"/>
      <c r="AF607" s="777"/>
      <c r="AH607" s="101">
        <f>AX99</f>
        <v>1000000</v>
      </c>
      <c r="AI607" s="101">
        <f t="shared" si="146"/>
        <v>0</v>
      </c>
      <c r="AJ607" s="155">
        <v>2</v>
      </c>
      <c r="AK607" s="121">
        <f t="shared" si="147"/>
        <v>97</v>
      </c>
      <c r="AL607" s="158">
        <f>AA99</f>
        <v>246.29671063598613</v>
      </c>
    </row>
    <row r="608" spans="31:38" ht="15.75" hidden="1" thickBot="1">
      <c r="AE608" s="789"/>
      <c r="AF608" s="777"/>
      <c r="AH608" s="101">
        <f>AX100</f>
        <v>1000000</v>
      </c>
      <c r="AI608" s="101">
        <f t="shared" si="146"/>
        <v>0</v>
      </c>
      <c r="AJ608" s="155">
        <v>2</v>
      </c>
      <c r="AK608" s="121">
        <f t="shared" si="147"/>
        <v>98</v>
      </c>
      <c r="AL608" s="158">
        <f>AA100</f>
        <v>245.60370100196261</v>
      </c>
    </row>
    <row r="609" spans="31:38" ht="15.75" hidden="1" thickBot="1">
      <c r="AE609" s="789"/>
      <c r="AF609" s="777"/>
      <c r="AH609" s="101">
        <f>AX101</f>
        <v>1000000</v>
      </c>
      <c r="AI609" s="101">
        <f t="shared" si="146"/>
        <v>0</v>
      </c>
      <c r="AJ609" s="155">
        <v>2</v>
      </c>
      <c r="AK609" s="121">
        <f t="shared" si="147"/>
        <v>99</v>
      </c>
      <c r="AL609" s="158">
        <f>AA101</f>
        <v>244.91069136793899</v>
      </c>
    </row>
    <row r="610" spans="31:38" ht="15.75" hidden="1" thickBot="1">
      <c r="AE610" s="789"/>
      <c r="AF610" s="778"/>
      <c r="AH610" s="101">
        <f>AX102</f>
        <v>1000000</v>
      </c>
      <c r="AI610" s="101">
        <f t="shared" si="146"/>
        <v>0</v>
      </c>
      <c r="AJ610" s="155">
        <v>2</v>
      </c>
      <c r="AK610" s="121">
        <f t="shared" si="147"/>
        <v>100</v>
      </c>
      <c r="AL610" s="158">
        <f>AA102</f>
        <v>244.21768173391547</v>
      </c>
    </row>
    <row r="611" spans="31:38" ht="15" hidden="1" customHeight="1" thickBot="1">
      <c r="AE611" s="789"/>
      <c r="AF611" s="776" t="s">
        <v>277</v>
      </c>
      <c r="AH611" s="101">
        <f>BE2</f>
        <v>206.65077097997724</v>
      </c>
      <c r="AI611" s="101">
        <f t="shared" si="146"/>
        <v>206.65077097997724</v>
      </c>
      <c r="AJ611" s="155">
        <v>3</v>
      </c>
      <c r="AK611" s="121">
        <v>0</v>
      </c>
      <c r="AL611" s="158">
        <f t="shared" ref="AL611:AL642" si="148">AB2</f>
        <v>418.02486018169338</v>
      </c>
    </row>
    <row r="612" spans="31:38" ht="15.75" hidden="1" thickBot="1">
      <c r="AE612" s="789"/>
      <c r="AF612" s="777"/>
      <c r="AH612" s="101">
        <f t="shared" ref="AH612:AH642" si="149">BE3</f>
        <v>1000000</v>
      </c>
      <c r="AI612" s="101">
        <f t="shared" si="146"/>
        <v>1000000</v>
      </c>
      <c r="AJ612" s="155">
        <v>3</v>
      </c>
      <c r="AK612" s="121">
        <f t="shared" si="147"/>
        <v>1</v>
      </c>
      <c r="AL612" s="158">
        <f t="shared" si="148"/>
        <v>417.10084733632863</v>
      </c>
    </row>
    <row r="613" spans="31:38" ht="15.75" hidden="1" thickBot="1">
      <c r="AE613" s="789"/>
      <c r="AF613" s="777"/>
      <c r="AH613" s="101">
        <f t="shared" si="149"/>
        <v>1000000</v>
      </c>
      <c r="AI613" s="101">
        <f t="shared" si="146"/>
        <v>1000000</v>
      </c>
      <c r="AJ613" s="155">
        <v>3</v>
      </c>
      <c r="AK613" s="121">
        <f t="shared" si="147"/>
        <v>2</v>
      </c>
      <c r="AL613" s="158">
        <f t="shared" si="148"/>
        <v>416.17683449096393</v>
      </c>
    </row>
    <row r="614" spans="31:38" ht="15.75" hidden="1" thickBot="1">
      <c r="AE614" s="789"/>
      <c r="AF614" s="777"/>
      <c r="AH614" s="101">
        <f t="shared" si="149"/>
        <v>1000000</v>
      </c>
      <c r="AI614" s="101">
        <f t="shared" si="146"/>
        <v>1000000</v>
      </c>
      <c r="AJ614" s="155">
        <v>3</v>
      </c>
      <c r="AK614" s="121">
        <f t="shared" si="147"/>
        <v>3</v>
      </c>
      <c r="AL614" s="158">
        <f t="shared" si="148"/>
        <v>415.25282164559917</v>
      </c>
    </row>
    <row r="615" spans="31:38" ht="15.75" hidden="1" thickBot="1">
      <c r="AE615" s="789"/>
      <c r="AF615" s="777"/>
      <c r="AH615" s="101">
        <f t="shared" si="149"/>
        <v>1000000</v>
      </c>
      <c r="AI615" s="101">
        <f t="shared" si="146"/>
        <v>1000000</v>
      </c>
      <c r="AJ615" s="155">
        <v>3</v>
      </c>
      <c r="AK615" s="121">
        <f t="shared" si="147"/>
        <v>4</v>
      </c>
      <c r="AL615" s="158">
        <f t="shared" si="148"/>
        <v>414.32880880023447</v>
      </c>
    </row>
    <row r="616" spans="31:38" ht="15.75" hidden="1" thickBot="1">
      <c r="AE616" s="789"/>
      <c r="AF616" s="777"/>
      <c r="AH616" s="101">
        <f t="shared" si="149"/>
        <v>1000000</v>
      </c>
      <c r="AI616" s="101">
        <f t="shared" si="146"/>
        <v>1000000</v>
      </c>
      <c r="AJ616" s="155">
        <v>3</v>
      </c>
      <c r="AK616" s="121">
        <f t="shared" si="147"/>
        <v>5</v>
      </c>
      <c r="AL616" s="158">
        <f t="shared" si="148"/>
        <v>413.40479595486971</v>
      </c>
    </row>
    <row r="617" spans="31:38" ht="15.75" hidden="1" thickBot="1">
      <c r="AE617" s="789"/>
      <c r="AF617" s="777"/>
      <c r="AH617" s="101">
        <f t="shared" si="149"/>
        <v>1000000</v>
      </c>
      <c r="AI617" s="101">
        <f t="shared" si="146"/>
        <v>1000000</v>
      </c>
      <c r="AJ617" s="155">
        <v>3</v>
      </c>
      <c r="AK617" s="121">
        <f t="shared" si="147"/>
        <v>6</v>
      </c>
      <c r="AL617" s="158">
        <f t="shared" si="148"/>
        <v>412.48078310950501</v>
      </c>
    </row>
    <row r="618" spans="31:38" ht="15.75" hidden="1" thickBot="1">
      <c r="AE618" s="789"/>
      <c r="AF618" s="777"/>
      <c r="AH618" s="101">
        <f t="shared" si="149"/>
        <v>1000000</v>
      </c>
      <c r="AI618" s="101">
        <f t="shared" si="146"/>
        <v>1000000</v>
      </c>
      <c r="AJ618" s="155">
        <v>3</v>
      </c>
      <c r="AK618" s="121">
        <f t="shared" si="147"/>
        <v>7</v>
      </c>
      <c r="AL618" s="158">
        <f t="shared" si="148"/>
        <v>411.55677026414025</v>
      </c>
    </row>
    <row r="619" spans="31:38" ht="15.75" hidden="1" thickBot="1">
      <c r="AE619" s="789"/>
      <c r="AF619" s="777"/>
      <c r="AH619" s="101">
        <f t="shared" si="149"/>
        <v>1000000</v>
      </c>
      <c r="AI619" s="101">
        <f t="shared" si="146"/>
        <v>1000000</v>
      </c>
      <c r="AJ619" s="155">
        <v>3</v>
      </c>
      <c r="AK619" s="121">
        <f t="shared" si="147"/>
        <v>8</v>
      </c>
      <c r="AL619" s="158">
        <f t="shared" si="148"/>
        <v>410.63275741877555</v>
      </c>
    </row>
    <row r="620" spans="31:38" ht="15.75" hidden="1" thickBot="1">
      <c r="AE620" s="789"/>
      <c r="AF620" s="777"/>
      <c r="AH620" s="101">
        <f t="shared" si="149"/>
        <v>1000000</v>
      </c>
      <c r="AI620" s="101">
        <f t="shared" si="146"/>
        <v>1000000</v>
      </c>
      <c r="AJ620" s="155">
        <v>3</v>
      </c>
      <c r="AK620" s="121">
        <f t="shared" si="147"/>
        <v>9</v>
      </c>
      <c r="AL620" s="158">
        <f t="shared" si="148"/>
        <v>409.70874457341085</v>
      </c>
    </row>
    <row r="621" spans="31:38" ht="15.75" hidden="1" thickBot="1">
      <c r="AE621" s="789"/>
      <c r="AF621" s="777"/>
      <c r="AH621" s="101">
        <f t="shared" si="149"/>
        <v>1000000</v>
      </c>
      <c r="AI621" s="101">
        <f t="shared" si="146"/>
        <v>1000000</v>
      </c>
      <c r="AJ621" s="155">
        <v>3</v>
      </c>
      <c r="AK621" s="121">
        <f t="shared" si="147"/>
        <v>10</v>
      </c>
      <c r="AL621" s="158">
        <f t="shared" si="148"/>
        <v>408.7847317280461</v>
      </c>
    </row>
    <row r="622" spans="31:38" ht="15.75" hidden="1" thickBot="1">
      <c r="AE622" s="789"/>
      <c r="AF622" s="777"/>
      <c r="AH622" s="101">
        <f t="shared" si="149"/>
        <v>1000000</v>
      </c>
      <c r="AI622" s="101">
        <f t="shared" si="146"/>
        <v>1000000</v>
      </c>
      <c r="AJ622" s="155">
        <v>3</v>
      </c>
      <c r="AK622" s="121">
        <f t="shared" si="147"/>
        <v>11</v>
      </c>
      <c r="AL622" s="158">
        <f t="shared" si="148"/>
        <v>407.86071888268134</v>
      </c>
    </row>
    <row r="623" spans="31:38" ht="15.75" hidden="1" thickBot="1">
      <c r="AE623" s="789"/>
      <c r="AF623" s="777"/>
      <c r="AH623" s="101">
        <f t="shared" si="149"/>
        <v>1000000</v>
      </c>
      <c r="AI623" s="101">
        <f t="shared" si="146"/>
        <v>1000000</v>
      </c>
      <c r="AJ623" s="155">
        <v>3</v>
      </c>
      <c r="AK623" s="121">
        <f t="shared" si="147"/>
        <v>12</v>
      </c>
      <c r="AL623" s="158">
        <f t="shared" si="148"/>
        <v>406.93670603731664</v>
      </c>
    </row>
    <row r="624" spans="31:38" ht="15.75" hidden="1" thickBot="1">
      <c r="AE624" s="789"/>
      <c r="AF624" s="777"/>
      <c r="AH624" s="101">
        <f t="shared" si="149"/>
        <v>1000000</v>
      </c>
      <c r="AI624" s="101">
        <f t="shared" si="146"/>
        <v>1000000</v>
      </c>
      <c r="AJ624" s="155">
        <v>3</v>
      </c>
      <c r="AK624" s="121">
        <f t="shared" si="147"/>
        <v>13</v>
      </c>
      <c r="AL624" s="158">
        <f t="shared" si="148"/>
        <v>406.01269319195194</v>
      </c>
    </row>
    <row r="625" spans="31:38" ht="15.75" hidden="1" thickBot="1">
      <c r="AE625" s="789"/>
      <c r="AF625" s="777"/>
      <c r="AH625" s="101">
        <f t="shared" si="149"/>
        <v>1000000</v>
      </c>
      <c r="AI625" s="101">
        <f t="shared" si="146"/>
        <v>1000000</v>
      </c>
      <c r="AJ625" s="155">
        <v>3</v>
      </c>
      <c r="AK625" s="121">
        <f t="shared" si="147"/>
        <v>14</v>
      </c>
      <c r="AL625" s="158">
        <f t="shared" si="148"/>
        <v>405.08868034658718</v>
      </c>
    </row>
    <row r="626" spans="31:38" ht="15.75" hidden="1" thickBot="1">
      <c r="AE626" s="789"/>
      <c r="AF626" s="777"/>
      <c r="AH626" s="101">
        <f t="shared" si="149"/>
        <v>1000000</v>
      </c>
      <c r="AI626" s="101">
        <f t="shared" si="146"/>
        <v>1000000</v>
      </c>
      <c r="AJ626" s="155">
        <v>3</v>
      </c>
      <c r="AK626" s="121">
        <f t="shared" si="147"/>
        <v>15</v>
      </c>
      <c r="AL626" s="158">
        <f t="shared" si="148"/>
        <v>404.16466750122248</v>
      </c>
    </row>
    <row r="627" spans="31:38" ht="15.75" hidden="1" thickBot="1">
      <c r="AE627" s="789"/>
      <c r="AF627" s="777"/>
      <c r="AH627" s="101">
        <f t="shared" si="149"/>
        <v>1000000</v>
      </c>
      <c r="AI627" s="101">
        <f t="shared" si="146"/>
        <v>1000000</v>
      </c>
      <c r="AJ627" s="155">
        <v>3</v>
      </c>
      <c r="AK627" s="121">
        <f t="shared" si="147"/>
        <v>16</v>
      </c>
      <c r="AL627" s="158">
        <f t="shared" si="148"/>
        <v>403.24065465585772</v>
      </c>
    </row>
    <row r="628" spans="31:38" ht="15.75" hidden="1" thickBot="1">
      <c r="AE628" s="789"/>
      <c r="AF628" s="777"/>
      <c r="AH628" s="101">
        <f t="shared" si="149"/>
        <v>1000000</v>
      </c>
      <c r="AI628" s="101">
        <f t="shared" si="146"/>
        <v>1000000</v>
      </c>
      <c r="AJ628" s="155">
        <v>3</v>
      </c>
      <c r="AK628" s="121">
        <f t="shared" si="147"/>
        <v>17</v>
      </c>
      <c r="AL628" s="158">
        <f t="shared" si="148"/>
        <v>402.31664181049302</v>
      </c>
    </row>
    <row r="629" spans="31:38" ht="15.75" hidden="1" thickBot="1">
      <c r="AE629" s="789"/>
      <c r="AF629" s="777"/>
      <c r="AH629" s="101">
        <f t="shared" si="149"/>
        <v>1000000</v>
      </c>
      <c r="AI629" s="101">
        <f t="shared" si="146"/>
        <v>1000000</v>
      </c>
      <c r="AJ629" s="155">
        <v>3</v>
      </c>
      <c r="AK629" s="121">
        <f t="shared" si="147"/>
        <v>18</v>
      </c>
      <c r="AL629" s="158">
        <f t="shared" si="148"/>
        <v>401.39262896512827</v>
      </c>
    </row>
    <row r="630" spans="31:38" ht="15.75" hidden="1" thickBot="1">
      <c r="AE630" s="789"/>
      <c r="AF630" s="777"/>
      <c r="AH630" s="101">
        <f t="shared" si="149"/>
        <v>1000000</v>
      </c>
      <c r="AI630" s="101">
        <f t="shared" si="146"/>
        <v>1000000</v>
      </c>
      <c r="AJ630" s="155">
        <v>3</v>
      </c>
      <c r="AK630" s="121">
        <f t="shared" si="147"/>
        <v>19</v>
      </c>
      <c r="AL630" s="158">
        <f t="shared" si="148"/>
        <v>400.46861611976357</v>
      </c>
    </row>
    <row r="631" spans="31:38" ht="15.75" hidden="1" thickBot="1">
      <c r="AE631" s="789"/>
      <c r="AF631" s="777"/>
      <c r="AH631" s="101">
        <f t="shared" si="149"/>
        <v>1000000</v>
      </c>
      <c r="AI631" s="101">
        <f t="shared" si="146"/>
        <v>1000000</v>
      </c>
      <c r="AJ631" s="155">
        <v>3</v>
      </c>
      <c r="AK631" s="121">
        <f t="shared" si="147"/>
        <v>20</v>
      </c>
      <c r="AL631" s="158">
        <f t="shared" si="148"/>
        <v>399.54460327439881</v>
      </c>
    </row>
    <row r="632" spans="31:38" ht="15.75" hidden="1" thickBot="1">
      <c r="AE632" s="789"/>
      <c r="AF632" s="777"/>
      <c r="AH632" s="101">
        <f t="shared" si="149"/>
        <v>1000000</v>
      </c>
      <c r="AI632" s="101">
        <f t="shared" si="146"/>
        <v>1000000</v>
      </c>
      <c r="AJ632" s="155">
        <v>3</v>
      </c>
      <c r="AK632" s="121">
        <f t="shared" si="147"/>
        <v>21</v>
      </c>
      <c r="AL632" s="158">
        <f t="shared" si="148"/>
        <v>398.62059042903411</v>
      </c>
    </row>
    <row r="633" spans="31:38" ht="15.75" hidden="1" thickBot="1">
      <c r="AE633" s="789"/>
      <c r="AF633" s="777"/>
      <c r="AH633" s="101">
        <f t="shared" si="149"/>
        <v>1000000</v>
      </c>
      <c r="AI633" s="101">
        <f t="shared" si="146"/>
        <v>1000000</v>
      </c>
      <c r="AJ633" s="155">
        <v>3</v>
      </c>
      <c r="AK633" s="121">
        <f t="shared" si="147"/>
        <v>22</v>
      </c>
      <c r="AL633" s="158">
        <f t="shared" si="148"/>
        <v>397.69657758366935</v>
      </c>
    </row>
    <row r="634" spans="31:38" ht="15.75" hidden="1" thickBot="1">
      <c r="AE634" s="789"/>
      <c r="AF634" s="777"/>
      <c r="AH634" s="101">
        <f t="shared" si="149"/>
        <v>1000000</v>
      </c>
      <c r="AI634" s="101">
        <f t="shared" si="146"/>
        <v>1000000</v>
      </c>
      <c r="AJ634" s="155">
        <v>3</v>
      </c>
      <c r="AK634" s="121">
        <f t="shared" si="147"/>
        <v>23</v>
      </c>
      <c r="AL634" s="158">
        <f t="shared" si="148"/>
        <v>396.77256473830465</v>
      </c>
    </row>
    <row r="635" spans="31:38" ht="15.75" hidden="1" thickBot="1">
      <c r="AE635" s="789"/>
      <c r="AF635" s="777"/>
      <c r="AH635" s="101">
        <f t="shared" si="149"/>
        <v>1000000</v>
      </c>
      <c r="AI635" s="101">
        <f t="shared" si="146"/>
        <v>1000000</v>
      </c>
      <c r="AJ635" s="155">
        <v>3</v>
      </c>
      <c r="AK635" s="121">
        <f t="shared" si="147"/>
        <v>24</v>
      </c>
      <c r="AL635" s="158">
        <f t="shared" si="148"/>
        <v>395.84855189293989</v>
      </c>
    </row>
    <row r="636" spans="31:38" ht="15.75" hidden="1" thickBot="1">
      <c r="AE636" s="789"/>
      <c r="AF636" s="777"/>
      <c r="AH636" s="101">
        <f t="shared" si="149"/>
        <v>1000000</v>
      </c>
      <c r="AI636" s="101">
        <f t="shared" si="146"/>
        <v>1000000</v>
      </c>
      <c r="AJ636" s="155">
        <v>3</v>
      </c>
      <c r="AK636" s="121">
        <f t="shared" si="147"/>
        <v>25</v>
      </c>
      <c r="AL636" s="158">
        <f t="shared" si="148"/>
        <v>394.92453904757519</v>
      </c>
    </row>
    <row r="637" spans="31:38" ht="15.75" hidden="1" thickBot="1">
      <c r="AE637" s="789"/>
      <c r="AF637" s="777"/>
      <c r="AH637" s="101">
        <f t="shared" si="149"/>
        <v>1000000</v>
      </c>
      <c r="AI637" s="101">
        <f t="shared" si="146"/>
        <v>1000000</v>
      </c>
      <c r="AJ637" s="155">
        <v>3</v>
      </c>
      <c r="AK637" s="121">
        <f t="shared" si="147"/>
        <v>26</v>
      </c>
      <c r="AL637" s="158">
        <f t="shared" si="148"/>
        <v>394.00052620221044</v>
      </c>
    </row>
    <row r="638" spans="31:38" ht="15.75" hidden="1" thickBot="1">
      <c r="AE638" s="789"/>
      <c r="AF638" s="777"/>
      <c r="AH638" s="101">
        <f t="shared" si="149"/>
        <v>1000000</v>
      </c>
      <c r="AI638" s="101">
        <f t="shared" si="146"/>
        <v>1000000</v>
      </c>
      <c r="AJ638" s="155">
        <v>3</v>
      </c>
      <c r="AK638" s="121">
        <f t="shared" si="147"/>
        <v>27</v>
      </c>
      <c r="AL638" s="158">
        <f t="shared" si="148"/>
        <v>393.07651335684574</v>
      </c>
    </row>
    <row r="639" spans="31:38" ht="15.75" hidden="1" thickBot="1">
      <c r="AE639" s="789"/>
      <c r="AF639" s="777"/>
      <c r="AH639" s="101">
        <f t="shared" si="149"/>
        <v>1000000</v>
      </c>
      <c r="AI639" s="101">
        <f t="shared" si="146"/>
        <v>1000000</v>
      </c>
      <c r="AJ639" s="155">
        <v>3</v>
      </c>
      <c r="AK639" s="121">
        <f t="shared" si="147"/>
        <v>28</v>
      </c>
      <c r="AL639" s="158">
        <f t="shared" si="148"/>
        <v>392.15250051148098</v>
      </c>
    </row>
    <row r="640" spans="31:38" ht="15.75" hidden="1" thickBot="1">
      <c r="AE640" s="789"/>
      <c r="AF640" s="777"/>
      <c r="AH640" s="101">
        <f t="shared" si="149"/>
        <v>1000000</v>
      </c>
      <c r="AI640" s="101">
        <f t="shared" si="146"/>
        <v>1000000</v>
      </c>
      <c r="AJ640" s="155">
        <v>3</v>
      </c>
      <c r="AK640" s="121">
        <f t="shared" si="147"/>
        <v>29</v>
      </c>
      <c r="AL640" s="158">
        <f t="shared" si="148"/>
        <v>391.22848766611628</v>
      </c>
    </row>
    <row r="641" spans="31:38" ht="15.75" hidden="1" thickBot="1">
      <c r="AE641" s="789"/>
      <c r="AF641" s="777"/>
      <c r="AH641" s="101">
        <f t="shared" si="149"/>
        <v>1000000</v>
      </c>
      <c r="AI641" s="101">
        <f t="shared" si="146"/>
        <v>1000000</v>
      </c>
      <c r="AJ641" s="155">
        <v>3</v>
      </c>
      <c r="AK641" s="121">
        <f t="shared" si="147"/>
        <v>30</v>
      </c>
      <c r="AL641" s="158">
        <f t="shared" si="148"/>
        <v>390.30447482075158</v>
      </c>
    </row>
    <row r="642" spans="31:38" ht="15.75" hidden="1" thickBot="1">
      <c r="AE642" s="789"/>
      <c r="AF642" s="777"/>
      <c r="AH642" s="101">
        <f t="shared" si="149"/>
        <v>1000000</v>
      </c>
      <c r="AI642" s="101">
        <f t="shared" si="146"/>
        <v>1000000</v>
      </c>
      <c r="AJ642" s="155">
        <v>3</v>
      </c>
      <c r="AK642" s="121">
        <f t="shared" si="147"/>
        <v>31</v>
      </c>
      <c r="AL642" s="158">
        <f t="shared" si="148"/>
        <v>389.38046197538682</v>
      </c>
    </row>
    <row r="643" spans="31:38" ht="15.75" hidden="1" thickBot="1">
      <c r="AE643" s="789"/>
      <c r="AF643" s="777"/>
      <c r="AH643" s="101">
        <f t="shared" ref="AH643:AH674" si="150">BE34</f>
        <v>1000000</v>
      </c>
      <c r="AI643" s="101">
        <f t="shared" si="146"/>
        <v>1000000</v>
      </c>
      <c r="AJ643" s="155">
        <v>3</v>
      </c>
      <c r="AK643" s="121">
        <f t="shared" si="147"/>
        <v>32</v>
      </c>
      <c r="AL643" s="158">
        <f t="shared" ref="AL643:AL674" si="151">AB34</f>
        <v>388.45644913002212</v>
      </c>
    </row>
    <row r="644" spans="31:38" ht="15.75" hidden="1" thickBot="1">
      <c r="AE644" s="789"/>
      <c r="AF644" s="777"/>
      <c r="AH644" s="101">
        <f t="shared" si="150"/>
        <v>1000000</v>
      </c>
      <c r="AI644" s="101">
        <f t="shared" si="146"/>
        <v>1000000</v>
      </c>
      <c r="AJ644" s="155">
        <v>3</v>
      </c>
      <c r="AK644" s="121">
        <f t="shared" si="147"/>
        <v>33</v>
      </c>
      <c r="AL644" s="158">
        <f t="shared" si="151"/>
        <v>387.53243628465736</v>
      </c>
    </row>
    <row r="645" spans="31:38" ht="15.75" hidden="1" thickBot="1">
      <c r="AE645" s="789"/>
      <c r="AF645" s="777"/>
      <c r="AH645" s="101">
        <f t="shared" si="150"/>
        <v>1000000</v>
      </c>
      <c r="AI645" s="101">
        <f t="shared" si="146"/>
        <v>1000000</v>
      </c>
      <c r="AJ645" s="155">
        <v>3</v>
      </c>
      <c r="AK645" s="121">
        <f t="shared" si="147"/>
        <v>34</v>
      </c>
      <c r="AL645" s="158">
        <f t="shared" si="151"/>
        <v>386.60842343929266</v>
      </c>
    </row>
    <row r="646" spans="31:38" ht="15.75" hidden="1" thickBot="1">
      <c r="AE646" s="789"/>
      <c r="AF646" s="777"/>
      <c r="AH646" s="101">
        <f t="shared" si="150"/>
        <v>1000000</v>
      </c>
      <c r="AI646" s="101">
        <f t="shared" si="146"/>
        <v>1000000</v>
      </c>
      <c r="AJ646" s="155">
        <v>3</v>
      </c>
      <c r="AK646" s="121">
        <f t="shared" si="147"/>
        <v>35</v>
      </c>
      <c r="AL646" s="158">
        <f t="shared" si="151"/>
        <v>385.68441059392791</v>
      </c>
    </row>
    <row r="647" spans="31:38" ht="15.75" hidden="1" thickBot="1">
      <c r="AE647" s="789"/>
      <c r="AF647" s="777"/>
      <c r="AH647" s="101">
        <f t="shared" si="150"/>
        <v>1000000</v>
      </c>
      <c r="AI647" s="101">
        <f t="shared" si="146"/>
        <v>1000000</v>
      </c>
      <c r="AJ647" s="155">
        <v>3</v>
      </c>
      <c r="AK647" s="121">
        <f t="shared" si="147"/>
        <v>36</v>
      </c>
      <c r="AL647" s="158">
        <f t="shared" si="151"/>
        <v>384.76039774856315</v>
      </c>
    </row>
    <row r="648" spans="31:38" ht="15.75" hidden="1" thickBot="1">
      <c r="AE648" s="789"/>
      <c r="AF648" s="777"/>
      <c r="AH648" s="101">
        <f t="shared" si="150"/>
        <v>1000000</v>
      </c>
      <c r="AI648" s="101">
        <f t="shared" si="146"/>
        <v>1000000</v>
      </c>
      <c r="AJ648" s="155">
        <v>3</v>
      </c>
      <c r="AK648" s="121">
        <f t="shared" si="147"/>
        <v>37</v>
      </c>
      <c r="AL648" s="158">
        <f t="shared" si="151"/>
        <v>383.83638490319845</v>
      </c>
    </row>
    <row r="649" spans="31:38" ht="15.75" hidden="1" thickBot="1">
      <c r="AE649" s="789"/>
      <c r="AF649" s="777"/>
      <c r="AH649" s="101">
        <f t="shared" si="150"/>
        <v>1000000</v>
      </c>
      <c r="AI649" s="101">
        <f t="shared" si="146"/>
        <v>1000000</v>
      </c>
      <c r="AJ649" s="155">
        <v>3</v>
      </c>
      <c r="AK649" s="121">
        <f t="shared" si="147"/>
        <v>38</v>
      </c>
      <c r="AL649" s="158">
        <f t="shared" si="151"/>
        <v>382.91237205783375</v>
      </c>
    </row>
    <row r="650" spans="31:38" ht="15.75" hidden="1" thickBot="1">
      <c r="AE650" s="789"/>
      <c r="AF650" s="777"/>
      <c r="AH650" s="101">
        <f t="shared" si="150"/>
        <v>1000000</v>
      </c>
      <c r="AI650" s="101">
        <f t="shared" si="146"/>
        <v>1000000</v>
      </c>
      <c r="AJ650" s="155">
        <v>3</v>
      </c>
      <c r="AK650" s="121">
        <f t="shared" si="147"/>
        <v>39</v>
      </c>
      <c r="AL650" s="158">
        <f t="shared" si="151"/>
        <v>381.98835921246899</v>
      </c>
    </row>
    <row r="651" spans="31:38" ht="15.75" hidden="1" thickBot="1">
      <c r="AE651" s="789"/>
      <c r="AF651" s="777"/>
      <c r="AH651" s="101">
        <f t="shared" si="150"/>
        <v>1000000</v>
      </c>
      <c r="AI651" s="101">
        <f t="shared" si="146"/>
        <v>1000000</v>
      </c>
      <c r="AJ651" s="155">
        <v>3</v>
      </c>
      <c r="AK651" s="121">
        <f t="shared" si="147"/>
        <v>40</v>
      </c>
      <c r="AL651" s="158">
        <f t="shared" si="151"/>
        <v>381.06434636710429</v>
      </c>
    </row>
    <row r="652" spans="31:38" ht="15.75" hidden="1" thickBot="1">
      <c r="AE652" s="789"/>
      <c r="AF652" s="777"/>
      <c r="AH652" s="101">
        <f t="shared" si="150"/>
        <v>1000000</v>
      </c>
      <c r="AI652" s="101">
        <f t="shared" si="146"/>
        <v>1000000</v>
      </c>
      <c r="AJ652" s="155">
        <v>3</v>
      </c>
      <c r="AK652" s="121">
        <f t="shared" si="147"/>
        <v>41</v>
      </c>
      <c r="AL652" s="158">
        <f t="shared" si="151"/>
        <v>380.14033352173954</v>
      </c>
    </row>
    <row r="653" spans="31:38" ht="15.75" hidden="1" thickBot="1">
      <c r="AE653" s="789"/>
      <c r="AF653" s="777"/>
      <c r="AH653" s="101">
        <f t="shared" si="150"/>
        <v>1000000</v>
      </c>
      <c r="AI653" s="101">
        <f t="shared" si="146"/>
        <v>1000000</v>
      </c>
      <c r="AJ653" s="155">
        <v>3</v>
      </c>
      <c r="AK653" s="121">
        <f t="shared" si="147"/>
        <v>42</v>
      </c>
      <c r="AL653" s="158">
        <f t="shared" si="151"/>
        <v>379.21632067637483</v>
      </c>
    </row>
    <row r="654" spans="31:38" ht="15.75" hidden="1" thickBot="1">
      <c r="AE654" s="789"/>
      <c r="AF654" s="777"/>
      <c r="AH654" s="101">
        <f t="shared" si="150"/>
        <v>1000000</v>
      </c>
      <c r="AI654" s="101">
        <f t="shared" si="146"/>
        <v>1000000</v>
      </c>
      <c r="AJ654" s="155">
        <v>3</v>
      </c>
      <c r="AK654" s="121">
        <f t="shared" si="147"/>
        <v>43</v>
      </c>
      <c r="AL654" s="158">
        <f t="shared" si="151"/>
        <v>378.29230783101008</v>
      </c>
    </row>
    <row r="655" spans="31:38" ht="15.75" hidden="1" thickBot="1">
      <c r="AE655" s="789"/>
      <c r="AF655" s="777"/>
      <c r="AH655" s="101">
        <f t="shared" si="150"/>
        <v>1000000</v>
      </c>
      <c r="AI655" s="101">
        <f t="shared" si="146"/>
        <v>1000000</v>
      </c>
      <c r="AJ655" s="155">
        <v>3</v>
      </c>
      <c r="AK655" s="121">
        <f t="shared" si="147"/>
        <v>44</v>
      </c>
      <c r="AL655" s="158">
        <f t="shared" si="151"/>
        <v>377.36829498564538</v>
      </c>
    </row>
    <row r="656" spans="31:38" ht="15.75" hidden="1" thickBot="1">
      <c r="AE656" s="789"/>
      <c r="AF656" s="777"/>
      <c r="AH656" s="101">
        <f t="shared" si="150"/>
        <v>1000000</v>
      </c>
      <c r="AI656" s="101">
        <f t="shared" si="146"/>
        <v>1000000</v>
      </c>
      <c r="AJ656" s="155">
        <v>3</v>
      </c>
      <c r="AK656" s="121">
        <f t="shared" si="147"/>
        <v>45</v>
      </c>
      <c r="AL656" s="158">
        <f t="shared" si="151"/>
        <v>376.44428214028062</v>
      </c>
    </row>
    <row r="657" spans="31:38" ht="15.75" hidden="1" thickBot="1">
      <c r="AE657" s="789"/>
      <c r="AF657" s="777"/>
      <c r="AH657" s="101">
        <f t="shared" si="150"/>
        <v>1000000</v>
      </c>
      <c r="AI657" s="101">
        <f t="shared" si="146"/>
        <v>1000000</v>
      </c>
      <c r="AJ657" s="155">
        <v>3</v>
      </c>
      <c r="AK657" s="121">
        <f t="shared" si="147"/>
        <v>46</v>
      </c>
      <c r="AL657" s="158">
        <f t="shared" si="151"/>
        <v>375.52026929491592</v>
      </c>
    </row>
    <row r="658" spans="31:38" ht="15.75" hidden="1" thickBot="1">
      <c r="AE658" s="789"/>
      <c r="AF658" s="777"/>
      <c r="AH658" s="101">
        <f t="shared" si="150"/>
        <v>1000000</v>
      </c>
      <c r="AI658" s="101">
        <f t="shared" si="146"/>
        <v>1000000</v>
      </c>
      <c r="AJ658" s="155">
        <v>3</v>
      </c>
      <c r="AK658" s="121">
        <f t="shared" si="147"/>
        <v>47</v>
      </c>
      <c r="AL658" s="158">
        <f t="shared" si="151"/>
        <v>374.59625644955116</v>
      </c>
    </row>
    <row r="659" spans="31:38" ht="15.75" hidden="1" thickBot="1">
      <c r="AE659" s="789"/>
      <c r="AF659" s="777"/>
      <c r="AH659" s="101">
        <f t="shared" si="150"/>
        <v>1000000</v>
      </c>
      <c r="AI659" s="101">
        <f t="shared" si="146"/>
        <v>1000000</v>
      </c>
      <c r="AJ659" s="155">
        <v>3</v>
      </c>
      <c r="AK659" s="121">
        <f t="shared" si="147"/>
        <v>48</v>
      </c>
      <c r="AL659" s="158">
        <f t="shared" si="151"/>
        <v>373.67224360418646</v>
      </c>
    </row>
    <row r="660" spans="31:38" ht="15.75" hidden="1" thickBot="1">
      <c r="AE660" s="789"/>
      <c r="AF660" s="777"/>
      <c r="AH660" s="101">
        <f t="shared" si="150"/>
        <v>1000000</v>
      </c>
      <c r="AI660" s="101">
        <f t="shared" si="146"/>
        <v>1000000</v>
      </c>
      <c r="AJ660" s="155">
        <v>3</v>
      </c>
      <c r="AK660" s="121">
        <f t="shared" si="147"/>
        <v>49</v>
      </c>
      <c r="AL660" s="158">
        <f t="shared" si="151"/>
        <v>372.74823075882171</v>
      </c>
    </row>
    <row r="661" spans="31:38" ht="15.75" hidden="1" thickBot="1">
      <c r="AE661" s="789"/>
      <c r="AF661" s="777"/>
      <c r="AH661" s="101">
        <f t="shared" si="150"/>
        <v>1000000</v>
      </c>
      <c r="AI661" s="101">
        <f t="shared" si="146"/>
        <v>1000000</v>
      </c>
      <c r="AJ661" s="155">
        <v>3</v>
      </c>
      <c r="AK661" s="121">
        <f t="shared" si="147"/>
        <v>50</v>
      </c>
      <c r="AL661" s="158">
        <f t="shared" si="151"/>
        <v>371.82421791345701</v>
      </c>
    </row>
    <row r="662" spans="31:38" ht="15.75" hidden="1" thickBot="1">
      <c r="AE662" s="789"/>
      <c r="AF662" s="777"/>
      <c r="AH662" s="101">
        <f t="shared" si="150"/>
        <v>1000000</v>
      </c>
      <c r="AI662" s="101">
        <f t="shared" si="146"/>
        <v>1000000</v>
      </c>
      <c r="AJ662" s="155">
        <v>3</v>
      </c>
      <c r="AK662" s="121">
        <f t="shared" si="147"/>
        <v>51</v>
      </c>
      <c r="AL662" s="158">
        <f t="shared" si="151"/>
        <v>370.9002050680923</v>
      </c>
    </row>
    <row r="663" spans="31:38" ht="15.75" hidden="1" thickBot="1">
      <c r="AE663" s="789"/>
      <c r="AF663" s="777"/>
      <c r="AH663" s="101">
        <f t="shared" si="150"/>
        <v>1000000</v>
      </c>
      <c r="AI663" s="101">
        <f t="shared" si="146"/>
        <v>1000000</v>
      </c>
      <c r="AJ663" s="155">
        <v>3</v>
      </c>
      <c r="AK663" s="121">
        <f t="shared" si="147"/>
        <v>52</v>
      </c>
      <c r="AL663" s="158">
        <f t="shared" si="151"/>
        <v>369.97619222272755</v>
      </c>
    </row>
    <row r="664" spans="31:38" ht="15.75" hidden="1" thickBot="1">
      <c r="AE664" s="789"/>
      <c r="AF664" s="777"/>
      <c r="AH664" s="101">
        <f t="shared" si="150"/>
        <v>1000000</v>
      </c>
      <c r="AI664" s="101">
        <f t="shared" si="146"/>
        <v>1000000</v>
      </c>
      <c r="AJ664" s="155">
        <v>3</v>
      </c>
      <c r="AK664" s="121">
        <f t="shared" si="147"/>
        <v>53</v>
      </c>
      <c r="AL664" s="158">
        <f t="shared" si="151"/>
        <v>369.05217937736279</v>
      </c>
    </row>
    <row r="665" spans="31:38" ht="15.75" hidden="1" thickBot="1">
      <c r="AE665" s="789"/>
      <c r="AF665" s="777"/>
      <c r="AH665" s="101">
        <f t="shared" si="150"/>
        <v>1000000</v>
      </c>
      <c r="AI665" s="101">
        <f t="shared" ref="AI665:AI728" si="152">IF(AL665&lt;$D$79,0,AH665)</f>
        <v>1000000</v>
      </c>
      <c r="AJ665" s="155">
        <v>3</v>
      </c>
      <c r="AK665" s="121">
        <f t="shared" si="147"/>
        <v>54</v>
      </c>
      <c r="AL665" s="158">
        <f t="shared" si="151"/>
        <v>368.12816653199809</v>
      </c>
    </row>
    <row r="666" spans="31:38" ht="15.75" hidden="1" thickBot="1">
      <c r="AE666" s="789"/>
      <c r="AF666" s="777"/>
      <c r="AH666" s="101">
        <f t="shared" si="150"/>
        <v>1000000</v>
      </c>
      <c r="AI666" s="101">
        <f t="shared" si="152"/>
        <v>1000000</v>
      </c>
      <c r="AJ666" s="155">
        <v>3</v>
      </c>
      <c r="AK666" s="121">
        <f t="shared" si="147"/>
        <v>55</v>
      </c>
      <c r="AL666" s="158">
        <f t="shared" si="151"/>
        <v>367.20415368663339</v>
      </c>
    </row>
    <row r="667" spans="31:38" ht="15.75" hidden="1" thickBot="1">
      <c r="AE667" s="789"/>
      <c r="AF667" s="777"/>
      <c r="AH667" s="101">
        <f t="shared" si="150"/>
        <v>1000000</v>
      </c>
      <c r="AI667" s="101">
        <f t="shared" si="152"/>
        <v>1000000</v>
      </c>
      <c r="AJ667" s="155">
        <v>3</v>
      </c>
      <c r="AK667" s="121">
        <f t="shared" ref="AK667:AK730" si="153">AK666+1</f>
        <v>56</v>
      </c>
      <c r="AL667" s="158">
        <f t="shared" si="151"/>
        <v>366.28014084126863</v>
      </c>
    </row>
    <row r="668" spans="31:38" ht="15.75" hidden="1" thickBot="1">
      <c r="AE668" s="789"/>
      <c r="AF668" s="777"/>
      <c r="AH668" s="101">
        <f t="shared" si="150"/>
        <v>1000000</v>
      </c>
      <c r="AI668" s="101">
        <f t="shared" si="152"/>
        <v>1000000</v>
      </c>
      <c r="AJ668" s="155">
        <v>3</v>
      </c>
      <c r="AK668" s="121">
        <f t="shared" si="153"/>
        <v>57</v>
      </c>
      <c r="AL668" s="158">
        <f t="shared" si="151"/>
        <v>365.35612799590388</v>
      </c>
    </row>
    <row r="669" spans="31:38" ht="15.75" hidden="1" thickBot="1">
      <c r="AE669" s="789"/>
      <c r="AF669" s="777"/>
      <c r="AH669" s="101">
        <f t="shared" si="150"/>
        <v>1000000</v>
      </c>
      <c r="AI669" s="101">
        <f t="shared" si="152"/>
        <v>1000000</v>
      </c>
      <c r="AJ669" s="155">
        <v>3</v>
      </c>
      <c r="AK669" s="121">
        <f t="shared" si="153"/>
        <v>58</v>
      </c>
      <c r="AL669" s="158">
        <f t="shared" si="151"/>
        <v>364.43211515053918</v>
      </c>
    </row>
    <row r="670" spans="31:38" ht="15.75" hidden="1" thickBot="1">
      <c r="AE670" s="789"/>
      <c r="AF670" s="777"/>
      <c r="AH670" s="101">
        <f t="shared" si="150"/>
        <v>1000000</v>
      </c>
      <c r="AI670" s="101">
        <f t="shared" si="152"/>
        <v>1000000</v>
      </c>
      <c r="AJ670" s="155">
        <v>3</v>
      </c>
      <c r="AK670" s="121">
        <f t="shared" si="153"/>
        <v>59</v>
      </c>
      <c r="AL670" s="158">
        <f t="shared" si="151"/>
        <v>363.50810230517448</v>
      </c>
    </row>
    <row r="671" spans="31:38" ht="15.75" hidden="1" thickBot="1">
      <c r="AE671" s="789"/>
      <c r="AF671" s="777"/>
      <c r="AH671" s="101">
        <f t="shared" si="150"/>
        <v>1000000</v>
      </c>
      <c r="AI671" s="101">
        <f t="shared" si="152"/>
        <v>1000000</v>
      </c>
      <c r="AJ671" s="155">
        <v>3</v>
      </c>
      <c r="AK671" s="121">
        <f t="shared" si="153"/>
        <v>60</v>
      </c>
      <c r="AL671" s="158">
        <f t="shared" si="151"/>
        <v>362.58408945980972</v>
      </c>
    </row>
    <row r="672" spans="31:38" ht="15.75" hidden="1" thickBot="1">
      <c r="AE672" s="789"/>
      <c r="AF672" s="777"/>
      <c r="AH672" s="101">
        <f t="shared" si="150"/>
        <v>1000000</v>
      </c>
      <c r="AI672" s="101">
        <f t="shared" si="152"/>
        <v>1000000</v>
      </c>
      <c r="AJ672" s="155">
        <v>3</v>
      </c>
      <c r="AK672" s="121">
        <f t="shared" si="153"/>
        <v>61</v>
      </c>
      <c r="AL672" s="158">
        <f t="shared" si="151"/>
        <v>361.66007661444502</v>
      </c>
    </row>
    <row r="673" spans="31:38" ht="15.75" hidden="1" thickBot="1">
      <c r="AE673" s="789"/>
      <c r="AF673" s="777"/>
      <c r="AH673" s="101">
        <f t="shared" si="150"/>
        <v>1000000</v>
      </c>
      <c r="AI673" s="101">
        <f t="shared" si="152"/>
        <v>1000000</v>
      </c>
      <c r="AJ673" s="155">
        <v>3</v>
      </c>
      <c r="AK673" s="121">
        <f t="shared" si="153"/>
        <v>62</v>
      </c>
      <c r="AL673" s="158">
        <f t="shared" si="151"/>
        <v>360.73606376908026</v>
      </c>
    </row>
    <row r="674" spans="31:38" ht="15.75" hidden="1" thickBot="1">
      <c r="AE674" s="789"/>
      <c r="AF674" s="777"/>
      <c r="AH674" s="101">
        <f t="shared" si="150"/>
        <v>1000000</v>
      </c>
      <c r="AI674" s="101">
        <f t="shared" si="152"/>
        <v>1000000</v>
      </c>
      <c r="AJ674" s="155">
        <v>3</v>
      </c>
      <c r="AK674" s="121">
        <f t="shared" si="153"/>
        <v>63</v>
      </c>
      <c r="AL674" s="158">
        <f t="shared" si="151"/>
        <v>359.81205092371556</v>
      </c>
    </row>
    <row r="675" spans="31:38" ht="15.75" hidden="1" thickBot="1">
      <c r="AE675" s="789"/>
      <c r="AF675" s="777"/>
      <c r="AH675" s="101">
        <f t="shared" ref="AH675:AH706" si="154">BE66</f>
        <v>1000000</v>
      </c>
      <c r="AI675" s="101">
        <f t="shared" si="152"/>
        <v>1000000</v>
      </c>
      <c r="AJ675" s="155">
        <v>3</v>
      </c>
      <c r="AK675" s="121">
        <f t="shared" si="153"/>
        <v>64</v>
      </c>
      <c r="AL675" s="158">
        <f t="shared" ref="AL675:AL706" si="155">AB66</f>
        <v>358.88803807835086</v>
      </c>
    </row>
    <row r="676" spans="31:38" ht="15.75" hidden="1" thickBot="1">
      <c r="AE676" s="789"/>
      <c r="AF676" s="777"/>
      <c r="AH676" s="101">
        <f t="shared" si="154"/>
        <v>1000000</v>
      </c>
      <c r="AI676" s="101">
        <f t="shared" si="152"/>
        <v>1000000</v>
      </c>
      <c r="AJ676" s="155">
        <v>3</v>
      </c>
      <c r="AK676" s="121">
        <f t="shared" si="153"/>
        <v>65</v>
      </c>
      <c r="AL676" s="158">
        <f t="shared" si="155"/>
        <v>357.96402523298605</v>
      </c>
    </row>
    <row r="677" spans="31:38" ht="15.75" hidden="1" thickBot="1">
      <c r="AE677" s="789"/>
      <c r="AF677" s="777"/>
      <c r="AH677" s="101">
        <f t="shared" si="154"/>
        <v>1000000</v>
      </c>
      <c r="AI677" s="101">
        <f t="shared" si="152"/>
        <v>1000000</v>
      </c>
      <c r="AJ677" s="155">
        <v>3</v>
      </c>
      <c r="AK677" s="121">
        <f t="shared" si="153"/>
        <v>66</v>
      </c>
      <c r="AL677" s="158">
        <f t="shared" si="155"/>
        <v>357.04001238762135</v>
      </c>
    </row>
    <row r="678" spans="31:38" ht="15.75" hidden="1" thickBot="1">
      <c r="AE678" s="789"/>
      <c r="AF678" s="777"/>
      <c r="AH678" s="101">
        <f t="shared" si="154"/>
        <v>1000000</v>
      </c>
      <c r="AI678" s="101">
        <f t="shared" si="152"/>
        <v>1000000</v>
      </c>
      <c r="AJ678" s="155">
        <v>3</v>
      </c>
      <c r="AK678" s="121">
        <f t="shared" si="153"/>
        <v>67</v>
      </c>
      <c r="AL678" s="158">
        <f t="shared" si="155"/>
        <v>356.11599954225665</v>
      </c>
    </row>
    <row r="679" spans="31:38" ht="15.75" hidden="1" thickBot="1">
      <c r="AE679" s="789"/>
      <c r="AF679" s="777"/>
      <c r="AH679" s="101">
        <f t="shared" si="154"/>
        <v>1000000</v>
      </c>
      <c r="AI679" s="101">
        <f t="shared" si="152"/>
        <v>1000000</v>
      </c>
      <c r="AJ679" s="155">
        <v>3</v>
      </c>
      <c r="AK679" s="121">
        <f t="shared" si="153"/>
        <v>68</v>
      </c>
      <c r="AL679" s="158">
        <f t="shared" si="155"/>
        <v>355.19198669689195</v>
      </c>
    </row>
    <row r="680" spans="31:38" ht="15.75" hidden="1" thickBot="1">
      <c r="AE680" s="789"/>
      <c r="AF680" s="777"/>
      <c r="AH680" s="101">
        <f t="shared" si="154"/>
        <v>1000000</v>
      </c>
      <c r="AI680" s="101">
        <f t="shared" si="152"/>
        <v>0</v>
      </c>
      <c r="AJ680" s="155">
        <v>3</v>
      </c>
      <c r="AK680" s="121">
        <f t="shared" si="153"/>
        <v>69</v>
      </c>
      <c r="AL680" s="158">
        <f t="shared" si="155"/>
        <v>354.26797385152719</v>
      </c>
    </row>
    <row r="681" spans="31:38" ht="15.75" hidden="1" thickBot="1">
      <c r="AE681" s="789"/>
      <c r="AF681" s="777"/>
      <c r="AH681" s="101">
        <f t="shared" si="154"/>
        <v>1000000</v>
      </c>
      <c r="AI681" s="101">
        <f t="shared" si="152"/>
        <v>0</v>
      </c>
      <c r="AJ681" s="155">
        <v>3</v>
      </c>
      <c r="AK681" s="121">
        <f t="shared" si="153"/>
        <v>70</v>
      </c>
      <c r="AL681" s="158">
        <f t="shared" si="155"/>
        <v>353.34396100616243</v>
      </c>
    </row>
    <row r="682" spans="31:38" ht="15.75" hidden="1" thickBot="1">
      <c r="AE682" s="789"/>
      <c r="AF682" s="777"/>
      <c r="AH682" s="101">
        <f t="shared" si="154"/>
        <v>1000000</v>
      </c>
      <c r="AI682" s="101">
        <f t="shared" si="152"/>
        <v>0</v>
      </c>
      <c r="AJ682" s="155">
        <v>3</v>
      </c>
      <c r="AK682" s="121">
        <f t="shared" si="153"/>
        <v>71</v>
      </c>
      <c r="AL682" s="158">
        <f t="shared" si="155"/>
        <v>352.41994816079773</v>
      </c>
    </row>
    <row r="683" spans="31:38" ht="15.75" hidden="1" thickBot="1">
      <c r="AE683" s="789"/>
      <c r="AF683" s="777"/>
      <c r="AH683" s="101">
        <f t="shared" si="154"/>
        <v>1000000</v>
      </c>
      <c r="AI683" s="101">
        <f t="shared" si="152"/>
        <v>0</v>
      </c>
      <c r="AJ683" s="155">
        <v>3</v>
      </c>
      <c r="AK683" s="121">
        <f t="shared" si="153"/>
        <v>72</v>
      </c>
      <c r="AL683" s="158">
        <f t="shared" si="155"/>
        <v>351.49593531543303</v>
      </c>
    </row>
    <row r="684" spans="31:38" ht="15.75" hidden="1" thickBot="1">
      <c r="AE684" s="789"/>
      <c r="AF684" s="777"/>
      <c r="AH684" s="101">
        <f t="shared" si="154"/>
        <v>1000000</v>
      </c>
      <c r="AI684" s="101">
        <f t="shared" si="152"/>
        <v>0</v>
      </c>
      <c r="AJ684" s="155">
        <v>3</v>
      </c>
      <c r="AK684" s="121">
        <f t="shared" si="153"/>
        <v>73</v>
      </c>
      <c r="AL684" s="158">
        <f t="shared" si="155"/>
        <v>350.57192247006822</v>
      </c>
    </row>
    <row r="685" spans="31:38" ht="15.75" hidden="1" thickBot="1">
      <c r="AE685" s="789"/>
      <c r="AF685" s="777"/>
      <c r="AH685" s="101">
        <f t="shared" si="154"/>
        <v>1000000</v>
      </c>
      <c r="AI685" s="101">
        <f t="shared" si="152"/>
        <v>0</v>
      </c>
      <c r="AJ685" s="155">
        <v>3</v>
      </c>
      <c r="AK685" s="121">
        <f t="shared" si="153"/>
        <v>74</v>
      </c>
      <c r="AL685" s="158">
        <f t="shared" si="155"/>
        <v>349.64790962470352</v>
      </c>
    </row>
    <row r="686" spans="31:38" ht="15.75" hidden="1" thickBot="1">
      <c r="AE686" s="789"/>
      <c r="AF686" s="777"/>
      <c r="AH686" s="101">
        <f t="shared" si="154"/>
        <v>1000000</v>
      </c>
      <c r="AI686" s="101">
        <f t="shared" si="152"/>
        <v>0</v>
      </c>
      <c r="AJ686" s="155">
        <v>3</v>
      </c>
      <c r="AK686" s="121">
        <f t="shared" si="153"/>
        <v>75</v>
      </c>
      <c r="AL686" s="158">
        <f t="shared" si="155"/>
        <v>348.72389677933882</v>
      </c>
    </row>
    <row r="687" spans="31:38" ht="15.75" hidden="1" thickBot="1">
      <c r="AE687" s="789"/>
      <c r="AF687" s="777"/>
      <c r="AH687" s="101">
        <f t="shared" si="154"/>
        <v>1000000</v>
      </c>
      <c r="AI687" s="101">
        <f t="shared" si="152"/>
        <v>0</v>
      </c>
      <c r="AJ687" s="155">
        <v>3</v>
      </c>
      <c r="AK687" s="121">
        <f t="shared" si="153"/>
        <v>76</v>
      </c>
      <c r="AL687" s="158">
        <f t="shared" si="155"/>
        <v>347.79988393397412</v>
      </c>
    </row>
    <row r="688" spans="31:38" ht="15.75" hidden="1" thickBot="1">
      <c r="AE688" s="789"/>
      <c r="AF688" s="777"/>
      <c r="AH688" s="101">
        <f t="shared" si="154"/>
        <v>1000000</v>
      </c>
      <c r="AI688" s="101">
        <f t="shared" si="152"/>
        <v>0</v>
      </c>
      <c r="AJ688" s="155">
        <v>3</v>
      </c>
      <c r="AK688" s="121">
        <f t="shared" si="153"/>
        <v>77</v>
      </c>
      <c r="AL688" s="158">
        <f t="shared" si="155"/>
        <v>346.87587108860936</v>
      </c>
    </row>
    <row r="689" spans="31:38" ht="15.75" hidden="1" thickBot="1">
      <c r="AE689" s="789"/>
      <c r="AF689" s="777"/>
      <c r="AH689" s="101">
        <f t="shared" si="154"/>
        <v>1000000</v>
      </c>
      <c r="AI689" s="101">
        <f t="shared" si="152"/>
        <v>0</v>
      </c>
      <c r="AJ689" s="155">
        <v>3</v>
      </c>
      <c r="AK689" s="121">
        <f t="shared" si="153"/>
        <v>78</v>
      </c>
      <c r="AL689" s="158">
        <f t="shared" si="155"/>
        <v>345.9518582432446</v>
      </c>
    </row>
    <row r="690" spans="31:38" ht="15.75" hidden="1" thickBot="1">
      <c r="AE690" s="789"/>
      <c r="AF690" s="777"/>
      <c r="AH690" s="101">
        <f t="shared" si="154"/>
        <v>1000000</v>
      </c>
      <c r="AI690" s="101">
        <f t="shared" si="152"/>
        <v>0</v>
      </c>
      <c r="AJ690" s="155">
        <v>3</v>
      </c>
      <c r="AK690" s="121">
        <f t="shared" si="153"/>
        <v>79</v>
      </c>
      <c r="AL690" s="158">
        <f t="shared" si="155"/>
        <v>345.0278453978799</v>
      </c>
    </row>
    <row r="691" spans="31:38" ht="15.75" hidden="1" thickBot="1">
      <c r="AE691" s="789"/>
      <c r="AF691" s="777"/>
      <c r="AH691" s="101">
        <f t="shared" si="154"/>
        <v>1000000</v>
      </c>
      <c r="AI691" s="101">
        <f t="shared" si="152"/>
        <v>0</v>
      </c>
      <c r="AJ691" s="155">
        <v>3</v>
      </c>
      <c r="AK691" s="121">
        <f t="shared" si="153"/>
        <v>80</v>
      </c>
      <c r="AL691" s="158">
        <f t="shared" si="155"/>
        <v>344.1038325525152</v>
      </c>
    </row>
    <row r="692" spans="31:38" ht="15.75" hidden="1" thickBot="1">
      <c r="AE692" s="789"/>
      <c r="AF692" s="777"/>
      <c r="AH692" s="101">
        <f t="shared" si="154"/>
        <v>1000000</v>
      </c>
      <c r="AI692" s="101">
        <f t="shared" si="152"/>
        <v>0</v>
      </c>
      <c r="AJ692" s="155">
        <v>3</v>
      </c>
      <c r="AK692" s="121">
        <f t="shared" si="153"/>
        <v>81</v>
      </c>
      <c r="AL692" s="158">
        <f t="shared" si="155"/>
        <v>343.17981970715044</v>
      </c>
    </row>
    <row r="693" spans="31:38" ht="15.75" hidden="1" thickBot="1">
      <c r="AE693" s="789"/>
      <c r="AF693" s="777"/>
      <c r="AH693" s="101">
        <f t="shared" si="154"/>
        <v>1000000</v>
      </c>
      <c r="AI693" s="101">
        <f t="shared" si="152"/>
        <v>0</v>
      </c>
      <c r="AJ693" s="155">
        <v>3</v>
      </c>
      <c r="AK693" s="121">
        <f t="shared" si="153"/>
        <v>82</v>
      </c>
      <c r="AL693" s="158">
        <f t="shared" si="155"/>
        <v>342.25580686178569</v>
      </c>
    </row>
    <row r="694" spans="31:38" ht="15.75" hidden="1" thickBot="1">
      <c r="AE694" s="789"/>
      <c r="AF694" s="777"/>
      <c r="AH694" s="101">
        <f t="shared" si="154"/>
        <v>1000000</v>
      </c>
      <c r="AI694" s="101">
        <f t="shared" si="152"/>
        <v>0</v>
      </c>
      <c r="AJ694" s="155">
        <v>3</v>
      </c>
      <c r="AK694" s="121">
        <f t="shared" si="153"/>
        <v>83</v>
      </c>
      <c r="AL694" s="158">
        <f t="shared" si="155"/>
        <v>341.33179401642099</v>
      </c>
    </row>
    <row r="695" spans="31:38" ht="15.75" hidden="1" thickBot="1">
      <c r="AE695" s="789"/>
      <c r="AF695" s="777"/>
      <c r="AH695" s="101">
        <f t="shared" si="154"/>
        <v>1000000</v>
      </c>
      <c r="AI695" s="101">
        <f t="shared" si="152"/>
        <v>0</v>
      </c>
      <c r="AJ695" s="155">
        <v>3</v>
      </c>
      <c r="AK695" s="121">
        <f t="shared" si="153"/>
        <v>84</v>
      </c>
      <c r="AL695" s="158">
        <f t="shared" si="155"/>
        <v>340.40778117105629</v>
      </c>
    </row>
    <row r="696" spans="31:38" ht="15.75" hidden="1" thickBot="1">
      <c r="AE696" s="789"/>
      <c r="AF696" s="777"/>
      <c r="AH696" s="101">
        <f t="shared" si="154"/>
        <v>1000000</v>
      </c>
      <c r="AI696" s="101">
        <f t="shared" si="152"/>
        <v>0</v>
      </c>
      <c r="AJ696" s="155">
        <v>3</v>
      </c>
      <c r="AK696" s="121">
        <f t="shared" si="153"/>
        <v>85</v>
      </c>
      <c r="AL696" s="158">
        <f t="shared" si="155"/>
        <v>339.48376832569153</v>
      </c>
    </row>
    <row r="697" spans="31:38" ht="15.75" hidden="1" thickBot="1">
      <c r="AE697" s="789"/>
      <c r="AF697" s="777"/>
      <c r="AH697" s="101">
        <f t="shared" si="154"/>
        <v>1000000</v>
      </c>
      <c r="AI697" s="101">
        <f t="shared" si="152"/>
        <v>0</v>
      </c>
      <c r="AJ697" s="155">
        <v>3</v>
      </c>
      <c r="AK697" s="121">
        <f t="shared" si="153"/>
        <v>86</v>
      </c>
      <c r="AL697" s="158">
        <f t="shared" si="155"/>
        <v>338.55975548032677</v>
      </c>
    </row>
    <row r="698" spans="31:38" ht="15.75" hidden="1" thickBot="1">
      <c r="AE698" s="789"/>
      <c r="AF698" s="777"/>
      <c r="AH698" s="101">
        <f t="shared" si="154"/>
        <v>1000000</v>
      </c>
      <c r="AI698" s="101">
        <f t="shared" si="152"/>
        <v>0</v>
      </c>
      <c r="AJ698" s="155">
        <v>3</v>
      </c>
      <c r="AK698" s="121">
        <f t="shared" si="153"/>
        <v>87</v>
      </c>
      <c r="AL698" s="158">
        <f t="shared" si="155"/>
        <v>337.63574263496207</v>
      </c>
    </row>
    <row r="699" spans="31:38" ht="15.75" hidden="1" thickBot="1">
      <c r="AE699" s="789"/>
      <c r="AF699" s="777"/>
      <c r="AH699" s="101">
        <f t="shared" si="154"/>
        <v>1000000</v>
      </c>
      <c r="AI699" s="101">
        <f t="shared" si="152"/>
        <v>0</v>
      </c>
      <c r="AJ699" s="155">
        <v>3</v>
      </c>
      <c r="AK699" s="121">
        <f t="shared" si="153"/>
        <v>88</v>
      </c>
      <c r="AL699" s="158">
        <f t="shared" si="155"/>
        <v>336.71172978959737</v>
      </c>
    </row>
    <row r="700" spans="31:38" ht="15.75" hidden="1" thickBot="1">
      <c r="AE700" s="789"/>
      <c r="AF700" s="777"/>
      <c r="AH700" s="101">
        <f t="shared" si="154"/>
        <v>1000000</v>
      </c>
      <c r="AI700" s="101">
        <f t="shared" si="152"/>
        <v>0</v>
      </c>
      <c r="AJ700" s="155">
        <v>3</v>
      </c>
      <c r="AK700" s="121">
        <f t="shared" si="153"/>
        <v>89</v>
      </c>
      <c r="AL700" s="158">
        <f t="shared" si="155"/>
        <v>335.78771694423267</v>
      </c>
    </row>
    <row r="701" spans="31:38" ht="15.75" hidden="1" thickBot="1">
      <c r="AE701" s="789"/>
      <c r="AF701" s="777"/>
      <c r="AH701" s="101">
        <f t="shared" si="154"/>
        <v>1000000</v>
      </c>
      <c r="AI701" s="101">
        <f t="shared" si="152"/>
        <v>0</v>
      </c>
      <c r="AJ701" s="155">
        <v>3</v>
      </c>
      <c r="AK701" s="121">
        <f t="shared" si="153"/>
        <v>90</v>
      </c>
      <c r="AL701" s="158">
        <f t="shared" si="155"/>
        <v>334.86370409886786</v>
      </c>
    </row>
    <row r="702" spans="31:38" ht="15.75" hidden="1" thickBot="1">
      <c r="AE702" s="789"/>
      <c r="AF702" s="777"/>
      <c r="AH702" s="101">
        <f t="shared" si="154"/>
        <v>1000000</v>
      </c>
      <c r="AI702" s="101">
        <f t="shared" si="152"/>
        <v>0</v>
      </c>
      <c r="AJ702" s="155">
        <v>3</v>
      </c>
      <c r="AK702" s="121">
        <f t="shared" si="153"/>
        <v>91</v>
      </c>
      <c r="AL702" s="158">
        <f t="shared" si="155"/>
        <v>333.93969125350316</v>
      </c>
    </row>
    <row r="703" spans="31:38" ht="15.75" hidden="1" thickBot="1">
      <c r="AE703" s="789"/>
      <c r="AF703" s="777"/>
      <c r="AH703" s="101">
        <f t="shared" si="154"/>
        <v>1000000</v>
      </c>
      <c r="AI703" s="101">
        <f t="shared" si="152"/>
        <v>0</v>
      </c>
      <c r="AJ703" s="155">
        <v>3</v>
      </c>
      <c r="AK703" s="121">
        <f t="shared" si="153"/>
        <v>92</v>
      </c>
      <c r="AL703" s="158">
        <f t="shared" si="155"/>
        <v>333.01567840813846</v>
      </c>
    </row>
    <row r="704" spans="31:38" ht="15.75" hidden="1" thickBot="1">
      <c r="AE704" s="789"/>
      <c r="AF704" s="777"/>
      <c r="AH704" s="101">
        <f t="shared" si="154"/>
        <v>1000000</v>
      </c>
      <c r="AI704" s="101">
        <f t="shared" si="152"/>
        <v>0</v>
      </c>
      <c r="AJ704" s="155">
        <v>3</v>
      </c>
      <c r="AK704" s="121">
        <f t="shared" si="153"/>
        <v>93</v>
      </c>
      <c r="AL704" s="158">
        <f t="shared" si="155"/>
        <v>332.09166556277376</v>
      </c>
    </row>
    <row r="705" spans="31:38" ht="15.75" hidden="1" thickBot="1">
      <c r="AE705" s="789"/>
      <c r="AF705" s="777"/>
      <c r="AH705" s="101">
        <f t="shared" si="154"/>
        <v>1000000</v>
      </c>
      <c r="AI705" s="101">
        <f t="shared" si="152"/>
        <v>0</v>
      </c>
      <c r="AJ705" s="155">
        <v>3</v>
      </c>
      <c r="AK705" s="121">
        <f t="shared" si="153"/>
        <v>94</v>
      </c>
      <c r="AL705" s="158">
        <f t="shared" si="155"/>
        <v>331.167652717409</v>
      </c>
    </row>
    <row r="706" spans="31:38" ht="15.75" hidden="1" thickBot="1">
      <c r="AE706" s="789"/>
      <c r="AF706" s="777"/>
      <c r="AH706" s="101">
        <f t="shared" si="154"/>
        <v>1000000</v>
      </c>
      <c r="AI706" s="101">
        <f t="shared" si="152"/>
        <v>0</v>
      </c>
      <c r="AJ706" s="155">
        <v>3</v>
      </c>
      <c r="AK706" s="121">
        <f t="shared" si="153"/>
        <v>95</v>
      </c>
      <c r="AL706" s="158">
        <f t="shared" si="155"/>
        <v>330.2436398720443</v>
      </c>
    </row>
    <row r="707" spans="31:38" ht="15.75" hidden="1" thickBot="1">
      <c r="AE707" s="789"/>
      <c r="AF707" s="777"/>
      <c r="AH707" s="101">
        <f>BE98</f>
        <v>1000000</v>
      </c>
      <c r="AI707" s="101">
        <f t="shared" si="152"/>
        <v>0</v>
      </c>
      <c r="AJ707" s="155">
        <v>3</v>
      </c>
      <c r="AK707" s="121">
        <f t="shared" si="153"/>
        <v>96</v>
      </c>
      <c r="AL707" s="158">
        <f>AB98</f>
        <v>329.31962702667954</v>
      </c>
    </row>
    <row r="708" spans="31:38" ht="15.75" hidden="1" thickBot="1">
      <c r="AE708" s="789"/>
      <c r="AF708" s="777"/>
      <c r="AH708" s="101">
        <f>BE99</f>
        <v>1000000</v>
      </c>
      <c r="AI708" s="101">
        <f t="shared" si="152"/>
        <v>0</v>
      </c>
      <c r="AJ708" s="155">
        <v>3</v>
      </c>
      <c r="AK708" s="121">
        <f t="shared" si="153"/>
        <v>97</v>
      </c>
      <c r="AL708" s="158">
        <f>AB99</f>
        <v>328.39561418131484</v>
      </c>
    </row>
    <row r="709" spans="31:38" ht="15.75" hidden="1" thickBot="1">
      <c r="AE709" s="789"/>
      <c r="AF709" s="777"/>
      <c r="AH709" s="101">
        <f>BE100</f>
        <v>1000000</v>
      </c>
      <c r="AI709" s="101">
        <f t="shared" si="152"/>
        <v>0</v>
      </c>
      <c r="AJ709" s="155">
        <v>3</v>
      </c>
      <c r="AK709" s="121">
        <f t="shared" si="153"/>
        <v>98</v>
      </c>
      <c r="AL709" s="158">
        <f>AB100</f>
        <v>327.47160133595014</v>
      </c>
    </row>
    <row r="710" spans="31:38" ht="15.75" hidden="1" thickBot="1">
      <c r="AE710" s="789"/>
      <c r="AF710" s="777"/>
      <c r="AH710" s="101">
        <f>BE101</f>
        <v>1000000</v>
      </c>
      <c r="AI710" s="101">
        <f t="shared" si="152"/>
        <v>0</v>
      </c>
      <c r="AJ710" s="155">
        <v>3</v>
      </c>
      <c r="AK710" s="121">
        <f t="shared" si="153"/>
        <v>99</v>
      </c>
      <c r="AL710" s="158">
        <f>AB101</f>
        <v>326.54758849058533</v>
      </c>
    </row>
    <row r="711" spans="31:38" ht="15.75" hidden="1" thickBot="1">
      <c r="AE711" s="789"/>
      <c r="AF711" s="778"/>
      <c r="AH711" s="101">
        <f>BE102</f>
        <v>1000000</v>
      </c>
      <c r="AI711" s="101">
        <f t="shared" si="152"/>
        <v>0</v>
      </c>
      <c r="AJ711" s="155">
        <v>3</v>
      </c>
      <c r="AK711" s="121">
        <f t="shared" si="153"/>
        <v>100</v>
      </c>
      <c r="AL711" s="158">
        <f>AB102</f>
        <v>325.62357564522063</v>
      </c>
    </row>
    <row r="712" spans="31:38" ht="15" hidden="1" customHeight="1" thickBot="1">
      <c r="AE712" s="789"/>
      <c r="AF712" s="776" t="s">
        <v>278</v>
      </c>
      <c r="AH712" s="101">
        <f>BL2</f>
        <v>247.65623409481378</v>
      </c>
      <c r="AI712" s="101">
        <f t="shared" si="152"/>
        <v>247.65623409481378</v>
      </c>
      <c r="AJ712" s="155">
        <v>4</v>
      </c>
      <c r="AK712" s="121">
        <v>0</v>
      </c>
      <c r="AL712" s="158">
        <f t="shared" ref="AL712:AL743" si="156">AC2</f>
        <v>522.53107522711673</v>
      </c>
    </row>
    <row r="713" spans="31:38" ht="15.75" hidden="1" thickBot="1">
      <c r="AE713" s="789"/>
      <c r="AF713" s="777"/>
      <c r="AH713" s="101">
        <f t="shared" ref="AH713:AH743" si="157">BL3</f>
        <v>1000000</v>
      </c>
      <c r="AI713" s="101">
        <f t="shared" si="152"/>
        <v>1000000</v>
      </c>
      <c r="AJ713" s="155">
        <v>4</v>
      </c>
      <c r="AK713" s="121">
        <f t="shared" si="153"/>
        <v>1</v>
      </c>
      <c r="AL713" s="158">
        <f t="shared" si="156"/>
        <v>521.37605917041083</v>
      </c>
    </row>
    <row r="714" spans="31:38" ht="15.75" hidden="1" thickBot="1">
      <c r="AE714" s="789"/>
      <c r="AF714" s="777"/>
      <c r="AH714" s="101">
        <f t="shared" si="157"/>
        <v>1000000</v>
      </c>
      <c r="AI714" s="101">
        <f t="shared" si="152"/>
        <v>1000000</v>
      </c>
      <c r="AJ714" s="155">
        <v>4</v>
      </c>
      <c r="AK714" s="121">
        <f t="shared" si="153"/>
        <v>2</v>
      </c>
      <c r="AL714" s="158">
        <f t="shared" si="156"/>
        <v>520.22104311370492</v>
      </c>
    </row>
    <row r="715" spans="31:38" ht="15.75" hidden="1" thickBot="1">
      <c r="AE715" s="789"/>
      <c r="AF715" s="777"/>
      <c r="AH715" s="101">
        <f t="shared" si="157"/>
        <v>1000000</v>
      </c>
      <c r="AI715" s="101">
        <f t="shared" si="152"/>
        <v>1000000</v>
      </c>
      <c r="AJ715" s="155">
        <v>4</v>
      </c>
      <c r="AK715" s="121">
        <f t="shared" si="153"/>
        <v>3</v>
      </c>
      <c r="AL715" s="158">
        <f t="shared" si="156"/>
        <v>519.06602705699902</v>
      </c>
    </row>
    <row r="716" spans="31:38" ht="15.75" hidden="1" thickBot="1">
      <c r="AE716" s="789"/>
      <c r="AF716" s="777"/>
      <c r="AH716" s="101">
        <f t="shared" si="157"/>
        <v>1000000</v>
      </c>
      <c r="AI716" s="101">
        <f t="shared" si="152"/>
        <v>1000000</v>
      </c>
      <c r="AJ716" s="155">
        <v>4</v>
      </c>
      <c r="AK716" s="121">
        <f t="shared" si="153"/>
        <v>4</v>
      </c>
      <c r="AL716" s="158">
        <f t="shared" si="156"/>
        <v>517.91101100029312</v>
      </c>
    </row>
    <row r="717" spans="31:38" ht="15.75" hidden="1" thickBot="1">
      <c r="AE717" s="789"/>
      <c r="AF717" s="777"/>
      <c r="AH717" s="101">
        <f t="shared" si="157"/>
        <v>1000000</v>
      </c>
      <c r="AI717" s="101">
        <f t="shared" si="152"/>
        <v>1000000</v>
      </c>
      <c r="AJ717" s="155">
        <v>4</v>
      </c>
      <c r="AK717" s="121">
        <f t="shared" si="153"/>
        <v>5</v>
      </c>
      <c r="AL717" s="158">
        <f t="shared" si="156"/>
        <v>516.7559949435871</v>
      </c>
    </row>
    <row r="718" spans="31:38" ht="15.75" hidden="1" thickBot="1">
      <c r="AE718" s="789"/>
      <c r="AF718" s="777"/>
      <c r="AH718" s="101">
        <f t="shared" si="157"/>
        <v>1000000</v>
      </c>
      <c r="AI718" s="101">
        <f t="shared" si="152"/>
        <v>1000000</v>
      </c>
      <c r="AJ718" s="155">
        <v>4</v>
      </c>
      <c r="AK718" s="121">
        <f t="shared" si="153"/>
        <v>6</v>
      </c>
      <c r="AL718" s="158">
        <f t="shared" si="156"/>
        <v>515.60097888688131</v>
      </c>
    </row>
    <row r="719" spans="31:38" ht="15.75" hidden="1" thickBot="1">
      <c r="AE719" s="789"/>
      <c r="AF719" s="777"/>
      <c r="AH719" s="101">
        <f t="shared" si="157"/>
        <v>1000000</v>
      </c>
      <c r="AI719" s="101">
        <f t="shared" si="152"/>
        <v>1000000</v>
      </c>
      <c r="AJ719" s="155">
        <v>4</v>
      </c>
      <c r="AK719" s="121">
        <f t="shared" si="153"/>
        <v>7</v>
      </c>
      <c r="AL719" s="158">
        <f t="shared" si="156"/>
        <v>514.44596283017529</v>
      </c>
    </row>
    <row r="720" spans="31:38" ht="15.75" hidden="1" thickBot="1">
      <c r="AE720" s="789"/>
      <c r="AF720" s="777"/>
      <c r="AH720" s="101">
        <f t="shared" si="157"/>
        <v>1000000</v>
      </c>
      <c r="AI720" s="101">
        <f t="shared" si="152"/>
        <v>1000000</v>
      </c>
      <c r="AJ720" s="155">
        <v>4</v>
      </c>
      <c r="AK720" s="121">
        <f t="shared" si="153"/>
        <v>8</v>
      </c>
      <c r="AL720" s="158">
        <f t="shared" si="156"/>
        <v>513.29094677346939</v>
      </c>
    </row>
    <row r="721" spans="31:38" ht="15.75" hidden="1" thickBot="1">
      <c r="AE721" s="789"/>
      <c r="AF721" s="777"/>
      <c r="AH721" s="101">
        <f t="shared" si="157"/>
        <v>1000000</v>
      </c>
      <c r="AI721" s="101">
        <f t="shared" si="152"/>
        <v>1000000</v>
      </c>
      <c r="AJ721" s="155">
        <v>4</v>
      </c>
      <c r="AK721" s="121">
        <f t="shared" si="153"/>
        <v>9</v>
      </c>
      <c r="AL721" s="158">
        <f t="shared" si="156"/>
        <v>512.1359307167636</v>
      </c>
    </row>
    <row r="722" spans="31:38" ht="15.75" hidden="1" thickBot="1">
      <c r="AE722" s="789"/>
      <c r="AF722" s="777"/>
      <c r="AH722" s="101">
        <f t="shared" si="157"/>
        <v>1000000</v>
      </c>
      <c r="AI722" s="101">
        <f t="shared" si="152"/>
        <v>1000000</v>
      </c>
      <c r="AJ722" s="155">
        <v>4</v>
      </c>
      <c r="AK722" s="121">
        <f t="shared" si="153"/>
        <v>10</v>
      </c>
      <c r="AL722" s="158">
        <f t="shared" si="156"/>
        <v>510.98091466005764</v>
      </c>
    </row>
    <row r="723" spans="31:38" ht="15.75" hidden="1" thickBot="1">
      <c r="AE723" s="789"/>
      <c r="AF723" s="777"/>
      <c r="AH723" s="101">
        <f t="shared" si="157"/>
        <v>1000000</v>
      </c>
      <c r="AI723" s="101">
        <f t="shared" si="152"/>
        <v>1000000</v>
      </c>
      <c r="AJ723" s="155">
        <v>4</v>
      </c>
      <c r="AK723" s="121">
        <f t="shared" si="153"/>
        <v>11</v>
      </c>
      <c r="AL723" s="158">
        <f t="shared" si="156"/>
        <v>509.82589860335167</v>
      </c>
    </row>
    <row r="724" spans="31:38" ht="15.75" hidden="1" thickBot="1">
      <c r="AE724" s="789"/>
      <c r="AF724" s="777"/>
      <c r="AH724" s="101">
        <f t="shared" si="157"/>
        <v>1000000</v>
      </c>
      <c r="AI724" s="101">
        <f t="shared" si="152"/>
        <v>1000000</v>
      </c>
      <c r="AJ724" s="155">
        <v>4</v>
      </c>
      <c r="AK724" s="121">
        <f t="shared" si="153"/>
        <v>12</v>
      </c>
      <c r="AL724" s="158">
        <f t="shared" si="156"/>
        <v>508.67088254664577</v>
      </c>
    </row>
    <row r="725" spans="31:38" ht="15.75" hidden="1" thickBot="1">
      <c r="AE725" s="789"/>
      <c r="AF725" s="777"/>
      <c r="AH725" s="101">
        <f t="shared" si="157"/>
        <v>1000000</v>
      </c>
      <c r="AI725" s="101">
        <f t="shared" si="152"/>
        <v>1000000</v>
      </c>
      <c r="AJ725" s="155">
        <v>4</v>
      </c>
      <c r="AK725" s="121">
        <f t="shared" si="153"/>
        <v>13</v>
      </c>
      <c r="AL725" s="158">
        <f t="shared" si="156"/>
        <v>507.51586648993992</v>
      </c>
    </row>
    <row r="726" spans="31:38" ht="15.75" hidden="1" thickBot="1">
      <c r="AE726" s="789"/>
      <c r="AF726" s="777"/>
      <c r="AH726" s="101">
        <f t="shared" si="157"/>
        <v>1000000</v>
      </c>
      <c r="AI726" s="101">
        <f t="shared" si="152"/>
        <v>1000000</v>
      </c>
      <c r="AJ726" s="155">
        <v>4</v>
      </c>
      <c r="AK726" s="121">
        <f t="shared" si="153"/>
        <v>14</v>
      </c>
      <c r="AL726" s="158">
        <f t="shared" si="156"/>
        <v>506.36085043323396</v>
      </c>
    </row>
    <row r="727" spans="31:38" ht="15.75" hidden="1" thickBot="1">
      <c r="AE727" s="789"/>
      <c r="AF727" s="777"/>
      <c r="AH727" s="101">
        <f t="shared" si="157"/>
        <v>1000000</v>
      </c>
      <c r="AI727" s="101">
        <f t="shared" si="152"/>
        <v>1000000</v>
      </c>
      <c r="AJ727" s="155">
        <v>4</v>
      </c>
      <c r="AK727" s="121">
        <f t="shared" si="153"/>
        <v>15</v>
      </c>
      <c r="AL727" s="158">
        <f t="shared" si="156"/>
        <v>505.20583437652812</v>
      </c>
    </row>
    <row r="728" spans="31:38" ht="15.75" hidden="1" thickBot="1">
      <c r="AE728" s="789"/>
      <c r="AF728" s="777"/>
      <c r="AH728" s="101">
        <f t="shared" si="157"/>
        <v>1000000</v>
      </c>
      <c r="AI728" s="101">
        <f t="shared" si="152"/>
        <v>1000000</v>
      </c>
      <c r="AJ728" s="155">
        <v>4</v>
      </c>
      <c r="AK728" s="121">
        <f t="shared" si="153"/>
        <v>16</v>
      </c>
      <c r="AL728" s="158">
        <f t="shared" si="156"/>
        <v>504.05081831982216</v>
      </c>
    </row>
    <row r="729" spans="31:38" ht="15.75" hidden="1" thickBot="1">
      <c r="AE729" s="789"/>
      <c r="AF729" s="777"/>
      <c r="AH729" s="101">
        <f t="shared" si="157"/>
        <v>1000000</v>
      </c>
      <c r="AI729" s="101">
        <f t="shared" ref="AI729:AI792" si="158">IF(AL729&lt;$D$79,0,AH729)</f>
        <v>1000000</v>
      </c>
      <c r="AJ729" s="155">
        <v>4</v>
      </c>
      <c r="AK729" s="121">
        <f t="shared" si="153"/>
        <v>17</v>
      </c>
      <c r="AL729" s="158">
        <f t="shared" si="156"/>
        <v>502.89580226311625</v>
      </c>
    </row>
    <row r="730" spans="31:38" ht="15.75" hidden="1" thickBot="1">
      <c r="AE730" s="789"/>
      <c r="AF730" s="777"/>
      <c r="AH730" s="101">
        <f t="shared" si="157"/>
        <v>1000000</v>
      </c>
      <c r="AI730" s="101">
        <f t="shared" si="158"/>
        <v>1000000</v>
      </c>
      <c r="AJ730" s="155">
        <v>4</v>
      </c>
      <c r="AK730" s="121">
        <f t="shared" si="153"/>
        <v>18</v>
      </c>
      <c r="AL730" s="158">
        <f t="shared" si="156"/>
        <v>501.74078620641035</v>
      </c>
    </row>
    <row r="731" spans="31:38" ht="15.75" hidden="1" thickBot="1">
      <c r="AE731" s="789"/>
      <c r="AF731" s="777"/>
      <c r="AH731" s="101">
        <f t="shared" si="157"/>
        <v>1000000</v>
      </c>
      <c r="AI731" s="101">
        <f t="shared" si="158"/>
        <v>1000000</v>
      </c>
      <c r="AJ731" s="155">
        <v>4</v>
      </c>
      <c r="AK731" s="121">
        <f t="shared" ref="AK731:AK794" si="159">AK730+1</f>
        <v>19</v>
      </c>
      <c r="AL731" s="158">
        <f t="shared" si="156"/>
        <v>500.58577014970444</v>
      </c>
    </row>
    <row r="732" spans="31:38" ht="15.75" hidden="1" thickBot="1">
      <c r="AE732" s="789"/>
      <c r="AF732" s="777"/>
      <c r="AH732" s="101">
        <f t="shared" si="157"/>
        <v>1000000</v>
      </c>
      <c r="AI732" s="101">
        <f t="shared" si="158"/>
        <v>1000000</v>
      </c>
      <c r="AJ732" s="155">
        <v>4</v>
      </c>
      <c r="AK732" s="121">
        <f t="shared" si="159"/>
        <v>20</v>
      </c>
      <c r="AL732" s="158">
        <f t="shared" si="156"/>
        <v>499.43075409299854</v>
      </c>
    </row>
    <row r="733" spans="31:38" ht="15.75" hidden="1" thickBot="1">
      <c r="AE733" s="789"/>
      <c r="AF733" s="777"/>
      <c r="AH733" s="101">
        <f t="shared" si="157"/>
        <v>1000000</v>
      </c>
      <c r="AI733" s="101">
        <f t="shared" si="158"/>
        <v>1000000</v>
      </c>
      <c r="AJ733" s="155">
        <v>4</v>
      </c>
      <c r="AK733" s="121">
        <f t="shared" si="159"/>
        <v>21</v>
      </c>
      <c r="AL733" s="158">
        <f t="shared" si="156"/>
        <v>498.27573803629264</v>
      </c>
    </row>
    <row r="734" spans="31:38" ht="15.75" hidden="1" thickBot="1">
      <c r="AE734" s="789"/>
      <c r="AF734" s="777"/>
      <c r="AH734" s="101">
        <f t="shared" si="157"/>
        <v>1000000</v>
      </c>
      <c r="AI734" s="101">
        <f t="shared" si="158"/>
        <v>1000000</v>
      </c>
      <c r="AJ734" s="155">
        <v>4</v>
      </c>
      <c r="AK734" s="121">
        <f t="shared" si="159"/>
        <v>22</v>
      </c>
      <c r="AL734" s="158">
        <f t="shared" si="156"/>
        <v>497.12072197958668</v>
      </c>
    </row>
    <row r="735" spans="31:38" ht="15.75" hidden="1" thickBot="1">
      <c r="AE735" s="789"/>
      <c r="AF735" s="777"/>
      <c r="AH735" s="101">
        <f t="shared" si="157"/>
        <v>1000000</v>
      </c>
      <c r="AI735" s="101">
        <f t="shared" si="158"/>
        <v>1000000</v>
      </c>
      <c r="AJ735" s="155">
        <v>4</v>
      </c>
      <c r="AK735" s="121">
        <f t="shared" si="159"/>
        <v>23</v>
      </c>
      <c r="AL735" s="158">
        <f t="shared" si="156"/>
        <v>495.96570592288083</v>
      </c>
    </row>
    <row r="736" spans="31:38" ht="15.75" hidden="1" thickBot="1">
      <c r="AE736" s="789"/>
      <c r="AF736" s="777"/>
      <c r="AH736" s="101">
        <f t="shared" si="157"/>
        <v>1000000</v>
      </c>
      <c r="AI736" s="101">
        <f t="shared" si="158"/>
        <v>1000000</v>
      </c>
      <c r="AJ736" s="155">
        <v>4</v>
      </c>
      <c r="AK736" s="121">
        <f t="shared" si="159"/>
        <v>24</v>
      </c>
      <c r="AL736" s="158">
        <f t="shared" si="156"/>
        <v>494.81068986617487</v>
      </c>
    </row>
    <row r="737" spans="31:38" ht="15.75" hidden="1" thickBot="1">
      <c r="AE737" s="789"/>
      <c r="AF737" s="777"/>
      <c r="AH737" s="101">
        <f t="shared" si="157"/>
        <v>1000000</v>
      </c>
      <c r="AI737" s="101">
        <f t="shared" si="158"/>
        <v>1000000</v>
      </c>
      <c r="AJ737" s="155">
        <v>4</v>
      </c>
      <c r="AK737" s="121">
        <f t="shared" si="159"/>
        <v>25</v>
      </c>
      <c r="AL737" s="158">
        <f t="shared" si="156"/>
        <v>493.65567380946902</v>
      </c>
    </row>
    <row r="738" spans="31:38" ht="15.75" hidden="1" thickBot="1">
      <c r="AE738" s="789"/>
      <c r="AF738" s="777"/>
      <c r="AH738" s="101">
        <f t="shared" si="157"/>
        <v>1000000</v>
      </c>
      <c r="AI738" s="101">
        <f t="shared" si="158"/>
        <v>1000000</v>
      </c>
      <c r="AJ738" s="155">
        <v>4</v>
      </c>
      <c r="AK738" s="121">
        <f t="shared" si="159"/>
        <v>26</v>
      </c>
      <c r="AL738" s="158">
        <f t="shared" si="156"/>
        <v>492.50065775276306</v>
      </c>
    </row>
    <row r="739" spans="31:38" ht="15.75" hidden="1" thickBot="1">
      <c r="AE739" s="789"/>
      <c r="AF739" s="777"/>
      <c r="AH739" s="101">
        <f t="shared" si="157"/>
        <v>1000000</v>
      </c>
      <c r="AI739" s="101">
        <f t="shared" si="158"/>
        <v>1000000</v>
      </c>
      <c r="AJ739" s="155">
        <v>4</v>
      </c>
      <c r="AK739" s="121">
        <f t="shared" si="159"/>
        <v>27</v>
      </c>
      <c r="AL739" s="158">
        <f t="shared" si="156"/>
        <v>491.34564169605716</v>
      </c>
    </row>
    <row r="740" spans="31:38" ht="15.75" hidden="1" thickBot="1">
      <c r="AE740" s="789"/>
      <c r="AF740" s="777"/>
      <c r="AH740" s="101">
        <f t="shared" si="157"/>
        <v>1000000</v>
      </c>
      <c r="AI740" s="101">
        <f t="shared" si="158"/>
        <v>1000000</v>
      </c>
      <c r="AJ740" s="155">
        <v>4</v>
      </c>
      <c r="AK740" s="121">
        <f t="shared" si="159"/>
        <v>28</v>
      </c>
      <c r="AL740" s="158">
        <f t="shared" si="156"/>
        <v>490.1906256393512</v>
      </c>
    </row>
    <row r="741" spans="31:38" ht="15.75" hidden="1" thickBot="1">
      <c r="AE741" s="789"/>
      <c r="AF741" s="777"/>
      <c r="AH741" s="101">
        <f t="shared" si="157"/>
        <v>1000000</v>
      </c>
      <c r="AI741" s="101">
        <f t="shared" si="158"/>
        <v>1000000</v>
      </c>
      <c r="AJ741" s="155">
        <v>4</v>
      </c>
      <c r="AK741" s="121">
        <f t="shared" si="159"/>
        <v>29</v>
      </c>
      <c r="AL741" s="158">
        <f t="shared" si="156"/>
        <v>489.03560958264535</v>
      </c>
    </row>
    <row r="742" spans="31:38" ht="15.75" hidden="1" thickBot="1">
      <c r="AE742" s="789"/>
      <c r="AF742" s="777"/>
      <c r="AH742" s="101">
        <f t="shared" si="157"/>
        <v>1000000</v>
      </c>
      <c r="AI742" s="101">
        <f t="shared" si="158"/>
        <v>1000000</v>
      </c>
      <c r="AJ742" s="155">
        <v>4</v>
      </c>
      <c r="AK742" s="121">
        <f t="shared" si="159"/>
        <v>30</v>
      </c>
      <c r="AL742" s="158">
        <f t="shared" si="156"/>
        <v>487.8805935259395</v>
      </c>
    </row>
    <row r="743" spans="31:38" ht="15.75" hidden="1" thickBot="1">
      <c r="AE743" s="789"/>
      <c r="AF743" s="777"/>
      <c r="AH743" s="101">
        <f t="shared" si="157"/>
        <v>1000000</v>
      </c>
      <c r="AI743" s="101">
        <f t="shared" si="158"/>
        <v>1000000</v>
      </c>
      <c r="AJ743" s="155">
        <v>4</v>
      </c>
      <c r="AK743" s="121">
        <f t="shared" si="159"/>
        <v>31</v>
      </c>
      <c r="AL743" s="158">
        <f t="shared" si="156"/>
        <v>486.72557746923354</v>
      </c>
    </row>
    <row r="744" spans="31:38" ht="15.75" hidden="1" thickBot="1">
      <c r="AE744" s="789"/>
      <c r="AF744" s="777"/>
      <c r="AH744" s="101">
        <f t="shared" ref="AH744:AH775" si="160">BL34</f>
        <v>1000000</v>
      </c>
      <c r="AI744" s="101">
        <f t="shared" si="158"/>
        <v>1000000</v>
      </c>
      <c r="AJ744" s="155">
        <v>4</v>
      </c>
      <c r="AK744" s="121">
        <f t="shared" si="159"/>
        <v>32</v>
      </c>
      <c r="AL744" s="158">
        <f t="shared" ref="AL744:AL775" si="161">AC34</f>
        <v>485.57056141252764</v>
      </c>
    </row>
    <row r="745" spans="31:38" ht="15.75" hidden="1" thickBot="1">
      <c r="AE745" s="789"/>
      <c r="AF745" s="777"/>
      <c r="AH745" s="101">
        <f t="shared" si="160"/>
        <v>1000000</v>
      </c>
      <c r="AI745" s="101">
        <f t="shared" si="158"/>
        <v>1000000</v>
      </c>
      <c r="AJ745" s="155">
        <v>4</v>
      </c>
      <c r="AK745" s="121">
        <f t="shared" si="159"/>
        <v>33</v>
      </c>
      <c r="AL745" s="158">
        <f t="shared" si="161"/>
        <v>484.41554535582168</v>
      </c>
    </row>
    <row r="746" spans="31:38" ht="15.75" hidden="1" thickBot="1">
      <c r="AE746" s="789"/>
      <c r="AF746" s="777"/>
      <c r="AH746" s="101">
        <f t="shared" si="160"/>
        <v>1000000</v>
      </c>
      <c r="AI746" s="101">
        <f t="shared" si="158"/>
        <v>1000000</v>
      </c>
      <c r="AJ746" s="155">
        <v>4</v>
      </c>
      <c r="AK746" s="121">
        <f t="shared" si="159"/>
        <v>34</v>
      </c>
      <c r="AL746" s="158">
        <f t="shared" si="161"/>
        <v>483.26052929911583</v>
      </c>
    </row>
    <row r="747" spans="31:38" ht="15.75" hidden="1" thickBot="1">
      <c r="AE747" s="789"/>
      <c r="AF747" s="777"/>
      <c r="AH747" s="101">
        <f t="shared" si="160"/>
        <v>1000000</v>
      </c>
      <c r="AI747" s="101">
        <f t="shared" si="158"/>
        <v>1000000</v>
      </c>
      <c r="AJ747" s="155">
        <v>4</v>
      </c>
      <c r="AK747" s="121">
        <f t="shared" si="159"/>
        <v>35</v>
      </c>
      <c r="AL747" s="158">
        <f t="shared" si="161"/>
        <v>482.10551324240987</v>
      </c>
    </row>
    <row r="748" spans="31:38" ht="15.75" hidden="1" thickBot="1">
      <c r="AE748" s="789"/>
      <c r="AF748" s="777"/>
      <c r="AH748" s="101">
        <f t="shared" si="160"/>
        <v>1000000</v>
      </c>
      <c r="AI748" s="101">
        <f t="shared" si="158"/>
        <v>1000000</v>
      </c>
      <c r="AJ748" s="155">
        <v>4</v>
      </c>
      <c r="AK748" s="121">
        <f t="shared" si="159"/>
        <v>36</v>
      </c>
      <c r="AL748" s="158">
        <f t="shared" si="161"/>
        <v>480.95049718570397</v>
      </c>
    </row>
    <row r="749" spans="31:38" ht="15.75" hidden="1" thickBot="1">
      <c r="AE749" s="789"/>
      <c r="AF749" s="777"/>
      <c r="AH749" s="101">
        <f t="shared" si="160"/>
        <v>1000000</v>
      </c>
      <c r="AI749" s="101">
        <f t="shared" si="158"/>
        <v>1000000</v>
      </c>
      <c r="AJ749" s="155">
        <v>4</v>
      </c>
      <c r="AK749" s="121">
        <f t="shared" si="159"/>
        <v>37</v>
      </c>
      <c r="AL749" s="158">
        <f t="shared" si="161"/>
        <v>479.79548112899806</v>
      </c>
    </row>
    <row r="750" spans="31:38" ht="15.75" hidden="1" thickBot="1">
      <c r="AE750" s="789"/>
      <c r="AF750" s="777"/>
      <c r="AH750" s="101">
        <f t="shared" si="160"/>
        <v>1000000</v>
      </c>
      <c r="AI750" s="101">
        <f t="shared" si="158"/>
        <v>1000000</v>
      </c>
      <c r="AJ750" s="155">
        <v>4</v>
      </c>
      <c r="AK750" s="121">
        <f t="shared" si="159"/>
        <v>38</v>
      </c>
      <c r="AL750" s="158">
        <f t="shared" si="161"/>
        <v>478.64046507229216</v>
      </c>
    </row>
    <row r="751" spans="31:38" ht="15.75" hidden="1" thickBot="1">
      <c r="AE751" s="789"/>
      <c r="AF751" s="777"/>
      <c r="AH751" s="101">
        <f t="shared" si="160"/>
        <v>1000000</v>
      </c>
      <c r="AI751" s="101">
        <f t="shared" si="158"/>
        <v>1000000</v>
      </c>
      <c r="AJ751" s="155">
        <v>4</v>
      </c>
      <c r="AK751" s="121">
        <f t="shared" si="159"/>
        <v>39</v>
      </c>
      <c r="AL751" s="158">
        <f t="shared" si="161"/>
        <v>477.48544901558625</v>
      </c>
    </row>
    <row r="752" spans="31:38" ht="15.75" hidden="1" thickBot="1">
      <c r="AE752" s="789"/>
      <c r="AF752" s="777"/>
      <c r="AH752" s="101">
        <f t="shared" si="160"/>
        <v>1000000</v>
      </c>
      <c r="AI752" s="101">
        <f t="shared" si="158"/>
        <v>1000000</v>
      </c>
      <c r="AJ752" s="155">
        <v>4</v>
      </c>
      <c r="AK752" s="121">
        <f t="shared" si="159"/>
        <v>40</v>
      </c>
      <c r="AL752" s="158">
        <f t="shared" si="161"/>
        <v>476.33043295888035</v>
      </c>
    </row>
    <row r="753" spans="31:38" ht="15.75" hidden="1" thickBot="1">
      <c r="AE753" s="789"/>
      <c r="AF753" s="777"/>
      <c r="AH753" s="101">
        <f t="shared" si="160"/>
        <v>1000000</v>
      </c>
      <c r="AI753" s="101">
        <f t="shared" si="158"/>
        <v>1000000</v>
      </c>
      <c r="AJ753" s="155">
        <v>4</v>
      </c>
      <c r="AK753" s="121">
        <f t="shared" si="159"/>
        <v>41</v>
      </c>
      <c r="AL753" s="158">
        <f t="shared" si="161"/>
        <v>475.17541690217445</v>
      </c>
    </row>
    <row r="754" spans="31:38" ht="15.75" hidden="1" thickBot="1">
      <c r="AE754" s="789"/>
      <c r="AF754" s="777"/>
      <c r="AH754" s="101">
        <f t="shared" si="160"/>
        <v>1000000</v>
      </c>
      <c r="AI754" s="101">
        <f t="shared" si="158"/>
        <v>1000000</v>
      </c>
      <c r="AJ754" s="155">
        <v>4</v>
      </c>
      <c r="AK754" s="121">
        <f t="shared" si="159"/>
        <v>42</v>
      </c>
      <c r="AL754" s="158">
        <f t="shared" si="161"/>
        <v>474.02040084546854</v>
      </c>
    </row>
    <row r="755" spans="31:38" ht="15.75" hidden="1" thickBot="1">
      <c r="AE755" s="789"/>
      <c r="AF755" s="777"/>
      <c r="AH755" s="101">
        <f t="shared" si="160"/>
        <v>1000000</v>
      </c>
      <c r="AI755" s="101">
        <f t="shared" si="158"/>
        <v>1000000</v>
      </c>
      <c r="AJ755" s="155">
        <v>4</v>
      </c>
      <c r="AK755" s="121">
        <f t="shared" si="159"/>
        <v>43</v>
      </c>
      <c r="AL755" s="158">
        <f t="shared" si="161"/>
        <v>472.86538478876258</v>
      </c>
    </row>
    <row r="756" spans="31:38" ht="15.75" hidden="1" thickBot="1">
      <c r="AE756" s="789"/>
      <c r="AF756" s="777"/>
      <c r="AH756" s="101">
        <f t="shared" si="160"/>
        <v>1000000</v>
      </c>
      <c r="AI756" s="101">
        <f t="shared" si="158"/>
        <v>1000000</v>
      </c>
      <c r="AJ756" s="155">
        <v>4</v>
      </c>
      <c r="AK756" s="121">
        <f t="shared" si="159"/>
        <v>44</v>
      </c>
      <c r="AL756" s="158">
        <f t="shared" si="161"/>
        <v>471.71036873205674</v>
      </c>
    </row>
    <row r="757" spans="31:38" ht="15.75" hidden="1" thickBot="1">
      <c r="AE757" s="789"/>
      <c r="AF757" s="777"/>
      <c r="AH757" s="101">
        <f t="shared" si="160"/>
        <v>1000000</v>
      </c>
      <c r="AI757" s="101">
        <f t="shared" si="158"/>
        <v>1000000</v>
      </c>
      <c r="AJ757" s="155">
        <v>4</v>
      </c>
      <c r="AK757" s="121">
        <f t="shared" si="159"/>
        <v>45</v>
      </c>
      <c r="AL757" s="158">
        <f t="shared" si="161"/>
        <v>470.55535267535078</v>
      </c>
    </row>
    <row r="758" spans="31:38" ht="15.75" hidden="1" thickBot="1">
      <c r="AE758" s="789"/>
      <c r="AF758" s="777"/>
      <c r="AH758" s="101">
        <f t="shared" si="160"/>
        <v>1000000</v>
      </c>
      <c r="AI758" s="101">
        <f t="shared" si="158"/>
        <v>1000000</v>
      </c>
      <c r="AJ758" s="155">
        <v>4</v>
      </c>
      <c r="AK758" s="121">
        <f t="shared" si="159"/>
        <v>46</v>
      </c>
      <c r="AL758" s="158">
        <f t="shared" si="161"/>
        <v>469.40033661864493</v>
      </c>
    </row>
    <row r="759" spans="31:38" ht="15.75" hidden="1" thickBot="1">
      <c r="AE759" s="789"/>
      <c r="AF759" s="777"/>
      <c r="AH759" s="101">
        <f t="shared" si="160"/>
        <v>1000000</v>
      </c>
      <c r="AI759" s="101">
        <f t="shared" si="158"/>
        <v>1000000</v>
      </c>
      <c r="AJ759" s="155">
        <v>4</v>
      </c>
      <c r="AK759" s="121">
        <f t="shared" si="159"/>
        <v>47</v>
      </c>
      <c r="AL759" s="158">
        <f t="shared" si="161"/>
        <v>468.24532056193897</v>
      </c>
    </row>
    <row r="760" spans="31:38" ht="15.75" hidden="1" thickBot="1">
      <c r="AE760" s="789"/>
      <c r="AF760" s="777"/>
      <c r="AH760" s="101">
        <f t="shared" si="160"/>
        <v>1000000</v>
      </c>
      <c r="AI760" s="101">
        <f t="shared" si="158"/>
        <v>1000000</v>
      </c>
      <c r="AJ760" s="155">
        <v>4</v>
      </c>
      <c r="AK760" s="121">
        <f t="shared" si="159"/>
        <v>48</v>
      </c>
      <c r="AL760" s="158">
        <f t="shared" si="161"/>
        <v>467.09030450523306</v>
      </c>
    </row>
    <row r="761" spans="31:38" ht="15.75" hidden="1" thickBot="1">
      <c r="AE761" s="789"/>
      <c r="AF761" s="777"/>
      <c r="AH761" s="101">
        <f t="shared" si="160"/>
        <v>1000000</v>
      </c>
      <c r="AI761" s="101">
        <f t="shared" si="158"/>
        <v>1000000</v>
      </c>
      <c r="AJ761" s="155">
        <v>4</v>
      </c>
      <c r="AK761" s="121">
        <f t="shared" si="159"/>
        <v>49</v>
      </c>
      <c r="AL761" s="158">
        <f t="shared" si="161"/>
        <v>465.9352884485271</v>
      </c>
    </row>
    <row r="762" spans="31:38" ht="15.75" hidden="1" thickBot="1">
      <c r="AE762" s="789"/>
      <c r="AF762" s="777"/>
      <c r="AH762" s="101">
        <f t="shared" si="160"/>
        <v>1000000</v>
      </c>
      <c r="AI762" s="101">
        <f t="shared" si="158"/>
        <v>1000000</v>
      </c>
      <c r="AJ762" s="155">
        <v>4</v>
      </c>
      <c r="AK762" s="121">
        <f t="shared" si="159"/>
        <v>50</v>
      </c>
      <c r="AL762" s="158">
        <f t="shared" si="161"/>
        <v>464.78027239182126</v>
      </c>
    </row>
    <row r="763" spans="31:38" ht="15.75" hidden="1" thickBot="1">
      <c r="AE763" s="789"/>
      <c r="AF763" s="777"/>
      <c r="AH763" s="101">
        <f t="shared" si="160"/>
        <v>1000000</v>
      </c>
      <c r="AI763" s="101">
        <f t="shared" si="158"/>
        <v>1000000</v>
      </c>
      <c r="AJ763" s="155">
        <v>4</v>
      </c>
      <c r="AK763" s="121">
        <f t="shared" si="159"/>
        <v>51</v>
      </c>
      <c r="AL763" s="158">
        <f t="shared" si="161"/>
        <v>463.62525633511541</v>
      </c>
    </row>
    <row r="764" spans="31:38" ht="15.75" hidden="1" thickBot="1">
      <c r="AE764" s="789"/>
      <c r="AF764" s="777"/>
      <c r="AH764" s="101">
        <f t="shared" si="160"/>
        <v>1000000</v>
      </c>
      <c r="AI764" s="101">
        <f t="shared" si="158"/>
        <v>1000000</v>
      </c>
      <c r="AJ764" s="155">
        <v>4</v>
      </c>
      <c r="AK764" s="121">
        <f t="shared" si="159"/>
        <v>52</v>
      </c>
      <c r="AL764" s="158">
        <f t="shared" si="161"/>
        <v>462.47024027840945</v>
      </c>
    </row>
    <row r="765" spans="31:38" ht="15.75" hidden="1" thickBot="1">
      <c r="AE765" s="789"/>
      <c r="AF765" s="777"/>
      <c r="AH765" s="101">
        <f t="shared" si="160"/>
        <v>1000000</v>
      </c>
      <c r="AI765" s="101">
        <f t="shared" si="158"/>
        <v>1000000</v>
      </c>
      <c r="AJ765" s="155">
        <v>4</v>
      </c>
      <c r="AK765" s="121">
        <f t="shared" si="159"/>
        <v>53</v>
      </c>
      <c r="AL765" s="158">
        <f t="shared" si="161"/>
        <v>461.31522422170349</v>
      </c>
    </row>
    <row r="766" spans="31:38" ht="15.75" hidden="1" thickBot="1">
      <c r="AE766" s="789"/>
      <c r="AF766" s="777"/>
      <c r="AH766" s="101">
        <f t="shared" si="160"/>
        <v>1000000</v>
      </c>
      <c r="AI766" s="101">
        <f t="shared" si="158"/>
        <v>1000000</v>
      </c>
      <c r="AJ766" s="155">
        <v>4</v>
      </c>
      <c r="AK766" s="121">
        <f t="shared" si="159"/>
        <v>54</v>
      </c>
      <c r="AL766" s="158">
        <f t="shared" si="161"/>
        <v>460.16020816499758</v>
      </c>
    </row>
    <row r="767" spans="31:38" ht="15.75" hidden="1" thickBot="1">
      <c r="AE767" s="789"/>
      <c r="AF767" s="777"/>
      <c r="AH767" s="101">
        <f t="shared" si="160"/>
        <v>1000000</v>
      </c>
      <c r="AI767" s="101">
        <f t="shared" si="158"/>
        <v>1000000</v>
      </c>
      <c r="AJ767" s="155">
        <v>4</v>
      </c>
      <c r="AK767" s="121">
        <f t="shared" si="159"/>
        <v>55</v>
      </c>
      <c r="AL767" s="158">
        <f t="shared" si="161"/>
        <v>459.00519210829174</v>
      </c>
    </row>
    <row r="768" spans="31:38" ht="15.75" hidden="1" thickBot="1">
      <c r="AE768" s="789"/>
      <c r="AF768" s="777"/>
      <c r="AH768" s="101">
        <f t="shared" si="160"/>
        <v>1000000</v>
      </c>
      <c r="AI768" s="101">
        <f t="shared" si="158"/>
        <v>1000000</v>
      </c>
      <c r="AJ768" s="155">
        <v>4</v>
      </c>
      <c r="AK768" s="121">
        <f t="shared" si="159"/>
        <v>56</v>
      </c>
      <c r="AL768" s="158">
        <f t="shared" si="161"/>
        <v>457.85017605158578</v>
      </c>
    </row>
    <row r="769" spans="31:38" ht="15.75" hidden="1" thickBot="1">
      <c r="AE769" s="789"/>
      <c r="AF769" s="777"/>
      <c r="AH769" s="101">
        <f t="shared" si="160"/>
        <v>1000000</v>
      </c>
      <c r="AI769" s="101">
        <f t="shared" si="158"/>
        <v>1000000</v>
      </c>
      <c r="AJ769" s="155">
        <v>4</v>
      </c>
      <c r="AK769" s="121">
        <f t="shared" si="159"/>
        <v>57</v>
      </c>
      <c r="AL769" s="158">
        <f t="shared" si="161"/>
        <v>456.69515999487987</v>
      </c>
    </row>
    <row r="770" spans="31:38" ht="15.75" hidden="1" thickBot="1">
      <c r="AE770" s="789"/>
      <c r="AF770" s="777"/>
      <c r="AH770" s="101">
        <f t="shared" si="160"/>
        <v>1000000</v>
      </c>
      <c r="AI770" s="101">
        <f t="shared" si="158"/>
        <v>1000000</v>
      </c>
      <c r="AJ770" s="155">
        <v>4</v>
      </c>
      <c r="AK770" s="121">
        <f t="shared" si="159"/>
        <v>58</v>
      </c>
      <c r="AL770" s="158">
        <f t="shared" si="161"/>
        <v>455.54014393817397</v>
      </c>
    </row>
    <row r="771" spans="31:38" ht="15.75" hidden="1" thickBot="1">
      <c r="AE771" s="789"/>
      <c r="AF771" s="777"/>
      <c r="AH771" s="101">
        <f t="shared" si="160"/>
        <v>1000000</v>
      </c>
      <c r="AI771" s="101">
        <f t="shared" si="158"/>
        <v>1000000</v>
      </c>
      <c r="AJ771" s="155">
        <v>4</v>
      </c>
      <c r="AK771" s="121">
        <f t="shared" si="159"/>
        <v>59</v>
      </c>
      <c r="AL771" s="158">
        <f t="shared" si="161"/>
        <v>454.38512788146807</v>
      </c>
    </row>
    <row r="772" spans="31:38" ht="15.75" hidden="1" thickBot="1">
      <c r="AE772" s="789"/>
      <c r="AF772" s="777"/>
      <c r="AH772" s="101">
        <f t="shared" si="160"/>
        <v>1000000</v>
      </c>
      <c r="AI772" s="101">
        <f t="shared" si="158"/>
        <v>1000000</v>
      </c>
      <c r="AJ772" s="155">
        <v>4</v>
      </c>
      <c r="AK772" s="121">
        <f t="shared" si="159"/>
        <v>60</v>
      </c>
      <c r="AL772" s="158">
        <f t="shared" si="161"/>
        <v>453.23011182476216</v>
      </c>
    </row>
    <row r="773" spans="31:38" ht="15.75" hidden="1" thickBot="1">
      <c r="AE773" s="789"/>
      <c r="AF773" s="777"/>
      <c r="AH773" s="101">
        <f t="shared" si="160"/>
        <v>1000000</v>
      </c>
      <c r="AI773" s="101">
        <f t="shared" si="158"/>
        <v>1000000</v>
      </c>
      <c r="AJ773" s="155">
        <v>4</v>
      </c>
      <c r="AK773" s="121">
        <f>AK772+1</f>
        <v>61</v>
      </c>
      <c r="AL773" s="158">
        <f t="shared" si="161"/>
        <v>452.07509576805626</v>
      </c>
    </row>
    <row r="774" spans="31:38" ht="15.75" hidden="1" thickBot="1">
      <c r="AE774" s="789"/>
      <c r="AF774" s="777"/>
      <c r="AH774" s="101">
        <f t="shared" si="160"/>
        <v>1000000</v>
      </c>
      <c r="AI774" s="101">
        <f t="shared" si="158"/>
        <v>1000000</v>
      </c>
      <c r="AJ774" s="155">
        <v>4</v>
      </c>
      <c r="AK774" s="121">
        <f t="shared" si="159"/>
        <v>62</v>
      </c>
      <c r="AL774" s="158">
        <f t="shared" si="161"/>
        <v>450.92007971135035</v>
      </c>
    </row>
    <row r="775" spans="31:38" ht="15.75" hidden="1" thickBot="1">
      <c r="AE775" s="789"/>
      <c r="AF775" s="777"/>
      <c r="AH775" s="101">
        <f t="shared" si="160"/>
        <v>1000000</v>
      </c>
      <c r="AI775" s="101">
        <f t="shared" si="158"/>
        <v>1000000</v>
      </c>
      <c r="AJ775" s="155">
        <v>4</v>
      </c>
      <c r="AK775" s="121">
        <f t="shared" si="159"/>
        <v>63</v>
      </c>
      <c r="AL775" s="158">
        <f t="shared" si="161"/>
        <v>449.76506365464445</v>
      </c>
    </row>
    <row r="776" spans="31:38" ht="15.75" hidden="1" thickBot="1">
      <c r="AE776" s="789"/>
      <c r="AF776" s="777"/>
      <c r="AH776" s="101">
        <f t="shared" ref="AH776:AH807" si="162">BL66</f>
        <v>1000000</v>
      </c>
      <c r="AI776" s="101">
        <f t="shared" si="158"/>
        <v>1000000</v>
      </c>
      <c r="AJ776" s="155">
        <v>4</v>
      </c>
      <c r="AK776" s="121">
        <f t="shared" si="159"/>
        <v>64</v>
      </c>
      <c r="AL776" s="158">
        <f t="shared" ref="AL776:AL807" si="163">AC66</f>
        <v>448.61004759793855</v>
      </c>
    </row>
    <row r="777" spans="31:38" ht="15.75" hidden="1" thickBot="1">
      <c r="AE777" s="789"/>
      <c r="AF777" s="777"/>
      <c r="AH777" s="101">
        <f t="shared" si="162"/>
        <v>1000000</v>
      </c>
      <c r="AI777" s="101">
        <f t="shared" si="158"/>
        <v>1000000</v>
      </c>
      <c r="AJ777" s="155">
        <v>4</v>
      </c>
      <c r="AK777" s="121">
        <f t="shared" si="159"/>
        <v>65</v>
      </c>
      <c r="AL777" s="158">
        <f t="shared" si="163"/>
        <v>447.45503154123253</v>
      </c>
    </row>
    <row r="778" spans="31:38" ht="15.75" hidden="1" thickBot="1">
      <c r="AE778" s="789"/>
      <c r="AF778" s="777"/>
      <c r="AH778" s="101">
        <f t="shared" si="162"/>
        <v>1000000</v>
      </c>
      <c r="AI778" s="101">
        <f t="shared" si="158"/>
        <v>1000000</v>
      </c>
      <c r="AJ778" s="155">
        <v>4</v>
      </c>
      <c r="AK778" s="121">
        <f t="shared" si="159"/>
        <v>66</v>
      </c>
      <c r="AL778" s="158">
        <f t="shared" si="163"/>
        <v>446.30001548452668</v>
      </c>
    </row>
    <row r="779" spans="31:38" ht="15.75" hidden="1" thickBot="1">
      <c r="AE779" s="789"/>
      <c r="AF779" s="777"/>
      <c r="AH779" s="101">
        <f t="shared" si="162"/>
        <v>1000000</v>
      </c>
      <c r="AI779" s="101">
        <f t="shared" si="158"/>
        <v>1000000</v>
      </c>
      <c r="AJ779" s="155">
        <v>4</v>
      </c>
      <c r="AK779" s="121">
        <f t="shared" si="159"/>
        <v>67</v>
      </c>
      <c r="AL779" s="158">
        <f t="shared" si="163"/>
        <v>445.14499942782084</v>
      </c>
    </row>
    <row r="780" spans="31:38" ht="15.75" hidden="1" thickBot="1">
      <c r="AE780" s="789"/>
      <c r="AF780" s="777"/>
      <c r="AH780" s="101">
        <f t="shared" si="162"/>
        <v>1000000</v>
      </c>
      <c r="AI780" s="101">
        <f t="shared" si="158"/>
        <v>1000000</v>
      </c>
      <c r="AJ780" s="155">
        <v>4</v>
      </c>
      <c r="AK780" s="121">
        <f t="shared" si="159"/>
        <v>68</v>
      </c>
      <c r="AL780" s="158">
        <f t="shared" si="163"/>
        <v>443.98998337111493</v>
      </c>
    </row>
    <row r="781" spans="31:38" ht="15.75" hidden="1" thickBot="1">
      <c r="AE781" s="789"/>
      <c r="AF781" s="777"/>
      <c r="AH781" s="101">
        <f t="shared" si="162"/>
        <v>1000000</v>
      </c>
      <c r="AI781" s="101">
        <f t="shared" si="158"/>
        <v>1000000</v>
      </c>
      <c r="AJ781" s="155">
        <v>4</v>
      </c>
      <c r="AK781" s="121">
        <f t="shared" si="159"/>
        <v>69</v>
      </c>
      <c r="AL781" s="158">
        <f t="shared" si="163"/>
        <v>442.83496731440897</v>
      </c>
    </row>
    <row r="782" spans="31:38" ht="15.75" hidden="1" thickBot="1">
      <c r="AE782" s="789"/>
      <c r="AF782" s="777"/>
      <c r="AH782" s="101">
        <f t="shared" si="162"/>
        <v>1000000</v>
      </c>
      <c r="AI782" s="101">
        <f t="shared" si="158"/>
        <v>1000000</v>
      </c>
      <c r="AJ782" s="155">
        <v>4</v>
      </c>
      <c r="AK782" s="121">
        <f t="shared" si="159"/>
        <v>70</v>
      </c>
      <c r="AL782" s="158">
        <f t="shared" si="163"/>
        <v>441.67995125770301</v>
      </c>
    </row>
    <row r="783" spans="31:38" ht="15.75" hidden="1" thickBot="1">
      <c r="AE783" s="789"/>
      <c r="AF783" s="777"/>
      <c r="AH783" s="101">
        <f t="shared" si="162"/>
        <v>1000000</v>
      </c>
      <c r="AI783" s="101">
        <f t="shared" si="158"/>
        <v>1000000</v>
      </c>
      <c r="AJ783" s="155">
        <v>4</v>
      </c>
      <c r="AK783" s="121">
        <f t="shared" si="159"/>
        <v>71</v>
      </c>
      <c r="AL783" s="158">
        <f t="shared" si="163"/>
        <v>440.52493520099716</v>
      </c>
    </row>
    <row r="784" spans="31:38" ht="15.75" hidden="1" thickBot="1">
      <c r="AE784" s="789"/>
      <c r="AF784" s="777"/>
      <c r="AH784" s="101">
        <f t="shared" si="162"/>
        <v>1000000</v>
      </c>
      <c r="AI784" s="101">
        <f t="shared" si="158"/>
        <v>1000000</v>
      </c>
      <c r="AJ784" s="155">
        <v>4</v>
      </c>
      <c r="AK784" s="121">
        <f t="shared" si="159"/>
        <v>72</v>
      </c>
      <c r="AL784" s="158">
        <f t="shared" si="163"/>
        <v>439.36991914429132</v>
      </c>
    </row>
    <row r="785" spans="31:38" ht="15.75" hidden="1" thickBot="1">
      <c r="AE785" s="789"/>
      <c r="AF785" s="777"/>
      <c r="AH785" s="101">
        <f t="shared" si="162"/>
        <v>1000000</v>
      </c>
      <c r="AI785" s="101">
        <f t="shared" si="158"/>
        <v>1000000</v>
      </c>
      <c r="AJ785" s="155">
        <v>4</v>
      </c>
      <c r="AK785" s="121">
        <f t="shared" si="159"/>
        <v>73</v>
      </c>
      <c r="AL785" s="158">
        <f t="shared" si="163"/>
        <v>438.2149030875853</v>
      </c>
    </row>
    <row r="786" spans="31:38" ht="15.75" hidden="1" thickBot="1">
      <c r="AE786" s="789"/>
      <c r="AF786" s="777"/>
      <c r="AH786" s="101">
        <f t="shared" si="162"/>
        <v>1000000</v>
      </c>
      <c r="AI786" s="101">
        <f t="shared" si="158"/>
        <v>1000000</v>
      </c>
      <c r="AJ786" s="155">
        <v>4</v>
      </c>
      <c r="AK786" s="121">
        <f t="shared" si="159"/>
        <v>74</v>
      </c>
      <c r="AL786" s="158">
        <f t="shared" si="163"/>
        <v>437.05988703087939</v>
      </c>
    </row>
    <row r="787" spans="31:38" ht="15.75" hidden="1" thickBot="1">
      <c r="AE787" s="789"/>
      <c r="AF787" s="777"/>
      <c r="AH787" s="101">
        <f t="shared" si="162"/>
        <v>1000000</v>
      </c>
      <c r="AI787" s="101">
        <f t="shared" si="158"/>
        <v>1000000</v>
      </c>
      <c r="AJ787" s="155">
        <v>4</v>
      </c>
      <c r="AK787" s="121">
        <f t="shared" si="159"/>
        <v>75</v>
      </c>
      <c r="AL787" s="158">
        <f t="shared" si="163"/>
        <v>435.90487097417349</v>
      </c>
    </row>
    <row r="788" spans="31:38" ht="15.75" hidden="1" thickBot="1">
      <c r="AE788" s="789"/>
      <c r="AF788" s="777"/>
      <c r="AH788" s="101">
        <f t="shared" si="162"/>
        <v>1000000</v>
      </c>
      <c r="AI788" s="101">
        <f t="shared" si="158"/>
        <v>1000000</v>
      </c>
      <c r="AJ788" s="155">
        <v>4</v>
      </c>
      <c r="AK788" s="121">
        <f t="shared" si="159"/>
        <v>76</v>
      </c>
      <c r="AL788" s="158">
        <f t="shared" si="163"/>
        <v>434.74985491746764</v>
      </c>
    </row>
    <row r="789" spans="31:38" ht="15.75" hidden="1" thickBot="1">
      <c r="AE789" s="789"/>
      <c r="AF789" s="777"/>
      <c r="AH789" s="101">
        <f t="shared" si="162"/>
        <v>1000000</v>
      </c>
      <c r="AI789" s="101">
        <f t="shared" si="158"/>
        <v>1000000</v>
      </c>
      <c r="AJ789" s="155">
        <v>4</v>
      </c>
      <c r="AK789" s="121">
        <f t="shared" si="159"/>
        <v>77</v>
      </c>
      <c r="AL789" s="158">
        <f t="shared" si="163"/>
        <v>433.59483886076168</v>
      </c>
    </row>
    <row r="790" spans="31:38" ht="15.75" hidden="1" thickBot="1">
      <c r="AE790" s="789"/>
      <c r="AF790" s="777"/>
      <c r="AH790" s="101">
        <f t="shared" si="162"/>
        <v>1000000</v>
      </c>
      <c r="AI790" s="101">
        <f t="shared" si="158"/>
        <v>1000000</v>
      </c>
      <c r="AJ790" s="155">
        <v>4</v>
      </c>
      <c r="AK790" s="121">
        <f t="shared" si="159"/>
        <v>78</v>
      </c>
      <c r="AL790" s="158">
        <f t="shared" si="163"/>
        <v>432.43982280405578</v>
      </c>
    </row>
    <row r="791" spans="31:38" ht="15.75" hidden="1" thickBot="1">
      <c r="AE791" s="789"/>
      <c r="AF791" s="777"/>
      <c r="AH791" s="101">
        <f t="shared" si="162"/>
        <v>1000000</v>
      </c>
      <c r="AI791" s="101">
        <f t="shared" si="158"/>
        <v>1000000</v>
      </c>
      <c r="AJ791" s="155">
        <v>4</v>
      </c>
      <c r="AK791" s="121">
        <f t="shared" si="159"/>
        <v>79</v>
      </c>
      <c r="AL791" s="158">
        <f t="shared" si="163"/>
        <v>431.28480674734988</v>
      </c>
    </row>
    <row r="792" spans="31:38" ht="15.75" hidden="1" thickBot="1">
      <c r="AE792" s="789"/>
      <c r="AF792" s="777"/>
      <c r="AH792" s="101">
        <f t="shared" si="162"/>
        <v>1000000</v>
      </c>
      <c r="AI792" s="101">
        <f t="shared" si="158"/>
        <v>1000000</v>
      </c>
      <c r="AJ792" s="155">
        <v>4</v>
      </c>
      <c r="AK792" s="121">
        <f t="shared" si="159"/>
        <v>80</v>
      </c>
      <c r="AL792" s="158">
        <f t="shared" si="163"/>
        <v>430.12979069064397</v>
      </c>
    </row>
    <row r="793" spans="31:38" ht="15.75" hidden="1" thickBot="1">
      <c r="AE793" s="789"/>
      <c r="AF793" s="777"/>
      <c r="AH793" s="101">
        <f t="shared" si="162"/>
        <v>1000000</v>
      </c>
      <c r="AI793" s="101">
        <f t="shared" ref="AI793:AI812" si="164">IF(AL793&lt;$D$79,0,AH793)</f>
        <v>1000000</v>
      </c>
      <c r="AJ793" s="155">
        <v>4</v>
      </c>
      <c r="AK793" s="121">
        <f t="shared" si="159"/>
        <v>81</v>
      </c>
      <c r="AL793" s="158">
        <f t="shared" si="163"/>
        <v>428.97477463393807</v>
      </c>
    </row>
    <row r="794" spans="31:38" ht="15.75" hidden="1" thickBot="1">
      <c r="AE794" s="789"/>
      <c r="AF794" s="777"/>
      <c r="AH794" s="101">
        <f t="shared" si="162"/>
        <v>1000000</v>
      </c>
      <c r="AI794" s="101">
        <f t="shared" si="164"/>
        <v>1000000</v>
      </c>
      <c r="AJ794" s="155">
        <v>4</v>
      </c>
      <c r="AK794" s="121">
        <f t="shared" si="159"/>
        <v>82</v>
      </c>
      <c r="AL794" s="158">
        <f t="shared" si="163"/>
        <v>427.81975857723211</v>
      </c>
    </row>
    <row r="795" spans="31:38" ht="15.75" hidden="1" thickBot="1">
      <c r="AE795" s="789"/>
      <c r="AF795" s="777"/>
      <c r="AH795" s="101">
        <f t="shared" si="162"/>
        <v>1000000</v>
      </c>
      <c r="AI795" s="101">
        <f t="shared" si="164"/>
        <v>1000000</v>
      </c>
      <c r="AJ795" s="155">
        <v>4</v>
      </c>
      <c r="AK795" s="121">
        <f t="shared" ref="AK795:AK858" si="165">AK794+1</f>
        <v>83</v>
      </c>
      <c r="AL795" s="158">
        <f t="shared" si="163"/>
        <v>426.66474252052626</v>
      </c>
    </row>
    <row r="796" spans="31:38" ht="15.75" hidden="1" thickBot="1">
      <c r="AE796" s="789"/>
      <c r="AF796" s="777"/>
      <c r="AH796" s="101">
        <f t="shared" si="162"/>
        <v>1000000</v>
      </c>
      <c r="AI796" s="101">
        <f t="shared" si="164"/>
        <v>1000000</v>
      </c>
      <c r="AJ796" s="155">
        <v>4</v>
      </c>
      <c r="AK796" s="121">
        <f t="shared" si="165"/>
        <v>84</v>
      </c>
      <c r="AL796" s="158">
        <f t="shared" si="163"/>
        <v>425.50972646382036</v>
      </c>
    </row>
    <row r="797" spans="31:38" ht="15.75" hidden="1" thickBot="1">
      <c r="AE797" s="789"/>
      <c r="AF797" s="777"/>
      <c r="AH797" s="101">
        <f t="shared" si="162"/>
        <v>1000000</v>
      </c>
      <c r="AI797" s="101">
        <f t="shared" si="164"/>
        <v>1000000</v>
      </c>
      <c r="AJ797" s="155">
        <v>4</v>
      </c>
      <c r="AK797" s="121">
        <f t="shared" si="165"/>
        <v>85</v>
      </c>
      <c r="AL797" s="158">
        <f t="shared" si="163"/>
        <v>424.3547104071144</v>
      </c>
    </row>
    <row r="798" spans="31:38" ht="15.75" hidden="1" thickBot="1">
      <c r="AE798" s="789"/>
      <c r="AF798" s="777"/>
      <c r="AH798" s="101">
        <f t="shared" si="162"/>
        <v>1000000</v>
      </c>
      <c r="AI798" s="101">
        <f t="shared" si="164"/>
        <v>1000000</v>
      </c>
      <c r="AJ798" s="155">
        <v>4</v>
      </c>
      <c r="AK798" s="121">
        <f t="shared" si="165"/>
        <v>86</v>
      </c>
      <c r="AL798" s="158">
        <f t="shared" si="163"/>
        <v>423.19969435040844</v>
      </c>
    </row>
    <row r="799" spans="31:38" ht="15.75" hidden="1" thickBot="1">
      <c r="AE799" s="789"/>
      <c r="AF799" s="777"/>
      <c r="AH799" s="101">
        <f t="shared" si="162"/>
        <v>1000000</v>
      </c>
      <c r="AI799" s="101">
        <f t="shared" si="164"/>
        <v>1000000</v>
      </c>
      <c r="AJ799" s="155">
        <v>4</v>
      </c>
      <c r="AK799" s="121">
        <f t="shared" si="165"/>
        <v>87</v>
      </c>
      <c r="AL799" s="158">
        <f t="shared" si="163"/>
        <v>422.04467829370259</v>
      </c>
    </row>
    <row r="800" spans="31:38" ht="15.75" hidden="1" thickBot="1">
      <c r="AE800" s="789"/>
      <c r="AF800" s="777"/>
      <c r="AH800" s="101">
        <f t="shared" si="162"/>
        <v>1000000</v>
      </c>
      <c r="AI800" s="101">
        <f t="shared" si="164"/>
        <v>1000000</v>
      </c>
      <c r="AJ800" s="155">
        <v>4</v>
      </c>
      <c r="AK800" s="121">
        <f t="shared" si="165"/>
        <v>88</v>
      </c>
      <c r="AL800" s="158">
        <f t="shared" si="163"/>
        <v>420.88966223699674</v>
      </c>
    </row>
    <row r="801" spans="31:38" ht="15.75" hidden="1" thickBot="1">
      <c r="AE801" s="789"/>
      <c r="AF801" s="777"/>
      <c r="AH801" s="101">
        <f t="shared" si="162"/>
        <v>1000000</v>
      </c>
      <c r="AI801" s="101">
        <f t="shared" si="164"/>
        <v>1000000</v>
      </c>
      <c r="AJ801" s="155">
        <v>4</v>
      </c>
      <c r="AK801" s="121">
        <f t="shared" si="165"/>
        <v>89</v>
      </c>
      <c r="AL801" s="158">
        <f t="shared" si="163"/>
        <v>419.73464618029084</v>
      </c>
    </row>
    <row r="802" spans="31:38" ht="15.75" hidden="1" thickBot="1">
      <c r="AE802" s="789"/>
      <c r="AF802" s="777"/>
      <c r="AH802" s="101">
        <f t="shared" si="162"/>
        <v>1000000</v>
      </c>
      <c r="AI802" s="101">
        <f t="shared" si="164"/>
        <v>1000000</v>
      </c>
      <c r="AJ802" s="155">
        <v>4</v>
      </c>
      <c r="AK802" s="121">
        <f t="shared" si="165"/>
        <v>90</v>
      </c>
      <c r="AL802" s="158">
        <f t="shared" si="163"/>
        <v>418.57963012358482</v>
      </c>
    </row>
    <row r="803" spans="31:38" ht="15.75" hidden="1" thickBot="1">
      <c r="AE803" s="789"/>
      <c r="AF803" s="777"/>
      <c r="AH803" s="101">
        <f t="shared" si="162"/>
        <v>1000000</v>
      </c>
      <c r="AI803" s="101">
        <f t="shared" si="164"/>
        <v>1000000</v>
      </c>
      <c r="AJ803" s="155">
        <v>4</v>
      </c>
      <c r="AK803" s="121">
        <f t="shared" si="165"/>
        <v>91</v>
      </c>
      <c r="AL803" s="158">
        <f t="shared" si="163"/>
        <v>417.42461406687892</v>
      </c>
    </row>
    <row r="804" spans="31:38" ht="15.75" hidden="1" thickBot="1">
      <c r="AE804" s="789"/>
      <c r="AF804" s="777"/>
      <c r="AH804" s="101">
        <f t="shared" si="162"/>
        <v>1000000</v>
      </c>
      <c r="AI804" s="101">
        <f t="shared" si="164"/>
        <v>1000000</v>
      </c>
      <c r="AJ804" s="155">
        <v>4</v>
      </c>
      <c r="AK804" s="121">
        <f t="shared" si="165"/>
        <v>92</v>
      </c>
      <c r="AL804" s="158">
        <f t="shared" si="163"/>
        <v>416.26959801017307</v>
      </c>
    </row>
    <row r="805" spans="31:38" ht="15.75" hidden="1" thickBot="1">
      <c r="AE805" s="789"/>
      <c r="AF805" s="777"/>
      <c r="AH805" s="101">
        <f t="shared" si="162"/>
        <v>1000000</v>
      </c>
      <c r="AI805" s="101">
        <f t="shared" si="164"/>
        <v>1000000</v>
      </c>
      <c r="AJ805" s="155">
        <v>4</v>
      </c>
      <c r="AK805" s="121">
        <f t="shared" si="165"/>
        <v>93</v>
      </c>
      <c r="AL805" s="158">
        <f t="shared" si="163"/>
        <v>415.11458195346722</v>
      </c>
    </row>
    <row r="806" spans="31:38" ht="15.75" hidden="1" thickBot="1">
      <c r="AE806" s="789"/>
      <c r="AF806" s="777"/>
      <c r="AH806" s="101">
        <f t="shared" si="162"/>
        <v>1000000</v>
      </c>
      <c r="AI806" s="101">
        <f t="shared" si="164"/>
        <v>1000000</v>
      </c>
      <c r="AJ806" s="155">
        <v>4</v>
      </c>
      <c r="AK806" s="121">
        <f t="shared" si="165"/>
        <v>94</v>
      </c>
      <c r="AL806" s="158">
        <f t="shared" si="163"/>
        <v>413.95956589676126</v>
      </c>
    </row>
    <row r="807" spans="31:38" ht="15.75" hidden="1" thickBot="1">
      <c r="AE807" s="789"/>
      <c r="AF807" s="777"/>
      <c r="AH807" s="101">
        <f t="shared" si="162"/>
        <v>1000000</v>
      </c>
      <c r="AI807" s="101">
        <f t="shared" si="164"/>
        <v>1000000</v>
      </c>
      <c r="AJ807" s="155">
        <v>4</v>
      </c>
      <c r="AK807" s="121">
        <f t="shared" si="165"/>
        <v>95</v>
      </c>
      <c r="AL807" s="158">
        <f t="shared" si="163"/>
        <v>412.80454984005536</v>
      </c>
    </row>
    <row r="808" spans="31:38" ht="15.75" hidden="1" thickBot="1">
      <c r="AE808" s="789"/>
      <c r="AF808" s="777"/>
      <c r="AH808" s="101">
        <f>BL98</f>
        <v>1000000</v>
      </c>
      <c r="AI808" s="101">
        <f t="shared" si="164"/>
        <v>1000000</v>
      </c>
      <c r="AJ808" s="155">
        <v>4</v>
      </c>
      <c r="AK808" s="121">
        <f t="shared" si="165"/>
        <v>96</v>
      </c>
      <c r="AL808" s="158">
        <f>AC98</f>
        <v>411.6495337833494</v>
      </c>
    </row>
    <row r="809" spans="31:38" ht="15.75" hidden="1" thickBot="1">
      <c r="AE809" s="789"/>
      <c r="AF809" s="777"/>
      <c r="AH809" s="101">
        <f>BL99</f>
        <v>1000000</v>
      </c>
      <c r="AI809" s="101">
        <f t="shared" si="164"/>
        <v>1000000</v>
      </c>
      <c r="AJ809" s="155">
        <v>4</v>
      </c>
      <c r="AK809" s="121">
        <f t="shared" si="165"/>
        <v>97</v>
      </c>
      <c r="AL809" s="158">
        <f>AC99</f>
        <v>410.49451772664355</v>
      </c>
    </row>
    <row r="810" spans="31:38" ht="15.75" hidden="1" thickBot="1">
      <c r="AE810" s="789"/>
      <c r="AF810" s="777"/>
      <c r="AH810" s="101">
        <f>BL100</f>
        <v>1000000</v>
      </c>
      <c r="AI810" s="101">
        <f t="shared" si="164"/>
        <v>1000000</v>
      </c>
      <c r="AJ810" s="155">
        <v>4</v>
      </c>
      <c r="AK810" s="121">
        <f t="shared" si="165"/>
        <v>98</v>
      </c>
      <c r="AL810" s="158">
        <f>AC100</f>
        <v>409.3395016699377</v>
      </c>
    </row>
    <row r="811" spans="31:38" ht="15.75" hidden="1" thickBot="1">
      <c r="AE811" s="789"/>
      <c r="AF811" s="777"/>
      <c r="AH811" s="101">
        <f>BL101</f>
        <v>1000000</v>
      </c>
      <c r="AI811" s="101">
        <f t="shared" si="164"/>
        <v>1000000</v>
      </c>
      <c r="AJ811" s="155">
        <v>4</v>
      </c>
      <c r="AK811" s="121">
        <f t="shared" si="165"/>
        <v>99</v>
      </c>
      <c r="AL811" s="158">
        <f>AC101</f>
        <v>408.18448561323169</v>
      </c>
    </row>
    <row r="812" spans="31:38" ht="15.75" hidden="1" thickBot="1">
      <c r="AE812" s="790"/>
      <c r="AF812" s="778"/>
      <c r="AH812" s="101">
        <f>BL102</f>
        <v>1000000</v>
      </c>
      <c r="AI812" s="101">
        <f t="shared" si="164"/>
        <v>1000000</v>
      </c>
      <c r="AJ812" s="155">
        <v>4</v>
      </c>
      <c r="AK812" s="156">
        <f t="shared" si="165"/>
        <v>100</v>
      </c>
      <c r="AL812" s="159">
        <f>AC102</f>
        <v>407.02946955652578</v>
      </c>
    </row>
    <row r="813" spans="31:38" ht="15" hidden="1" customHeight="1" thickBot="1">
      <c r="AE813" s="800" t="s">
        <v>253</v>
      </c>
      <c r="AF813" s="776" t="s">
        <v>280</v>
      </c>
      <c r="AH813" s="101">
        <f>AQ103</f>
        <v>153.12345540579446</v>
      </c>
      <c r="AI813" s="101">
        <f t="shared" ref="AI813:AI876" si="166">IF(AL813&lt;$D$82,0,AH813)</f>
        <v>0</v>
      </c>
      <c r="AJ813" s="153">
        <v>1</v>
      </c>
      <c r="AK813" s="131">
        <v>0</v>
      </c>
      <c r="AL813" s="157">
        <f t="shared" ref="AL813:AL844" si="167">Z103</f>
        <v>279.90787242635417</v>
      </c>
    </row>
    <row r="814" spans="31:38" ht="15.75" hidden="1" thickBot="1">
      <c r="AE814" s="801"/>
      <c r="AF814" s="777"/>
      <c r="AH814" s="101">
        <f t="shared" ref="AH814:AH844" si="168">AQ104</f>
        <v>1000000</v>
      </c>
      <c r="AI814" s="101">
        <f t="shared" si="166"/>
        <v>0</v>
      </c>
      <c r="AJ814" s="153">
        <v>1</v>
      </c>
      <c r="AK814" s="121">
        <f t="shared" si="165"/>
        <v>1</v>
      </c>
      <c r="AL814" s="158">
        <f t="shared" si="167"/>
        <v>279.20108422033388</v>
      </c>
    </row>
    <row r="815" spans="31:38" ht="15.75" hidden="1" thickBot="1">
      <c r="AE815" s="801"/>
      <c r="AF815" s="777"/>
      <c r="AH815" s="101">
        <f t="shared" si="168"/>
        <v>1000000</v>
      </c>
      <c r="AI815" s="101">
        <f t="shared" si="166"/>
        <v>0</v>
      </c>
      <c r="AJ815" s="153">
        <v>1</v>
      </c>
      <c r="AK815" s="121">
        <f t="shared" si="165"/>
        <v>2</v>
      </c>
      <c r="AL815" s="158">
        <f t="shared" si="167"/>
        <v>278.49429601431359</v>
      </c>
    </row>
    <row r="816" spans="31:38" ht="15.75" hidden="1" thickBot="1">
      <c r="AE816" s="801"/>
      <c r="AF816" s="777"/>
      <c r="AH816" s="101">
        <f t="shared" si="168"/>
        <v>1000000</v>
      </c>
      <c r="AI816" s="101">
        <f t="shared" si="166"/>
        <v>0</v>
      </c>
      <c r="AJ816" s="153">
        <v>1</v>
      </c>
      <c r="AK816" s="121">
        <f t="shared" si="165"/>
        <v>3</v>
      </c>
      <c r="AL816" s="158">
        <f t="shared" si="167"/>
        <v>277.7875078082933</v>
      </c>
    </row>
    <row r="817" spans="31:38" ht="15.75" hidden="1" thickBot="1">
      <c r="AE817" s="801"/>
      <c r="AF817" s="777"/>
      <c r="AH817" s="101">
        <f t="shared" si="168"/>
        <v>1000000</v>
      </c>
      <c r="AI817" s="101">
        <f t="shared" si="166"/>
        <v>0</v>
      </c>
      <c r="AJ817" s="153">
        <v>1</v>
      </c>
      <c r="AK817" s="121">
        <f t="shared" si="165"/>
        <v>4</v>
      </c>
      <c r="AL817" s="158">
        <f t="shared" si="167"/>
        <v>277.08071960227301</v>
      </c>
    </row>
    <row r="818" spans="31:38" ht="15.75" hidden="1" thickBot="1">
      <c r="AE818" s="801"/>
      <c r="AF818" s="777"/>
      <c r="AH818" s="101">
        <f t="shared" si="168"/>
        <v>1000000</v>
      </c>
      <c r="AI818" s="101">
        <f t="shared" si="166"/>
        <v>0</v>
      </c>
      <c r="AJ818" s="153">
        <v>1</v>
      </c>
      <c r="AK818" s="121">
        <f t="shared" si="165"/>
        <v>5</v>
      </c>
      <c r="AL818" s="158">
        <f t="shared" si="167"/>
        <v>276.37393139625271</v>
      </c>
    </row>
    <row r="819" spans="31:38" ht="15.75" hidden="1" thickBot="1">
      <c r="AE819" s="801"/>
      <c r="AF819" s="777"/>
      <c r="AH819" s="101">
        <f t="shared" si="168"/>
        <v>1000000</v>
      </c>
      <c r="AI819" s="101">
        <f t="shared" si="166"/>
        <v>0</v>
      </c>
      <c r="AJ819" s="153">
        <v>1</v>
      </c>
      <c r="AK819" s="121">
        <f t="shared" si="165"/>
        <v>6</v>
      </c>
      <c r="AL819" s="158">
        <f t="shared" si="167"/>
        <v>275.66714319023242</v>
      </c>
    </row>
    <row r="820" spans="31:38" ht="15.75" hidden="1" thickBot="1">
      <c r="AE820" s="801"/>
      <c r="AF820" s="777"/>
      <c r="AH820" s="101">
        <f t="shared" si="168"/>
        <v>1000000</v>
      </c>
      <c r="AI820" s="101">
        <f t="shared" si="166"/>
        <v>0</v>
      </c>
      <c r="AJ820" s="153">
        <v>1</v>
      </c>
      <c r="AK820" s="121">
        <f t="shared" si="165"/>
        <v>7</v>
      </c>
      <c r="AL820" s="158">
        <f t="shared" si="167"/>
        <v>274.96035498421213</v>
      </c>
    </row>
    <row r="821" spans="31:38" ht="15.75" hidden="1" thickBot="1">
      <c r="AE821" s="801"/>
      <c r="AF821" s="777"/>
      <c r="AH821" s="101">
        <f t="shared" si="168"/>
        <v>1000000</v>
      </c>
      <c r="AI821" s="101">
        <f t="shared" si="166"/>
        <v>0</v>
      </c>
      <c r="AJ821" s="153">
        <v>1</v>
      </c>
      <c r="AK821" s="121">
        <f t="shared" si="165"/>
        <v>8</v>
      </c>
      <c r="AL821" s="158">
        <f t="shared" si="167"/>
        <v>274.25356677819184</v>
      </c>
    </row>
    <row r="822" spans="31:38" ht="15.75" hidden="1" thickBot="1">
      <c r="AE822" s="801"/>
      <c r="AF822" s="777"/>
      <c r="AH822" s="101">
        <f t="shared" si="168"/>
        <v>1000000</v>
      </c>
      <c r="AI822" s="101">
        <f t="shared" si="166"/>
        <v>0</v>
      </c>
      <c r="AJ822" s="153">
        <v>1</v>
      </c>
      <c r="AK822" s="121">
        <f t="shared" si="165"/>
        <v>9</v>
      </c>
      <c r="AL822" s="158">
        <f t="shared" si="167"/>
        <v>273.54677857217155</v>
      </c>
    </row>
    <row r="823" spans="31:38" ht="15.75" hidden="1" thickBot="1">
      <c r="AE823" s="801"/>
      <c r="AF823" s="777"/>
      <c r="AH823" s="101">
        <f t="shared" si="168"/>
        <v>1000000</v>
      </c>
      <c r="AI823" s="101">
        <f t="shared" si="166"/>
        <v>0</v>
      </c>
      <c r="AJ823" s="153">
        <v>1</v>
      </c>
      <c r="AK823" s="121">
        <f t="shared" si="165"/>
        <v>10</v>
      </c>
      <c r="AL823" s="158">
        <f t="shared" si="167"/>
        <v>272.83999036615126</v>
      </c>
    </row>
    <row r="824" spans="31:38" ht="15.75" hidden="1" thickBot="1">
      <c r="AE824" s="801"/>
      <c r="AF824" s="777"/>
      <c r="AH824" s="101">
        <f t="shared" si="168"/>
        <v>1000000</v>
      </c>
      <c r="AI824" s="101">
        <f t="shared" si="166"/>
        <v>0</v>
      </c>
      <c r="AJ824" s="153">
        <v>1</v>
      </c>
      <c r="AK824" s="121">
        <f t="shared" si="165"/>
        <v>11</v>
      </c>
      <c r="AL824" s="158">
        <f t="shared" si="167"/>
        <v>272.13320216013096</v>
      </c>
    </row>
    <row r="825" spans="31:38" ht="15.75" hidden="1" thickBot="1">
      <c r="AE825" s="801"/>
      <c r="AF825" s="777"/>
      <c r="AH825" s="101">
        <f t="shared" si="168"/>
        <v>1000000</v>
      </c>
      <c r="AI825" s="101">
        <f t="shared" si="166"/>
        <v>0</v>
      </c>
      <c r="AJ825" s="153">
        <v>1</v>
      </c>
      <c r="AK825" s="121">
        <f t="shared" si="165"/>
        <v>12</v>
      </c>
      <c r="AL825" s="158">
        <f t="shared" si="167"/>
        <v>271.42641395411067</v>
      </c>
    </row>
    <row r="826" spans="31:38" ht="15.75" hidden="1" thickBot="1">
      <c r="AE826" s="801"/>
      <c r="AF826" s="777"/>
      <c r="AH826" s="101">
        <f t="shared" si="168"/>
        <v>1000000</v>
      </c>
      <c r="AI826" s="101">
        <f t="shared" si="166"/>
        <v>0</v>
      </c>
      <c r="AJ826" s="153">
        <v>1</v>
      </c>
      <c r="AK826" s="121">
        <f t="shared" si="165"/>
        <v>13</v>
      </c>
      <c r="AL826" s="158">
        <f t="shared" si="167"/>
        <v>270.71962574809038</v>
      </c>
    </row>
    <row r="827" spans="31:38" ht="15.75" hidden="1" thickBot="1">
      <c r="AE827" s="801"/>
      <c r="AF827" s="777"/>
      <c r="AH827" s="101">
        <f t="shared" si="168"/>
        <v>1000000</v>
      </c>
      <c r="AI827" s="101">
        <f t="shared" si="166"/>
        <v>0</v>
      </c>
      <c r="AJ827" s="153">
        <v>1</v>
      </c>
      <c r="AK827" s="121">
        <f t="shared" si="165"/>
        <v>14</v>
      </c>
      <c r="AL827" s="158">
        <f t="shared" si="167"/>
        <v>270.01283754207009</v>
      </c>
    </row>
    <row r="828" spans="31:38" ht="15.75" hidden="1" thickBot="1">
      <c r="AE828" s="801"/>
      <c r="AF828" s="777"/>
      <c r="AH828" s="101">
        <f t="shared" si="168"/>
        <v>1000000</v>
      </c>
      <c r="AI828" s="101">
        <f t="shared" si="166"/>
        <v>0</v>
      </c>
      <c r="AJ828" s="153">
        <v>1</v>
      </c>
      <c r="AK828" s="121">
        <f t="shared" si="165"/>
        <v>15</v>
      </c>
      <c r="AL828" s="158">
        <f t="shared" si="167"/>
        <v>269.3060493360498</v>
      </c>
    </row>
    <row r="829" spans="31:38" ht="15.75" hidden="1" thickBot="1">
      <c r="AE829" s="801"/>
      <c r="AF829" s="777"/>
      <c r="AH829" s="101">
        <f t="shared" si="168"/>
        <v>1000000</v>
      </c>
      <c r="AI829" s="101">
        <f t="shared" si="166"/>
        <v>0</v>
      </c>
      <c r="AJ829" s="153">
        <v>1</v>
      </c>
      <c r="AK829" s="121">
        <f t="shared" si="165"/>
        <v>16</v>
      </c>
      <c r="AL829" s="158">
        <f t="shared" si="167"/>
        <v>268.5992611300295</v>
      </c>
    </row>
    <row r="830" spans="31:38" ht="15.75" hidden="1" thickBot="1">
      <c r="AE830" s="801"/>
      <c r="AF830" s="777"/>
      <c r="AH830" s="101">
        <f t="shared" si="168"/>
        <v>1000000</v>
      </c>
      <c r="AI830" s="101">
        <f t="shared" si="166"/>
        <v>0</v>
      </c>
      <c r="AJ830" s="153">
        <v>1</v>
      </c>
      <c r="AK830" s="121">
        <f t="shared" si="165"/>
        <v>17</v>
      </c>
      <c r="AL830" s="158">
        <f t="shared" si="167"/>
        <v>267.89247292400921</v>
      </c>
    </row>
    <row r="831" spans="31:38" ht="15.75" hidden="1" thickBot="1">
      <c r="AE831" s="801"/>
      <c r="AF831" s="777"/>
      <c r="AH831" s="101">
        <f t="shared" si="168"/>
        <v>1000000</v>
      </c>
      <c r="AI831" s="101">
        <f t="shared" si="166"/>
        <v>0</v>
      </c>
      <c r="AJ831" s="153">
        <v>1</v>
      </c>
      <c r="AK831" s="121">
        <f t="shared" si="165"/>
        <v>18</v>
      </c>
      <c r="AL831" s="158">
        <f t="shared" si="167"/>
        <v>267.18568471798892</v>
      </c>
    </row>
    <row r="832" spans="31:38" ht="15.75" hidden="1" thickBot="1">
      <c r="AE832" s="801"/>
      <c r="AF832" s="777"/>
      <c r="AH832" s="101">
        <f t="shared" si="168"/>
        <v>1000000</v>
      </c>
      <c r="AI832" s="101">
        <f t="shared" si="166"/>
        <v>0</v>
      </c>
      <c r="AJ832" s="153">
        <v>1</v>
      </c>
      <c r="AK832" s="121">
        <f t="shared" si="165"/>
        <v>19</v>
      </c>
      <c r="AL832" s="158">
        <f t="shared" si="167"/>
        <v>266.47889651196863</v>
      </c>
    </row>
    <row r="833" spans="31:38" ht="15.75" hidden="1" thickBot="1">
      <c r="AE833" s="801"/>
      <c r="AF833" s="777"/>
      <c r="AH833" s="101">
        <f t="shared" si="168"/>
        <v>1000000</v>
      </c>
      <c r="AI833" s="101">
        <f t="shared" si="166"/>
        <v>0</v>
      </c>
      <c r="AJ833" s="153">
        <v>1</v>
      </c>
      <c r="AK833" s="121">
        <f t="shared" si="165"/>
        <v>20</v>
      </c>
      <c r="AL833" s="158">
        <f t="shared" si="167"/>
        <v>265.77210830594834</v>
      </c>
    </row>
    <row r="834" spans="31:38" ht="15.75" hidden="1" thickBot="1">
      <c r="AE834" s="801"/>
      <c r="AF834" s="777"/>
      <c r="AH834" s="101">
        <f t="shared" si="168"/>
        <v>1000000</v>
      </c>
      <c r="AI834" s="101">
        <f t="shared" si="166"/>
        <v>0</v>
      </c>
      <c r="AJ834" s="153">
        <v>1</v>
      </c>
      <c r="AK834" s="121">
        <f t="shared" si="165"/>
        <v>21</v>
      </c>
      <c r="AL834" s="158">
        <f t="shared" si="167"/>
        <v>265.06532009992804</v>
      </c>
    </row>
    <row r="835" spans="31:38" ht="15.75" hidden="1" thickBot="1">
      <c r="AE835" s="801"/>
      <c r="AF835" s="777"/>
      <c r="AH835" s="101">
        <f t="shared" si="168"/>
        <v>1000000</v>
      </c>
      <c r="AI835" s="101">
        <f t="shared" si="166"/>
        <v>0</v>
      </c>
      <c r="AJ835" s="153">
        <v>1</v>
      </c>
      <c r="AK835" s="121">
        <f t="shared" si="165"/>
        <v>22</v>
      </c>
      <c r="AL835" s="158">
        <f t="shared" si="167"/>
        <v>264.35853189390775</v>
      </c>
    </row>
    <row r="836" spans="31:38" ht="15.75" hidden="1" thickBot="1">
      <c r="AE836" s="801"/>
      <c r="AF836" s="777"/>
      <c r="AH836" s="101">
        <f t="shared" si="168"/>
        <v>1000000</v>
      </c>
      <c r="AI836" s="101">
        <f t="shared" si="166"/>
        <v>0</v>
      </c>
      <c r="AJ836" s="153">
        <v>1</v>
      </c>
      <c r="AK836" s="121">
        <f t="shared" si="165"/>
        <v>23</v>
      </c>
      <c r="AL836" s="158">
        <f t="shared" si="167"/>
        <v>263.65174368788746</v>
      </c>
    </row>
    <row r="837" spans="31:38" ht="15.75" hidden="1" thickBot="1">
      <c r="AE837" s="801"/>
      <c r="AF837" s="777"/>
      <c r="AH837" s="101">
        <f t="shared" si="168"/>
        <v>1000000</v>
      </c>
      <c r="AI837" s="101">
        <f t="shared" si="166"/>
        <v>0</v>
      </c>
      <c r="AJ837" s="153">
        <v>1</v>
      </c>
      <c r="AK837" s="121">
        <f t="shared" si="165"/>
        <v>24</v>
      </c>
      <c r="AL837" s="158">
        <f t="shared" si="167"/>
        <v>262.94495548186717</v>
      </c>
    </row>
    <row r="838" spans="31:38" ht="15.75" hidden="1" thickBot="1">
      <c r="AE838" s="801"/>
      <c r="AF838" s="777"/>
      <c r="AH838" s="101">
        <f t="shared" si="168"/>
        <v>1000000</v>
      </c>
      <c r="AI838" s="101">
        <f t="shared" si="166"/>
        <v>0</v>
      </c>
      <c r="AJ838" s="153">
        <v>1</v>
      </c>
      <c r="AK838" s="121">
        <f t="shared" si="165"/>
        <v>25</v>
      </c>
      <c r="AL838" s="158">
        <f t="shared" si="167"/>
        <v>262.23816727584688</v>
      </c>
    </row>
    <row r="839" spans="31:38" ht="15.75" hidden="1" thickBot="1">
      <c r="AE839" s="801"/>
      <c r="AF839" s="777"/>
      <c r="AH839" s="101">
        <f t="shared" si="168"/>
        <v>1000000</v>
      </c>
      <c r="AI839" s="101">
        <f t="shared" si="166"/>
        <v>0</v>
      </c>
      <c r="AJ839" s="153">
        <v>1</v>
      </c>
      <c r="AK839" s="121">
        <f t="shared" si="165"/>
        <v>26</v>
      </c>
      <c r="AL839" s="158">
        <f t="shared" si="167"/>
        <v>261.53137906982658</v>
      </c>
    </row>
    <row r="840" spans="31:38" ht="15.75" hidden="1" thickBot="1">
      <c r="AE840" s="801"/>
      <c r="AF840" s="777"/>
      <c r="AH840" s="101">
        <f t="shared" si="168"/>
        <v>1000000</v>
      </c>
      <c r="AI840" s="101">
        <f t="shared" si="166"/>
        <v>0</v>
      </c>
      <c r="AJ840" s="153">
        <v>1</v>
      </c>
      <c r="AK840" s="121">
        <f t="shared" si="165"/>
        <v>27</v>
      </c>
      <c r="AL840" s="158">
        <f t="shared" si="167"/>
        <v>260.82459086380629</v>
      </c>
    </row>
    <row r="841" spans="31:38" ht="15.75" hidden="1" thickBot="1">
      <c r="AE841" s="801"/>
      <c r="AF841" s="777"/>
      <c r="AH841" s="101">
        <f t="shared" si="168"/>
        <v>1000000</v>
      </c>
      <c r="AI841" s="101">
        <f t="shared" si="166"/>
        <v>0</v>
      </c>
      <c r="AJ841" s="153">
        <v>1</v>
      </c>
      <c r="AK841" s="121">
        <f t="shared" si="165"/>
        <v>28</v>
      </c>
      <c r="AL841" s="158">
        <f t="shared" si="167"/>
        <v>260.117802657786</v>
      </c>
    </row>
    <row r="842" spans="31:38" ht="15.75" hidden="1" thickBot="1">
      <c r="AE842" s="801"/>
      <c r="AF842" s="777"/>
      <c r="AH842" s="101">
        <f t="shared" si="168"/>
        <v>1000000</v>
      </c>
      <c r="AI842" s="101">
        <f t="shared" si="166"/>
        <v>0</v>
      </c>
      <c r="AJ842" s="153">
        <v>1</v>
      </c>
      <c r="AK842" s="121">
        <f t="shared" si="165"/>
        <v>29</v>
      </c>
      <c r="AL842" s="158">
        <f t="shared" si="167"/>
        <v>259.41101445176571</v>
      </c>
    </row>
    <row r="843" spans="31:38" ht="15.75" hidden="1" thickBot="1">
      <c r="AE843" s="801"/>
      <c r="AF843" s="777"/>
      <c r="AH843" s="101">
        <f t="shared" si="168"/>
        <v>1000000</v>
      </c>
      <c r="AI843" s="101">
        <f t="shared" si="166"/>
        <v>0</v>
      </c>
      <c r="AJ843" s="153">
        <v>1</v>
      </c>
      <c r="AK843" s="121">
        <f t="shared" si="165"/>
        <v>30</v>
      </c>
      <c r="AL843" s="158">
        <f t="shared" si="167"/>
        <v>258.70422624574542</v>
      </c>
    </row>
    <row r="844" spans="31:38" ht="15.75" hidden="1" thickBot="1">
      <c r="AE844" s="801"/>
      <c r="AF844" s="777"/>
      <c r="AH844" s="101">
        <f t="shared" si="168"/>
        <v>1000000</v>
      </c>
      <c r="AI844" s="101">
        <f t="shared" si="166"/>
        <v>0</v>
      </c>
      <c r="AJ844" s="153">
        <v>1</v>
      </c>
      <c r="AK844" s="121">
        <f t="shared" si="165"/>
        <v>31</v>
      </c>
      <c r="AL844" s="158">
        <f t="shared" si="167"/>
        <v>257.99743803972513</v>
      </c>
    </row>
    <row r="845" spans="31:38" ht="15.75" hidden="1" thickBot="1">
      <c r="AE845" s="801"/>
      <c r="AF845" s="777"/>
      <c r="AH845" s="101">
        <f t="shared" ref="AH845:AH876" si="169">AQ135</f>
        <v>1000000</v>
      </c>
      <c r="AI845" s="101">
        <f t="shared" si="166"/>
        <v>0</v>
      </c>
      <c r="AJ845" s="153">
        <v>1</v>
      </c>
      <c r="AK845" s="121">
        <f t="shared" si="165"/>
        <v>32</v>
      </c>
      <c r="AL845" s="158">
        <f t="shared" ref="AL845:AL876" si="170">Z135</f>
        <v>257.29064983370483</v>
      </c>
    </row>
    <row r="846" spans="31:38" ht="15.75" hidden="1" thickBot="1">
      <c r="AE846" s="801"/>
      <c r="AF846" s="777"/>
      <c r="AH846" s="101">
        <f t="shared" si="169"/>
        <v>1000000</v>
      </c>
      <c r="AI846" s="101">
        <f t="shared" si="166"/>
        <v>0</v>
      </c>
      <c r="AJ846" s="153">
        <v>1</v>
      </c>
      <c r="AK846" s="121">
        <f t="shared" si="165"/>
        <v>33</v>
      </c>
      <c r="AL846" s="158">
        <f t="shared" si="170"/>
        <v>256.58386162768454</v>
      </c>
    </row>
    <row r="847" spans="31:38" ht="15.75" hidden="1" thickBot="1">
      <c r="AE847" s="801"/>
      <c r="AF847" s="777"/>
      <c r="AH847" s="101">
        <f t="shared" si="169"/>
        <v>1000000</v>
      </c>
      <c r="AI847" s="101">
        <f t="shared" si="166"/>
        <v>0</v>
      </c>
      <c r="AJ847" s="153">
        <v>1</v>
      </c>
      <c r="AK847" s="121">
        <f t="shared" si="165"/>
        <v>34</v>
      </c>
      <c r="AL847" s="158">
        <f t="shared" si="170"/>
        <v>255.87707342166425</v>
      </c>
    </row>
    <row r="848" spans="31:38" ht="15.75" hidden="1" thickBot="1">
      <c r="AE848" s="801"/>
      <c r="AF848" s="777"/>
      <c r="AH848" s="101">
        <f t="shared" si="169"/>
        <v>1000000</v>
      </c>
      <c r="AI848" s="101">
        <f t="shared" si="166"/>
        <v>0</v>
      </c>
      <c r="AJ848" s="153">
        <v>1</v>
      </c>
      <c r="AK848" s="121">
        <f t="shared" si="165"/>
        <v>35</v>
      </c>
      <c r="AL848" s="158">
        <f t="shared" si="170"/>
        <v>255.17028521564399</v>
      </c>
    </row>
    <row r="849" spans="31:38" ht="15.75" hidden="1" thickBot="1">
      <c r="AE849" s="801"/>
      <c r="AF849" s="777"/>
      <c r="AH849" s="101">
        <f t="shared" si="169"/>
        <v>1000000</v>
      </c>
      <c r="AI849" s="101">
        <f t="shared" si="166"/>
        <v>0</v>
      </c>
      <c r="AJ849" s="153">
        <v>1</v>
      </c>
      <c r="AK849" s="121">
        <f t="shared" si="165"/>
        <v>36</v>
      </c>
      <c r="AL849" s="158">
        <f t="shared" si="170"/>
        <v>254.46349700962369</v>
      </c>
    </row>
    <row r="850" spans="31:38" ht="15.75" hidden="1" thickBot="1">
      <c r="AE850" s="801"/>
      <c r="AF850" s="777"/>
      <c r="AH850" s="101">
        <f t="shared" si="169"/>
        <v>1000000</v>
      </c>
      <c r="AI850" s="101">
        <f t="shared" si="166"/>
        <v>0</v>
      </c>
      <c r="AJ850" s="153">
        <v>1</v>
      </c>
      <c r="AK850" s="121">
        <f t="shared" si="165"/>
        <v>37</v>
      </c>
      <c r="AL850" s="158">
        <f t="shared" si="170"/>
        <v>253.7567088036034</v>
      </c>
    </row>
    <row r="851" spans="31:38" ht="15.75" hidden="1" thickBot="1">
      <c r="AE851" s="801"/>
      <c r="AF851" s="777"/>
      <c r="AH851" s="101">
        <f t="shared" si="169"/>
        <v>1000000</v>
      </c>
      <c r="AI851" s="101">
        <f t="shared" si="166"/>
        <v>0</v>
      </c>
      <c r="AJ851" s="153">
        <v>1</v>
      </c>
      <c r="AK851" s="121">
        <f t="shared" si="165"/>
        <v>38</v>
      </c>
      <c r="AL851" s="158">
        <f t="shared" si="170"/>
        <v>253.04992059758314</v>
      </c>
    </row>
    <row r="852" spans="31:38" ht="15.75" hidden="1" thickBot="1">
      <c r="AE852" s="801"/>
      <c r="AF852" s="777"/>
      <c r="AH852" s="101">
        <f t="shared" si="169"/>
        <v>1000000</v>
      </c>
      <c r="AI852" s="101">
        <f t="shared" si="166"/>
        <v>0</v>
      </c>
      <c r="AJ852" s="153">
        <v>1</v>
      </c>
      <c r="AK852" s="121">
        <f t="shared" si="165"/>
        <v>39</v>
      </c>
      <c r="AL852" s="158">
        <f t="shared" si="170"/>
        <v>252.34313239156282</v>
      </c>
    </row>
    <row r="853" spans="31:38" ht="15.75" hidden="1" thickBot="1">
      <c r="AE853" s="801"/>
      <c r="AF853" s="777"/>
      <c r="AH853" s="101">
        <f t="shared" si="169"/>
        <v>1000000</v>
      </c>
      <c r="AI853" s="101">
        <f t="shared" si="166"/>
        <v>0</v>
      </c>
      <c r="AJ853" s="153">
        <v>1</v>
      </c>
      <c r="AK853" s="121">
        <f t="shared" si="165"/>
        <v>40</v>
      </c>
      <c r="AL853" s="158">
        <f t="shared" si="170"/>
        <v>251.63634418554255</v>
      </c>
    </row>
    <row r="854" spans="31:38" ht="15.75" hidden="1" thickBot="1">
      <c r="AE854" s="801"/>
      <c r="AF854" s="777"/>
      <c r="AH854" s="101">
        <f t="shared" si="169"/>
        <v>1000000</v>
      </c>
      <c r="AI854" s="101">
        <f t="shared" si="166"/>
        <v>0</v>
      </c>
      <c r="AJ854" s="153">
        <v>1</v>
      </c>
      <c r="AK854" s="121">
        <f t="shared" si="165"/>
        <v>41</v>
      </c>
      <c r="AL854" s="158">
        <f t="shared" si="170"/>
        <v>250.92955597952226</v>
      </c>
    </row>
    <row r="855" spans="31:38" ht="15.75" hidden="1" thickBot="1">
      <c r="AE855" s="801"/>
      <c r="AF855" s="777"/>
      <c r="AH855" s="101">
        <f t="shared" si="169"/>
        <v>1000000</v>
      </c>
      <c r="AI855" s="101">
        <f t="shared" si="166"/>
        <v>0</v>
      </c>
      <c r="AJ855" s="153">
        <v>1</v>
      </c>
      <c r="AK855" s="121">
        <f t="shared" si="165"/>
        <v>42</v>
      </c>
      <c r="AL855" s="158">
        <f t="shared" si="170"/>
        <v>250.22276777350197</v>
      </c>
    </row>
    <row r="856" spans="31:38" ht="15.75" hidden="1" thickBot="1">
      <c r="AE856" s="801"/>
      <c r="AF856" s="777"/>
      <c r="AH856" s="101">
        <f t="shared" si="169"/>
        <v>1000000</v>
      </c>
      <c r="AI856" s="101">
        <f t="shared" si="166"/>
        <v>0</v>
      </c>
      <c r="AJ856" s="153">
        <v>1</v>
      </c>
      <c r="AK856" s="121">
        <f t="shared" si="165"/>
        <v>43</v>
      </c>
      <c r="AL856" s="158">
        <f t="shared" si="170"/>
        <v>249.51597956748168</v>
      </c>
    </row>
    <row r="857" spans="31:38" ht="15.75" hidden="1" thickBot="1">
      <c r="AE857" s="801"/>
      <c r="AF857" s="777"/>
      <c r="AH857" s="101">
        <f t="shared" si="169"/>
        <v>1000000</v>
      </c>
      <c r="AI857" s="101">
        <f t="shared" si="166"/>
        <v>0</v>
      </c>
      <c r="AJ857" s="153">
        <v>1</v>
      </c>
      <c r="AK857" s="121">
        <f t="shared" si="165"/>
        <v>44</v>
      </c>
      <c r="AL857" s="158">
        <f t="shared" si="170"/>
        <v>248.80919136146139</v>
      </c>
    </row>
    <row r="858" spans="31:38" ht="15.75" hidden="1" thickBot="1">
      <c r="AE858" s="801"/>
      <c r="AF858" s="777"/>
      <c r="AH858" s="101">
        <f t="shared" si="169"/>
        <v>1000000</v>
      </c>
      <c r="AI858" s="101">
        <f t="shared" si="166"/>
        <v>0</v>
      </c>
      <c r="AJ858" s="153">
        <v>1</v>
      </c>
      <c r="AK858" s="121">
        <f t="shared" si="165"/>
        <v>45</v>
      </c>
      <c r="AL858" s="158">
        <f t="shared" si="170"/>
        <v>248.1024031554411</v>
      </c>
    </row>
    <row r="859" spans="31:38" ht="15.75" hidden="1" thickBot="1">
      <c r="AE859" s="801"/>
      <c r="AF859" s="777"/>
      <c r="AH859" s="101">
        <f t="shared" si="169"/>
        <v>1000000</v>
      </c>
      <c r="AI859" s="101">
        <f t="shared" si="166"/>
        <v>0</v>
      </c>
      <c r="AJ859" s="153">
        <v>1</v>
      </c>
      <c r="AK859" s="121">
        <f t="shared" ref="AK859:AK913" si="171">AK858+1</f>
        <v>46</v>
      </c>
      <c r="AL859" s="158">
        <f t="shared" si="170"/>
        <v>247.3956149494208</v>
      </c>
    </row>
    <row r="860" spans="31:38" ht="15.75" hidden="1" thickBot="1">
      <c r="AE860" s="801"/>
      <c r="AF860" s="777"/>
      <c r="AH860" s="101">
        <f t="shared" si="169"/>
        <v>1000000</v>
      </c>
      <c r="AI860" s="101">
        <f t="shared" si="166"/>
        <v>0</v>
      </c>
      <c r="AJ860" s="153">
        <v>1</v>
      </c>
      <c r="AK860" s="121">
        <f t="shared" si="171"/>
        <v>47</v>
      </c>
      <c r="AL860" s="158">
        <f t="shared" si="170"/>
        <v>246.68882674340051</v>
      </c>
    </row>
    <row r="861" spans="31:38" ht="15.75" hidden="1" thickBot="1">
      <c r="AE861" s="801"/>
      <c r="AF861" s="777"/>
      <c r="AH861" s="101">
        <f t="shared" si="169"/>
        <v>1000000</v>
      </c>
      <c r="AI861" s="101">
        <f t="shared" si="166"/>
        <v>0</v>
      </c>
      <c r="AJ861" s="153">
        <v>1</v>
      </c>
      <c r="AK861" s="121">
        <f t="shared" si="171"/>
        <v>48</v>
      </c>
      <c r="AL861" s="158">
        <f t="shared" si="170"/>
        <v>245.98203853738022</v>
      </c>
    </row>
    <row r="862" spans="31:38" ht="15.75" hidden="1" thickBot="1">
      <c r="AE862" s="801"/>
      <c r="AF862" s="777"/>
      <c r="AH862" s="101">
        <f t="shared" si="169"/>
        <v>1000000</v>
      </c>
      <c r="AI862" s="101">
        <f t="shared" si="166"/>
        <v>0</v>
      </c>
      <c r="AJ862" s="153">
        <v>1</v>
      </c>
      <c r="AK862" s="121">
        <f t="shared" si="171"/>
        <v>49</v>
      </c>
      <c r="AL862" s="158">
        <f t="shared" si="170"/>
        <v>245.27525033135993</v>
      </c>
    </row>
    <row r="863" spans="31:38" ht="15.75" hidden="1" thickBot="1">
      <c r="AE863" s="801"/>
      <c r="AF863" s="777"/>
      <c r="AH863" s="101">
        <f t="shared" si="169"/>
        <v>1000000</v>
      </c>
      <c r="AI863" s="101">
        <f t="shared" si="166"/>
        <v>0</v>
      </c>
      <c r="AJ863" s="153">
        <v>1</v>
      </c>
      <c r="AK863" s="121">
        <f t="shared" si="171"/>
        <v>50</v>
      </c>
      <c r="AL863" s="158">
        <f t="shared" si="170"/>
        <v>244.56846212533964</v>
      </c>
    </row>
    <row r="864" spans="31:38" ht="15.75" hidden="1" thickBot="1">
      <c r="AE864" s="801"/>
      <c r="AF864" s="777"/>
      <c r="AH864" s="101">
        <f t="shared" si="169"/>
        <v>1000000</v>
      </c>
      <c r="AI864" s="101">
        <f t="shared" si="166"/>
        <v>0</v>
      </c>
      <c r="AJ864" s="153">
        <v>1</v>
      </c>
      <c r="AK864" s="121">
        <f t="shared" si="171"/>
        <v>51</v>
      </c>
      <c r="AL864" s="158">
        <f t="shared" si="170"/>
        <v>243.86167391931934</v>
      </c>
    </row>
    <row r="865" spans="31:38" ht="15.75" hidden="1" thickBot="1">
      <c r="AE865" s="801"/>
      <c r="AF865" s="777"/>
      <c r="AH865" s="101">
        <f t="shared" si="169"/>
        <v>1000000</v>
      </c>
      <c r="AI865" s="101">
        <f t="shared" si="166"/>
        <v>0</v>
      </c>
      <c r="AJ865" s="153">
        <v>1</v>
      </c>
      <c r="AK865" s="121">
        <f t="shared" si="171"/>
        <v>52</v>
      </c>
      <c r="AL865" s="158">
        <f t="shared" si="170"/>
        <v>243.15488571329905</v>
      </c>
    </row>
    <row r="866" spans="31:38" ht="15.75" hidden="1" thickBot="1">
      <c r="AE866" s="801"/>
      <c r="AF866" s="777"/>
      <c r="AH866" s="101">
        <f t="shared" si="169"/>
        <v>1000000</v>
      </c>
      <c r="AI866" s="101">
        <f t="shared" si="166"/>
        <v>0</v>
      </c>
      <c r="AJ866" s="153">
        <v>1</v>
      </c>
      <c r="AK866" s="121">
        <f t="shared" si="171"/>
        <v>53</v>
      </c>
      <c r="AL866" s="158">
        <f t="shared" si="170"/>
        <v>242.44809750727876</v>
      </c>
    </row>
    <row r="867" spans="31:38" ht="15.75" hidden="1" thickBot="1">
      <c r="AE867" s="801"/>
      <c r="AF867" s="777"/>
      <c r="AH867" s="101">
        <f t="shared" si="169"/>
        <v>1000000</v>
      </c>
      <c r="AI867" s="101">
        <f t="shared" si="166"/>
        <v>0</v>
      </c>
      <c r="AJ867" s="153">
        <v>1</v>
      </c>
      <c r="AK867" s="121">
        <f t="shared" si="171"/>
        <v>54</v>
      </c>
      <c r="AL867" s="158">
        <f t="shared" si="170"/>
        <v>241.74130930125847</v>
      </c>
    </row>
    <row r="868" spans="31:38" ht="15.75" hidden="1" thickBot="1">
      <c r="AE868" s="801"/>
      <c r="AF868" s="777"/>
      <c r="AH868" s="101">
        <f t="shared" si="169"/>
        <v>1000000</v>
      </c>
      <c r="AI868" s="101">
        <f t="shared" si="166"/>
        <v>0</v>
      </c>
      <c r="AJ868" s="153">
        <v>1</v>
      </c>
      <c r="AK868" s="121">
        <f t="shared" si="171"/>
        <v>55</v>
      </c>
      <c r="AL868" s="158">
        <f t="shared" si="170"/>
        <v>241.03452109523818</v>
      </c>
    </row>
    <row r="869" spans="31:38" ht="15.75" hidden="1" thickBot="1">
      <c r="AE869" s="801"/>
      <c r="AF869" s="777"/>
      <c r="AH869" s="101">
        <f t="shared" si="169"/>
        <v>1000000</v>
      </c>
      <c r="AI869" s="101">
        <f t="shared" si="166"/>
        <v>0</v>
      </c>
      <c r="AJ869" s="153">
        <v>1</v>
      </c>
      <c r="AK869" s="121">
        <f t="shared" si="171"/>
        <v>56</v>
      </c>
      <c r="AL869" s="158">
        <f t="shared" si="170"/>
        <v>240.32773288921788</v>
      </c>
    </row>
    <row r="870" spans="31:38" ht="15.75" hidden="1" thickBot="1">
      <c r="AE870" s="801"/>
      <c r="AF870" s="777"/>
      <c r="AH870" s="101">
        <f t="shared" si="169"/>
        <v>1000000</v>
      </c>
      <c r="AI870" s="101">
        <f t="shared" si="166"/>
        <v>0</v>
      </c>
      <c r="AJ870" s="153">
        <v>1</v>
      </c>
      <c r="AK870" s="121">
        <f t="shared" si="171"/>
        <v>57</v>
      </c>
      <c r="AL870" s="158">
        <f t="shared" si="170"/>
        <v>239.62094468319759</v>
      </c>
    </row>
    <row r="871" spans="31:38" ht="15.75" hidden="1" thickBot="1">
      <c r="AE871" s="801"/>
      <c r="AF871" s="777"/>
      <c r="AH871" s="101">
        <f t="shared" si="169"/>
        <v>1000000</v>
      </c>
      <c r="AI871" s="101">
        <f t="shared" si="166"/>
        <v>0</v>
      </c>
      <c r="AJ871" s="153">
        <v>1</v>
      </c>
      <c r="AK871" s="121">
        <f t="shared" si="171"/>
        <v>58</v>
      </c>
      <c r="AL871" s="158">
        <f t="shared" si="170"/>
        <v>238.9141564771773</v>
      </c>
    </row>
    <row r="872" spans="31:38" ht="15.75" hidden="1" thickBot="1">
      <c r="AE872" s="801"/>
      <c r="AF872" s="777"/>
      <c r="AH872" s="101">
        <f t="shared" si="169"/>
        <v>1000000</v>
      </c>
      <c r="AI872" s="101">
        <f t="shared" si="166"/>
        <v>0</v>
      </c>
      <c r="AJ872" s="153">
        <v>1</v>
      </c>
      <c r="AK872" s="121">
        <f t="shared" si="171"/>
        <v>59</v>
      </c>
      <c r="AL872" s="158">
        <f t="shared" si="170"/>
        <v>238.20736827115701</v>
      </c>
    </row>
    <row r="873" spans="31:38" ht="15.75" hidden="1" thickBot="1">
      <c r="AE873" s="801"/>
      <c r="AF873" s="777"/>
      <c r="AH873" s="101">
        <f t="shared" si="169"/>
        <v>1000000</v>
      </c>
      <c r="AI873" s="101">
        <f t="shared" si="166"/>
        <v>0</v>
      </c>
      <c r="AJ873" s="153">
        <v>1</v>
      </c>
      <c r="AK873" s="121">
        <f t="shared" si="171"/>
        <v>60</v>
      </c>
      <c r="AL873" s="158">
        <f t="shared" si="170"/>
        <v>237.50058006513672</v>
      </c>
    </row>
    <row r="874" spans="31:38" ht="15.75" hidden="1" thickBot="1">
      <c r="AE874" s="801"/>
      <c r="AF874" s="777"/>
      <c r="AH874" s="101">
        <f t="shared" si="169"/>
        <v>1000000</v>
      </c>
      <c r="AI874" s="101">
        <f t="shared" si="166"/>
        <v>0</v>
      </c>
      <c r="AJ874" s="153">
        <v>1</v>
      </c>
      <c r="AK874" s="121">
        <f t="shared" si="171"/>
        <v>61</v>
      </c>
      <c r="AL874" s="158">
        <f t="shared" si="170"/>
        <v>236.79379185911642</v>
      </c>
    </row>
    <row r="875" spans="31:38" ht="15.75" hidden="1" thickBot="1">
      <c r="AE875" s="801"/>
      <c r="AF875" s="777"/>
      <c r="AH875" s="101">
        <f t="shared" si="169"/>
        <v>1000000</v>
      </c>
      <c r="AI875" s="101">
        <f t="shared" si="166"/>
        <v>0</v>
      </c>
      <c r="AJ875" s="153">
        <v>1</v>
      </c>
      <c r="AK875" s="121">
        <f t="shared" si="171"/>
        <v>62</v>
      </c>
      <c r="AL875" s="158">
        <f t="shared" si="170"/>
        <v>236.08700365309613</v>
      </c>
    </row>
    <row r="876" spans="31:38" ht="15.75" hidden="1" thickBot="1">
      <c r="AE876" s="801"/>
      <c r="AF876" s="777"/>
      <c r="AH876" s="101">
        <f t="shared" si="169"/>
        <v>1000000</v>
      </c>
      <c r="AI876" s="101">
        <f t="shared" si="166"/>
        <v>0</v>
      </c>
      <c r="AJ876" s="153">
        <v>1</v>
      </c>
      <c r="AK876" s="121">
        <f t="shared" si="171"/>
        <v>63</v>
      </c>
      <c r="AL876" s="158">
        <f t="shared" si="170"/>
        <v>235.38021544707587</v>
      </c>
    </row>
    <row r="877" spans="31:38" ht="15.75" hidden="1" thickBot="1">
      <c r="AE877" s="801"/>
      <c r="AF877" s="777"/>
      <c r="AH877" s="101">
        <f t="shared" ref="AH877:AH908" si="172">AQ167</f>
        <v>1000000</v>
      </c>
      <c r="AI877" s="101">
        <f t="shared" ref="AI877:AI940" si="173">IF(AL877&lt;$D$82,0,AH877)</f>
        <v>0</v>
      </c>
      <c r="AJ877" s="153">
        <v>1</v>
      </c>
      <c r="AK877" s="121">
        <f t="shared" si="171"/>
        <v>64</v>
      </c>
      <c r="AL877" s="158">
        <f t="shared" ref="AL877:AL908" si="174">Z167</f>
        <v>234.67342724105555</v>
      </c>
    </row>
    <row r="878" spans="31:38" ht="15.75" hidden="1" thickBot="1">
      <c r="AE878" s="801"/>
      <c r="AF878" s="777"/>
      <c r="AH878" s="101">
        <f t="shared" si="172"/>
        <v>1000000</v>
      </c>
      <c r="AI878" s="101">
        <f t="shared" si="173"/>
        <v>0</v>
      </c>
      <c r="AJ878" s="153">
        <v>1</v>
      </c>
      <c r="AK878" s="121">
        <f t="shared" si="171"/>
        <v>65</v>
      </c>
      <c r="AL878" s="158">
        <f t="shared" si="174"/>
        <v>233.96663903503526</v>
      </c>
    </row>
    <row r="879" spans="31:38" ht="15.75" hidden="1" thickBot="1">
      <c r="AE879" s="801"/>
      <c r="AF879" s="777"/>
      <c r="AH879" s="101">
        <f t="shared" si="172"/>
        <v>1000000</v>
      </c>
      <c r="AI879" s="101">
        <f t="shared" si="173"/>
        <v>0</v>
      </c>
      <c r="AJ879" s="153">
        <v>1</v>
      </c>
      <c r="AK879" s="121">
        <f t="shared" si="171"/>
        <v>66</v>
      </c>
      <c r="AL879" s="158">
        <f t="shared" si="174"/>
        <v>233.25985082901499</v>
      </c>
    </row>
    <row r="880" spans="31:38" ht="15.75" hidden="1" thickBot="1">
      <c r="AE880" s="801"/>
      <c r="AF880" s="777"/>
      <c r="AH880" s="101">
        <f t="shared" si="172"/>
        <v>1000000</v>
      </c>
      <c r="AI880" s="101">
        <f t="shared" si="173"/>
        <v>0</v>
      </c>
      <c r="AJ880" s="153">
        <v>1</v>
      </c>
      <c r="AK880" s="121">
        <f t="shared" si="171"/>
        <v>67</v>
      </c>
      <c r="AL880" s="158">
        <f t="shared" si="174"/>
        <v>232.5530626229947</v>
      </c>
    </row>
    <row r="881" spans="31:38" ht="15.75" hidden="1" thickBot="1">
      <c r="AE881" s="801"/>
      <c r="AF881" s="777"/>
      <c r="AH881" s="101">
        <f t="shared" si="172"/>
        <v>1000000</v>
      </c>
      <c r="AI881" s="101">
        <f t="shared" si="173"/>
        <v>0</v>
      </c>
      <c r="AJ881" s="153">
        <v>1</v>
      </c>
      <c r="AK881" s="121">
        <f t="shared" si="171"/>
        <v>68</v>
      </c>
      <c r="AL881" s="158">
        <f t="shared" si="174"/>
        <v>231.84627441697438</v>
      </c>
    </row>
    <row r="882" spans="31:38" ht="15.75" hidden="1" thickBot="1">
      <c r="AE882" s="801"/>
      <c r="AF882" s="777"/>
      <c r="AH882" s="101">
        <f t="shared" si="172"/>
        <v>1000000</v>
      </c>
      <c r="AI882" s="101">
        <f t="shared" si="173"/>
        <v>0</v>
      </c>
      <c r="AJ882" s="153">
        <v>1</v>
      </c>
      <c r="AK882" s="121">
        <f t="shared" si="171"/>
        <v>69</v>
      </c>
      <c r="AL882" s="158">
        <f t="shared" si="174"/>
        <v>231.13948621095412</v>
      </c>
    </row>
    <row r="883" spans="31:38" ht="15.75" hidden="1" thickBot="1">
      <c r="AE883" s="801"/>
      <c r="AF883" s="777"/>
      <c r="AH883" s="101">
        <f t="shared" si="172"/>
        <v>1000000</v>
      </c>
      <c r="AI883" s="101">
        <f t="shared" si="173"/>
        <v>0</v>
      </c>
      <c r="AJ883" s="153">
        <v>1</v>
      </c>
      <c r="AK883" s="121">
        <f t="shared" si="171"/>
        <v>70</v>
      </c>
      <c r="AL883" s="158">
        <f t="shared" si="174"/>
        <v>230.4326980049338</v>
      </c>
    </row>
    <row r="884" spans="31:38" ht="15.75" hidden="1" thickBot="1">
      <c r="AE884" s="801"/>
      <c r="AF884" s="777"/>
      <c r="AH884" s="101">
        <f t="shared" si="172"/>
        <v>1000000</v>
      </c>
      <c r="AI884" s="101">
        <f t="shared" si="173"/>
        <v>0</v>
      </c>
      <c r="AJ884" s="153">
        <v>1</v>
      </c>
      <c r="AK884" s="121">
        <f t="shared" si="171"/>
        <v>71</v>
      </c>
      <c r="AL884" s="158">
        <f t="shared" si="174"/>
        <v>229.72590979891353</v>
      </c>
    </row>
    <row r="885" spans="31:38" ht="15.75" hidden="1" thickBot="1">
      <c r="AE885" s="801"/>
      <c r="AF885" s="777"/>
      <c r="AH885" s="101">
        <f t="shared" si="172"/>
        <v>1000000</v>
      </c>
      <c r="AI885" s="101">
        <f t="shared" si="173"/>
        <v>0</v>
      </c>
      <c r="AJ885" s="153">
        <v>1</v>
      </c>
      <c r="AK885" s="121">
        <f t="shared" si="171"/>
        <v>72</v>
      </c>
      <c r="AL885" s="158">
        <f t="shared" si="174"/>
        <v>229.01912159289324</v>
      </c>
    </row>
    <row r="886" spans="31:38" ht="15.75" hidden="1" thickBot="1">
      <c r="AE886" s="801"/>
      <c r="AF886" s="777"/>
      <c r="AH886" s="101">
        <f t="shared" si="172"/>
        <v>1000000</v>
      </c>
      <c r="AI886" s="101">
        <f t="shared" si="173"/>
        <v>0</v>
      </c>
      <c r="AJ886" s="153">
        <v>1</v>
      </c>
      <c r="AK886" s="121">
        <f t="shared" si="171"/>
        <v>73</v>
      </c>
      <c r="AL886" s="158">
        <f t="shared" si="174"/>
        <v>228.31233338687295</v>
      </c>
    </row>
    <row r="887" spans="31:38" ht="15.75" hidden="1" thickBot="1">
      <c r="AE887" s="801"/>
      <c r="AF887" s="777"/>
      <c r="AH887" s="101">
        <f t="shared" si="172"/>
        <v>1000000</v>
      </c>
      <c r="AI887" s="101">
        <f t="shared" si="173"/>
        <v>0</v>
      </c>
      <c r="AJ887" s="153">
        <v>1</v>
      </c>
      <c r="AK887" s="121">
        <f t="shared" si="171"/>
        <v>74</v>
      </c>
      <c r="AL887" s="158">
        <f t="shared" si="174"/>
        <v>227.60554518085263</v>
      </c>
    </row>
    <row r="888" spans="31:38" ht="15.75" hidden="1" thickBot="1">
      <c r="AE888" s="801"/>
      <c r="AF888" s="777"/>
      <c r="AH888" s="101">
        <f t="shared" si="172"/>
        <v>1000000</v>
      </c>
      <c r="AI888" s="101">
        <f t="shared" si="173"/>
        <v>0</v>
      </c>
      <c r="AJ888" s="153">
        <v>1</v>
      </c>
      <c r="AK888" s="121">
        <f t="shared" si="171"/>
        <v>75</v>
      </c>
      <c r="AL888" s="158">
        <f t="shared" si="174"/>
        <v>226.89875697483237</v>
      </c>
    </row>
    <row r="889" spans="31:38" ht="15.75" hidden="1" thickBot="1">
      <c r="AE889" s="801"/>
      <c r="AF889" s="777"/>
      <c r="AH889" s="101">
        <f t="shared" si="172"/>
        <v>1000000</v>
      </c>
      <c r="AI889" s="101">
        <f t="shared" si="173"/>
        <v>0</v>
      </c>
      <c r="AJ889" s="153">
        <v>1</v>
      </c>
      <c r="AK889" s="121">
        <f t="shared" si="171"/>
        <v>76</v>
      </c>
      <c r="AL889" s="158">
        <f t="shared" si="174"/>
        <v>226.1919687688121</v>
      </c>
    </row>
    <row r="890" spans="31:38" ht="15.75" hidden="1" thickBot="1">
      <c r="AE890" s="801"/>
      <c r="AF890" s="777"/>
      <c r="AH890" s="101">
        <f t="shared" si="172"/>
        <v>1000000</v>
      </c>
      <c r="AI890" s="101">
        <f t="shared" si="173"/>
        <v>0</v>
      </c>
      <c r="AJ890" s="153">
        <v>1</v>
      </c>
      <c r="AK890" s="121">
        <f t="shared" si="171"/>
        <v>77</v>
      </c>
      <c r="AL890" s="158">
        <f t="shared" si="174"/>
        <v>225.48518056279181</v>
      </c>
    </row>
    <row r="891" spans="31:38" ht="15.75" hidden="1" thickBot="1">
      <c r="AE891" s="801"/>
      <c r="AF891" s="777"/>
      <c r="AH891" s="101">
        <f t="shared" si="172"/>
        <v>1000000</v>
      </c>
      <c r="AI891" s="101">
        <f t="shared" si="173"/>
        <v>0</v>
      </c>
      <c r="AJ891" s="153">
        <v>1</v>
      </c>
      <c r="AK891" s="121">
        <f t="shared" si="171"/>
        <v>78</v>
      </c>
      <c r="AL891" s="158">
        <f t="shared" si="174"/>
        <v>224.77839235677149</v>
      </c>
    </row>
    <row r="892" spans="31:38" ht="15.75" hidden="1" thickBot="1">
      <c r="AE892" s="801"/>
      <c r="AF892" s="777"/>
      <c r="AH892" s="101">
        <f t="shared" si="172"/>
        <v>1000000</v>
      </c>
      <c r="AI892" s="101">
        <f t="shared" si="173"/>
        <v>0</v>
      </c>
      <c r="AJ892" s="153">
        <v>1</v>
      </c>
      <c r="AK892" s="121">
        <f t="shared" si="171"/>
        <v>79</v>
      </c>
      <c r="AL892" s="158">
        <f t="shared" si="174"/>
        <v>224.0716041507512</v>
      </c>
    </row>
    <row r="893" spans="31:38" ht="15.75" hidden="1" thickBot="1">
      <c r="AE893" s="801"/>
      <c r="AF893" s="777"/>
      <c r="AH893" s="101">
        <f t="shared" si="172"/>
        <v>1000000</v>
      </c>
      <c r="AI893" s="101">
        <f t="shared" si="173"/>
        <v>0</v>
      </c>
      <c r="AJ893" s="153">
        <v>1</v>
      </c>
      <c r="AK893" s="121">
        <f t="shared" si="171"/>
        <v>80</v>
      </c>
      <c r="AL893" s="158">
        <f t="shared" si="174"/>
        <v>223.36481594473094</v>
      </c>
    </row>
    <row r="894" spans="31:38" ht="15.75" hidden="1" thickBot="1">
      <c r="AE894" s="801"/>
      <c r="AF894" s="777"/>
      <c r="AH894" s="101">
        <f t="shared" si="172"/>
        <v>1000000</v>
      </c>
      <c r="AI894" s="101">
        <f t="shared" si="173"/>
        <v>0</v>
      </c>
      <c r="AJ894" s="153">
        <v>1</v>
      </c>
      <c r="AK894" s="121">
        <f t="shared" si="171"/>
        <v>81</v>
      </c>
      <c r="AL894" s="158">
        <f t="shared" si="174"/>
        <v>222.65802773871064</v>
      </c>
    </row>
    <row r="895" spans="31:38" ht="15.75" hidden="1" thickBot="1">
      <c r="AE895" s="801"/>
      <c r="AF895" s="777"/>
      <c r="AH895" s="101">
        <f t="shared" si="172"/>
        <v>1000000</v>
      </c>
      <c r="AI895" s="101">
        <f t="shared" si="173"/>
        <v>0</v>
      </c>
      <c r="AJ895" s="153">
        <v>1</v>
      </c>
      <c r="AK895" s="121">
        <f t="shared" si="171"/>
        <v>82</v>
      </c>
      <c r="AL895" s="158">
        <f t="shared" si="174"/>
        <v>221.95123953269035</v>
      </c>
    </row>
    <row r="896" spans="31:38" ht="15.75" hidden="1" thickBot="1">
      <c r="AE896" s="801"/>
      <c r="AF896" s="777"/>
      <c r="AH896" s="101">
        <f t="shared" si="172"/>
        <v>1000000</v>
      </c>
      <c r="AI896" s="101">
        <f t="shared" si="173"/>
        <v>0</v>
      </c>
      <c r="AJ896" s="153">
        <v>1</v>
      </c>
      <c r="AK896" s="121">
        <f t="shared" si="171"/>
        <v>83</v>
      </c>
      <c r="AL896" s="158">
        <f t="shared" si="174"/>
        <v>221.24445132667006</v>
      </c>
    </row>
    <row r="897" spans="31:38" ht="15.75" hidden="1" thickBot="1">
      <c r="AE897" s="801"/>
      <c r="AF897" s="777"/>
      <c r="AH897" s="101">
        <f t="shared" si="172"/>
        <v>1000000</v>
      </c>
      <c r="AI897" s="101">
        <f t="shared" si="173"/>
        <v>0</v>
      </c>
      <c r="AJ897" s="153">
        <v>1</v>
      </c>
      <c r="AK897" s="121">
        <f t="shared" si="171"/>
        <v>84</v>
      </c>
      <c r="AL897" s="158">
        <f t="shared" si="174"/>
        <v>220.53766312064974</v>
      </c>
    </row>
    <row r="898" spans="31:38" ht="15.75" hidden="1" thickBot="1">
      <c r="AE898" s="801"/>
      <c r="AF898" s="777"/>
      <c r="AH898" s="101">
        <f t="shared" si="172"/>
        <v>1000000</v>
      </c>
      <c r="AI898" s="101">
        <f t="shared" si="173"/>
        <v>0</v>
      </c>
      <c r="AJ898" s="153">
        <v>1</v>
      </c>
      <c r="AK898" s="121">
        <f t="shared" si="171"/>
        <v>85</v>
      </c>
      <c r="AL898" s="158">
        <f t="shared" si="174"/>
        <v>219.83087491462945</v>
      </c>
    </row>
    <row r="899" spans="31:38" ht="15.75" hidden="1" thickBot="1">
      <c r="AE899" s="801"/>
      <c r="AF899" s="777"/>
      <c r="AH899" s="101">
        <f t="shared" si="172"/>
        <v>1000000</v>
      </c>
      <c r="AI899" s="101">
        <f t="shared" si="173"/>
        <v>0</v>
      </c>
      <c r="AJ899" s="153">
        <v>1</v>
      </c>
      <c r="AK899" s="121">
        <f t="shared" si="171"/>
        <v>86</v>
      </c>
      <c r="AL899" s="158">
        <f t="shared" si="174"/>
        <v>219.12408670860918</v>
      </c>
    </row>
    <row r="900" spans="31:38" ht="15.75" hidden="1" thickBot="1">
      <c r="AE900" s="801"/>
      <c r="AF900" s="777"/>
      <c r="AH900" s="101">
        <f t="shared" si="172"/>
        <v>1000000</v>
      </c>
      <c r="AI900" s="101">
        <f t="shared" si="173"/>
        <v>0</v>
      </c>
      <c r="AJ900" s="153">
        <v>1</v>
      </c>
      <c r="AK900" s="121">
        <f t="shared" si="171"/>
        <v>87</v>
      </c>
      <c r="AL900" s="158">
        <f t="shared" si="174"/>
        <v>218.41729850258889</v>
      </c>
    </row>
    <row r="901" spans="31:38" ht="15.75" hidden="1" thickBot="1">
      <c r="AE901" s="801"/>
      <c r="AF901" s="777"/>
      <c r="AH901" s="101">
        <f t="shared" si="172"/>
        <v>1000000</v>
      </c>
      <c r="AI901" s="101">
        <f t="shared" si="173"/>
        <v>0</v>
      </c>
      <c r="AJ901" s="153">
        <v>1</v>
      </c>
      <c r="AK901" s="121">
        <f t="shared" si="171"/>
        <v>88</v>
      </c>
      <c r="AL901" s="158">
        <f t="shared" si="174"/>
        <v>217.7105102965686</v>
      </c>
    </row>
    <row r="902" spans="31:38" ht="15.75" hidden="1" thickBot="1">
      <c r="AE902" s="801"/>
      <c r="AF902" s="777"/>
      <c r="AH902" s="101">
        <f t="shared" si="172"/>
        <v>1000000</v>
      </c>
      <c r="AI902" s="101">
        <f t="shared" si="173"/>
        <v>0</v>
      </c>
      <c r="AJ902" s="153">
        <v>1</v>
      </c>
      <c r="AK902" s="121">
        <f t="shared" si="171"/>
        <v>89</v>
      </c>
      <c r="AL902" s="158">
        <f t="shared" si="174"/>
        <v>217.00372209054831</v>
      </c>
    </row>
    <row r="903" spans="31:38" ht="15.75" hidden="1" thickBot="1">
      <c r="AE903" s="801"/>
      <c r="AF903" s="777"/>
      <c r="AH903" s="101">
        <f t="shared" si="172"/>
        <v>1000000</v>
      </c>
      <c r="AI903" s="101">
        <f t="shared" si="173"/>
        <v>0</v>
      </c>
      <c r="AJ903" s="153">
        <v>1</v>
      </c>
      <c r="AK903" s="121">
        <f t="shared" si="171"/>
        <v>90</v>
      </c>
      <c r="AL903" s="158">
        <f t="shared" si="174"/>
        <v>216.29693388452802</v>
      </c>
    </row>
    <row r="904" spans="31:38" ht="15.75" hidden="1" thickBot="1">
      <c r="AE904" s="801"/>
      <c r="AF904" s="777"/>
      <c r="AH904" s="101">
        <f t="shared" si="172"/>
        <v>1000000</v>
      </c>
      <c r="AI904" s="101">
        <f t="shared" si="173"/>
        <v>0</v>
      </c>
      <c r="AJ904" s="153">
        <v>1</v>
      </c>
      <c r="AK904" s="121">
        <f t="shared" si="171"/>
        <v>91</v>
      </c>
      <c r="AL904" s="158">
        <f t="shared" si="174"/>
        <v>215.59014567850772</v>
      </c>
    </row>
    <row r="905" spans="31:38" ht="15.75" hidden="1" thickBot="1">
      <c r="AE905" s="801"/>
      <c r="AF905" s="777"/>
      <c r="AH905" s="101">
        <f t="shared" si="172"/>
        <v>1000000</v>
      </c>
      <c r="AI905" s="101">
        <f t="shared" si="173"/>
        <v>0</v>
      </c>
      <c r="AJ905" s="153">
        <v>1</v>
      </c>
      <c r="AK905" s="121">
        <f t="shared" si="171"/>
        <v>92</v>
      </c>
      <c r="AL905" s="158">
        <f t="shared" si="174"/>
        <v>214.88335747248743</v>
      </c>
    </row>
    <row r="906" spans="31:38" ht="15.75" hidden="1" thickBot="1">
      <c r="AE906" s="801"/>
      <c r="AF906" s="777"/>
      <c r="AH906" s="101">
        <f t="shared" si="172"/>
        <v>1000000</v>
      </c>
      <c r="AI906" s="101">
        <f t="shared" si="173"/>
        <v>0</v>
      </c>
      <c r="AJ906" s="153">
        <v>1</v>
      </c>
      <c r="AK906" s="121">
        <f t="shared" si="171"/>
        <v>93</v>
      </c>
      <c r="AL906" s="158">
        <f t="shared" si="174"/>
        <v>214.17656926646717</v>
      </c>
    </row>
    <row r="907" spans="31:38" ht="15.75" hidden="1" thickBot="1">
      <c r="AE907" s="801"/>
      <c r="AF907" s="777"/>
      <c r="AH907" s="101">
        <f t="shared" si="172"/>
        <v>1000000</v>
      </c>
      <c r="AI907" s="101">
        <f t="shared" si="173"/>
        <v>0</v>
      </c>
      <c r="AJ907" s="153">
        <v>1</v>
      </c>
      <c r="AK907" s="121">
        <f t="shared" si="171"/>
        <v>94</v>
      </c>
      <c r="AL907" s="158">
        <f t="shared" si="174"/>
        <v>213.46978106044685</v>
      </c>
    </row>
    <row r="908" spans="31:38" ht="15.75" hidden="1" thickBot="1">
      <c r="AE908" s="801"/>
      <c r="AF908" s="777"/>
      <c r="AH908" s="101">
        <f t="shared" si="172"/>
        <v>1000000</v>
      </c>
      <c r="AI908" s="101">
        <f t="shared" si="173"/>
        <v>0</v>
      </c>
      <c r="AJ908" s="153">
        <v>1</v>
      </c>
      <c r="AK908" s="121">
        <f t="shared" si="171"/>
        <v>95</v>
      </c>
      <c r="AL908" s="158">
        <f t="shared" si="174"/>
        <v>212.76299285442656</v>
      </c>
    </row>
    <row r="909" spans="31:38" ht="15.75" hidden="1" thickBot="1">
      <c r="AE909" s="801"/>
      <c r="AF909" s="777"/>
      <c r="AH909" s="101">
        <f>AQ199</f>
        <v>1000000</v>
      </c>
      <c r="AI909" s="101">
        <f t="shared" si="173"/>
        <v>0</v>
      </c>
      <c r="AJ909" s="153">
        <v>1</v>
      </c>
      <c r="AK909" s="121">
        <f t="shared" si="171"/>
        <v>96</v>
      </c>
      <c r="AL909" s="158">
        <f>Z199</f>
        <v>212.05620464840626</v>
      </c>
    </row>
    <row r="910" spans="31:38" ht="15.75" hidden="1" thickBot="1">
      <c r="AE910" s="801"/>
      <c r="AF910" s="777"/>
      <c r="AH910" s="101">
        <f>AQ200</f>
        <v>1000000</v>
      </c>
      <c r="AI910" s="101">
        <f t="shared" si="173"/>
        <v>0</v>
      </c>
      <c r="AJ910" s="153">
        <v>1</v>
      </c>
      <c r="AK910" s="121">
        <f t="shared" si="171"/>
        <v>97</v>
      </c>
      <c r="AL910" s="158">
        <f>Z200</f>
        <v>211.34941644238597</v>
      </c>
    </row>
    <row r="911" spans="31:38" ht="15.75" hidden="1" thickBot="1">
      <c r="AE911" s="801"/>
      <c r="AF911" s="777"/>
      <c r="AH911" s="101">
        <f>AQ201</f>
        <v>1000000</v>
      </c>
      <c r="AI911" s="101">
        <f t="shared" si="173"/>
        <v>0</v>
      </c>
      <c r="AJ911" s="153">
        <v>1</v>
      </c>
      <c r="AK911" s="121">
        <f t="shared" si="171"/>
        <v>98</v>
      </c>
      <c r="AL911" s="158">
        <f>Z201</f>
        <v>210.64262823636568</v>
      </c>
    </row>
    <row r="912" spans="31:38" ht="15.75" hidden="1" thickBot="1">
      <c r="AE912" s="801"/>
      <c r="AF912" s="777"/>
      <c r="AH912" s="101">
        <f>AQ202</f>
        <v>1000000</v>
      </c>
      <c r="AI912" s="101">
        <f t="shared" si="173"/>
        <v>0</v>
      </c>
      <c r="AJ912" s="153">
        <v>1</v>
      </c>
      <c r="AK912" s="121">
        <f t="shared" si="171"/>
        <v>99</v>
      </c>
      <c r="AL912" s="158">
        <f>Z202</f>
        <v>209.93584003034542</v>
      </c>
    </row>
    <row r="913" spans="31:38" ht="15.75" hidden="1" thickBot="1">
      <c r="AE913" s="801"/>
      <c r="AF913" s="778"/>
      <c r="AH913" s="101">
        <f>AQ203</f>
        <v>1000000</v>
      </c>
      <c r="AI913" s="101">
        <f t="shared" si="173"/>
        <v>0</v>
      </c>
      <c r="AJ913" s="155">
        <v>1</v>
      </c>
      <c r="AK913" s="121">
        <f t="shared" si="171"/>
        <v>100</v>
      </c>
      <c r="AL913" s="158">
        <f>Z203</f>
        <v>209.2290518243251</v>
      </c>
    </row>
    <row r="914" spans="31:38" ht="15.75" hidden="1" thickBot="1">
      <c r="AE914" s="801"/>
      <c r="AF914" s="776" t="s">
        <v>281</v>
      </c>
      <c r="AH914" s="101">
        <f>AX103</f>
        <v>171.97499912191631</v>
      </c>
      <c r="AI914" s="101">
        <f t="shared" si="173"/>
        <v>171.97499912191631</v>
      </c>
      <c r="AJ914" s="155">
        <v>2</v>
      </c>
      <c r="AK914" s="121">
        <v>0</v>
      </c>
      <c r="AL914" s="152">
        <f t="shared" ref="AL914:AL945" si="175">AA103</f>
        <v>419.86180863953126</v>
      </c>
    </row>
    <row r="915" spans="31:38" ht="15.75" hidden="1" thickBot="1">
      <c r="AE915" s="801"/>
      <c r="AF915" s="777"/>
      <c r="AH915" s="101">
        <f t="shared" ref="AH915:AH945" si="176">AX104</f>
        <v>1000000</v>
      </c>
      <c r="AI915" s="101">
        <f t="shared" si="173"/>
        <v>1000000</v>
      </c>
      <c r="AJ915" s="155">
        <v>2</v>
      </c>
      <c r="AK915" s="121">
        <f t="shared" ref="AK915:AK978" si="177">AK914+1</f>
        <v>1</v>
      </c>
      <c r="AL915" s="152">
        <f t="shared" si="175"/>
        <v>418.80162633050082</v>
      </c>
    </row>
    <row r="916" spans="31:38" ht="15.75" hidden="1" thickBot="1">
      <c r="AE916" s="801"/>
      <c r="AF916" s="777"/>
      <c r="AH916" s="101">
        <f t="shared" si="176"/>
        <v>1000000</v>
      </c>
      <c r="AI916" s="101">
        <f t="shared" si="173"/>
        <v>1000000</v>
      </c>
      <c r="AJ916" s="155">
        <v>2</v>
      </c>
      <c r="AK916" s="121">
        <f t="shared" si="177"/>
        <v>2</v>
      </c>
      <c r="AL916" s="152">
        <f t="shared" si="175"/>
        <v>417.74144402147039</v>
      </c>
    </row>
    <row r="917" spans="31:38" ht="15.75" hidden="1" thickBot="1">
      <c r="AE917" s="801"/>
      <c r="AF917" s="777"/>
      <c r="AH917" s="101">
        <f t="shared" si="176"/>
        <v>1000000</v>
      </c>
      <c r="AI917" s="101">
        <f t="shared" si="173"/>
        <v>1000000</v>
      </c>
      <c r="AJ917" s="155">
        <v>2</v>
      </c>
      <c r="AK917" s="121">
        <f t="shared" si="177"/>
        <v>3</v>
      </c>
      <c r="AL917" s="152">
        <f t="shared" si="175"/>
        <v>416.68126171243995</v>
      </c>
    </row>
    <row r="918" spans="31:38" ht="15.75" hidden="1" thickBot="1">
      <c r="AE918" s="801"/>
      <c r="AF918" s="777"/>
      <c r="AH918" s="101">
        <f t="shared" si="176"/>
        <v>1000000</v>
      </c>
      <c r="AI918" s="101">
        <f t="shared" si="173"/>
        <v>1000000</v>
      </c>
      <c r="AJ918" s="155">
        <v>2</v>
      </c>
      <c r="AK918" s="121">
        <f t="shared" si="177"/>
        <v>4</v>
      </c>
      <c r="AL918" s="152">
        <f t="shared" si="175"/>
        <v>415.62107940340951</v>
      </c>
    </row>
    <row r="919" spans="31:38" ht="15.75" hidden="1" thickBot="1">
      <c r="AE919" s="801"/>
      <c r="AF919" s="777"/>
      <c r="AH919" s="101">
        <f t="shared" si="176"/>
        <v>1000000</v>
      </c>
      <c r="AI919" s="101">
        <f t="shared" si="173"/>
        <v>1000000</v>
      </c>
      <c r="AJ919" s="155">
        <v>2</v>
      </c>
      <c r="AK919" s="121">
        <f t="shared" si="177"/>
        <v>5</v>
      </c>
      <c r="AL919" s="152">
        <f t="shared" si="175"/>
        <v>414.56089709437907</v>
      </c>
    </row>
    <row r="920" spans="31:38" ht="15.75" hidden="1" thickBot="1">
      <c r="AE920" s="801"/>
      <c r="AF920" s="777"/>
      <c r="AH920" s="101">
        <f t="shared" si="176"/>
        <v>1000000</v>
      </c>
      <c r="AI920" s="101">
        <f t="shared" si="173"/>
        <v>1000000</v>
      </c>
      <c r="AJ920" s="155">
        <v>2</v>
      </c>
      <c r="AK920" s="121">
        <f t="shared" si="177"/>
        <v>6</v>
      </c>
      <c r="AL920" s="152">
        <f t="shared" si="175"/>
        <v>413.50071478534863</v>
      </c>
    </row>
    <row r="921" spans="31:38" ht="15.75" hidden="1" thickBot="1">
      <c r="AE921" s="801"/>
      <c r="AF921" s="777"/>
      <c r="AH921" s="101">
        <f t="shared" si="176"/>
        <v>1000000</v>
      </c>
      <c r="AI921" s="101">
        <f t="shared" si="173"/>
        <v>1000000</v>
      </c>
      <c r="AJ921" s="155">
        <v>2</v>
      </c>
      <c r="AK921" s="121">
        <f t="shared" si="177"/>
        <v>7</v>
      </c>
      <c r="AL921" s="152">
        <f t="shared" si="175"/>
        <v>412.4405324763182</v>
      </c>
    </row>
    <row r="922" spans="31:38" ht="15.75" hidden="1" thickBot="1">
      <c r="AE922" s="801"/>
      <c r="AF922" s="777"/>
      <c r="AH922" s="101">
        <f t="shared" si="176"/>
        <v>1000000</v>
      </c>
      <c r="AI922" s="101">
        <f t="shared" si="173"/>
        <v>1000000</v>
      </c>
      <c r="AJ922" s="155">
        <v>2</v>
      </c>
      <c r="AK922" s="121">
        <f t="shared" si="177"/>
        <v>8</v>
      </c>
      <c r="AL922" s="152">
        <f t="shared" si="175"/>
        <v>411.38035016728776</v>
      </c>
    </row>
    <row r="923" spans="31:38" ht="15.75" hidden="1" thickBot="1">
      <c r="AE923" s="801"/>
      <c r="AF923" s="777"/>
      <c r="AH923" s="101">
        <f t="shared" si="176"/>
        <v>1000000</v>
      </c>
      <c r="AI923" s="101">
        <f t="shared" si="173"/>
        <v>1000000</v>
      </c>
      <c r="AJ923" s="155">
        <v>2</v>
      </c>
      <c r="AK923" s="121">
        <f t="shared" si="177"/>
        <v>9</v>
      </c>
      <c r="AL923" s="152">
        <f t="shared" si="175"/>
        <v>410.32016785825732</v>
      </c>
    </row>
    <row r="924" spans="31:38" ht="15.75" hidden="1" thickBot="1">
      <c r="AE924" s="801"/>
      <c r="AF924" s="777"/>
      <c r="AH924" s="101">
        <f t="shared" si="176"/>
        <v>1000000</v>
      </c>
      <c r="AI924" s="101">
        <f t="shared" si="173"/>
        <v>1000000</v>
      </c>
      <c r="AJ924" s="155">
        <v>2</v>
      </c>
      <c r="AK924" s="121">
        <f t="shared" si="177"/>
        <v>10</v>
      </c>
      <c r="AL924" s="152">
        <f t="shared" si="175"/>
        <v>409.25998554922688</v>
      </c>
    </row>
    <row r="925" spans="31:38" ht="15.75" hidden="1" thickBot="1">
      <c r="AE925" s="801"/>
      <c r="AF925" s="777"/>
      <c r="AH925" s="101">
        <f t="shared" si="176"/>
        <v>1000000</v>
      </c>
      <c r="AI925" s="101">
        <f t="shared" si="173"/>
        <v>1000000</v>
      </c>
      <c r="AJ925" s="155">
        <v>2</v>
      </c>
      <c r="AK925" s="121">
        <f t="shared" si="177"/>
        <v>11</v>
      </c>
      <c r="AL925" s="152">
        <f t="shared" si="175"/>
        <v>408.19980324019645</v>
      </c>
    </row>
    <row r="926" spans="31:38" ht="15.75" hidden="1" thickBot="1">
      <c r="AE926" s="801"/>
      <c r="AF926" s="777"/>
      <c r="AH926" s="101">
        <f t="shared" si="176"/>
        <v>1000000</v>
      </c>
      <c r="AI926" s="101">
        <f t="shared" si="173"/>
        <v>1000000</v>
      </c>
      <c r="AJ926" s="155">
        <v>2</v>
      </c>
      <c r="AK926" s="121">
        <f t="shared" si="177"/>
        <v>12</v>
      </c>
      <c r="AL926" s="152">
        <f t="shared" si="175"/>
        <v>407.13962093116601</v>
      </c>
    </row>
    <row r="927" spans="31:38" ht="15.75" hidden="1" thickBot="1">
      <c r="AE927" s="801"/>
      <c r="AF927" s="777"/>
      <c r="AH927" s="101">
        <f t="shared" si="176"/>
        <v>1000000</v>
      </c>
      <c r="AI927" s="101">
        <f t="shared" si="173"/>
        <v>1000000</v>
      </c>
      <c r="AJ927" s="155">
        <v>2</v>
      </c>
      <c r="AK927" s="121">
        <f t="shared" si="177"/>
        <v>13</v>
      </c>
      <c r="AL927" s="152">
        <f t="shared" si="175"/>
        <v>406.07943862213557</v>
      </c>
    </row>
    <row r="928" spans="31:38" ht="15.75" hidden="1" thickBot="1">
      <c r="AE928" s="801"/>
      <c r="AF928" s="777"/>
      <c r="AH928" s="101">
        <f t="shared" si="176"/>
        <v>1000000</v>
      </c>
      <c r="AI928" s="101">
        <f t="shared" si="173"/>
        <v>1000000</v>
      </c>
      <c r="AJ928" s="155">
        <v>2</v>
      </c>
      <c r="AK928" s="121">
        <f t="shared" si="177"/>
        <v>14</v>
      </c>
      <c r="AL928" s="152">
        <f t="shared" si="175"/>
        <v>405.01925631310513</v>
      </c>
    </row>
    <row r="929" spans="31:38" ht="15.75" hidden="1" thickBot="1">
      <c r="AE929" s="801"/>
      <c r="AF929" s="777"/>
      <c r="AH929" s="101">
        <f t="shared" si="176"/>
        <v>1000000</v>
      </c>
      <c r="AI929" s="101">
        <f t="shared" si="173"/>
        <v>1000000</v>
      </c>
      <c r="AJ929" s="155">
        <v>2</v>
      </c>
      <c r="AK929" s="121">
        <f t="shared" si="177"/>
        <v>15</v>
      </c>
      <c r="AL929" s="152">
        <f t="shared" si="175"/>
        <v>403.95907400407469</v>
      </c>
    </row>
    <row r="930" spans="31:38" ht="15.75" hidden="1" thickBot="1">
      <c r="AE930" s="801"/>
      <c r="AF930" s="777"/>
      <c r="AH930" s="101">
        <f t="shared" si="176"/>
        <v>1000000</v>
      </c>
      <c r="AI930" s="101">
        <f t="shared" si="173"/>
        <v>1000000</v>
      </c>
      <c r="AJ930" s="155">
        <v>2</v>
      </c>
      <c r="AK930" s="121">
        <f t="shared" si="177"/>
        <v>16</v>
      </c>
      <c r="AL930" s="152">
        <f t="shared" si="175"/>
        <v>402.89889169504426</v>
      </c>
    </row>
    <row r="931" spans="31:38" ht="15.75" hidden="1" thickBot="1">
      <c r="AE931" s="801"/>
      <c r="AF931" s="777"/>
      <c r="AH931" s="101">
        <f t="shared" si="176"/>
        <v>1000000</v>
      </c>
      <c r="AI931" s="101">
        <f t="shared" si="173"/>
        <v>1000000</v>
      </c>
      <c r="AJ931" s="155">
        <v>2</v>
      </c>
      <c r="AK931" s="121">
        <f t="shared" si="177"/>
        <v>17</v>
      </c>
      <c r="AL931" s="152">
        <f t="shared" si="175"/>
        <v>401.83870938601382</v>
      </c>
    </row>
    <row r="932" spans="31:38" ht="15.75" hidden="1" thickBot="1">
      <c r="AE932" s="801"/>
      <c r="AF932" s="777"/>
      <c r="AH932" s="101">
        <f t="shared" si="176"/>
        <v>1000000</v>
      </c>
      <c r="AI932" s="101">
        <f t="shared" si="173"/>
        <v>1000000</v>
      </c>
      <c r="AJ932" s="155">
        <v>2</v>
      </c>
      <c r="AK932" s="121">
        <f t="shared" si="177"/>
        <v>18</v>
      </c>
      <c r="AL932" s="152">
        <f t="shared" si="175"/>
        <v>400.77852707698338</v>
      </c>
    </row>
    <row r="933" spans="31:38" ht="15.75" hidden="1" thickBot="1">
      <c r="AE933" s="801"/>
      <c r="AF933" s="777"/>
      <c r="AH933" s="101">
        <f t="shared" si="176"/>
        <v>1000000</v>
      </c>
      <c r="AI933" s="101">
        <f t="shared" si="173"/>
        <v>1000000</v>
      </c>
      <c r="AJ933" s="155">
        <v>2</v>
      </c>
      <c r="AK933" s="121">
        <f t="shared" si="177"/>
        <v>19</v>
      </c>
      <c r="AL933" s="152">
        <f t="shared" si="175"/>
        <v>399.71834476795294</v>
      </c>
    </row>
    <row r="934" spans="31:38" ht="15.75" hidden="1" thickBot="1">
      <c r="AE934" s="801"/>
      <c r="AF934" s="777"/>
      <c r="AH934" s="101">
        <f t="shared" si="176"/>
        <v>1000000</v>
      </c>
      <c r="AI934" s="101">
        <f t="shared" si="173"/>
        <v>1000000</v>
      </c>
      <c r="AJ934" s="155">
        <v>2</v>
      </c>
      <c r="AK934" s="121">
        <f t="shared" si="177"/>
        <v>20</v>
      </c>
      <c r="AL934" s="152">
        <f t="shared" si="175"/>
        <v>398.6581624589225</v>
      </c>
    </row>
    <row r="935" spans="31:38" ht="15.75" hidden="1" thickBot="1">
      <c r="AE935" s="801"/>
      <c r="AF935" s="777"/>
      <c r="AH935" s="101">
        <f t="shared" si="176"/>
        <v>1000000</v>
      </c>
      <c r="AI935" s="101">
        <f t="shared" si="173"/>
        <v>1000000</v>
      </c>
      <c r="AJ935" s="155">
        <v>2</v>
      </c>
      <c r="AK935" s="121">
        <f t="shared" si="177"/>
        <v>21</v>
      </c>
      <c r="AL935" s="152">
        <f t="shared" si="175"/>
        <v>397.59798014989207</v>
      </c>
    </row>
    <row r="936" spans="31:38" ht="15.75" hidden="1" thickBot="1">
      <c r="AE936" s="801"/>
      <c r="AF936" s="777"/>
      <c r="AH936" s="101">
        <f t="shared" si="176"/>
        <v>1000000</v>
      </c>
      <c r="AI936" s="101">
        <f t="shared" si="173"/>
        <v>1000000</v>
      </c>
      <c r="AJ936" s="155">
        <v>2</v>
      </c>
      <c r="AK936" s="121">
        <f t="shared" si="177"/>
        <v>22</v>
      </c>
      <c r="AL936" s="152">
        <f t="shared" si="175"/>
        <v>396.53779784086163</v>
      </c>
    </row>
    <row r="937" spans="31:38" ht="15.75" hidden="1" thickBot="1">
      <c r="AE937" s="801"/>
      <c r="AF937" s="777"/>
      <c r="AH937" s="101">
        <f t="shared" si="176"/>
        <v>1000000</v>
      </c>
      <c r="AI937" s="101">
        <f t="shared" si="173"/>
        <v>1000000</v>
      </c>
      <c r="AJ937" s="155">
        <v>2</v>
      </c>
      <c r="AK937" s="121">
        <f t="shared" si="177"/>
        <v>23</v>
      </c>
      <c r="AL937" s="152">
        <f t="shared" si="175"/>
        <v>395.47761553183119</v>
      </c>
    </row>
    <row r="938" spans="31:38" ht="15.75" hidden="1" thickBot="1">
      <c r="AE938" s="801"/>
      <c r="AF938" s="777"/>
      <c r="AH938" s="101">
        <f t="shared" si="176"/>
        <v>1000000</v>
      </c>
      <c r="AI938" s="101">
        <f t="shared" si="173"/>
        <v>1000000</v>
      </c>
      <c r="AJ938" s="155">
        <v>2</v>
      </c>
      <c r="AK938" s="121">
        <f t="shared" si="177"/>
        <v>24</v>
      </c>
      <c r="AL938" s="152">
        <f t="shared" si="175"/>
        <v>394.41743322280075</v>
      </c>
    </row>
    <row r="939" spans="31:38" ht="15.75" hidden="1" thickBot="1">
      <c r="AE939" s="801"/>
      <c r="AF939" s="777"/>
      <c r="AH939" s="101">
        <f t="shared" si="176"/>
        <v>1000000</v>
      </c>
      <c r="AI939" s="101">
        <f t="shared" si="173"/>
        <v>1000000</v>
      </c>
      <c r="AJ939" s="155">
        <v>2</v>
      </c>
      <c r="AK939" s="121">
        <f t="shared" si="177"/>
        <v>25</v>
      </c>
      <c r="AL939" s="152">
        <f t="shared" si="175"/>
        <v>393.35725091377032</v>
      </c>
    </row>
    <row r="940" spans="31:38" ht="15.75" hidden="1" thickBot="1">
      <c r="AE940" s="801"/>
      <c r="AF940" s="777"/>
      <c r="AH940" s="101">
        <f t="shared" si="176"/>
        <v>1000000</v>
      </c>
      <c r="AI940" s="101">
        <f t="shared" si="173"/>
        <v>1000000</v>
      </c>
      <c r="AJ940" s="155">
        <v>2</v>
      </c>
      <c r="AK940" s="121">
        <f t="shared" si="177"/>
        <v>26</v>
      </c>
      <c r="AL940" s="152">
        <f t="shared" si="175"/>
        <v>392.29706860473988</v>
      </c>
    </row>
    <row r="941" spans="31:38" ht="15.75" hidden="1" thickBot="1">
      <c r="AE941" s="801"/>
      <c r="AF941" s="777"/>
      <c r="AH941" s="101">
        <f t="shared" si="176"/>
        <v>1000000</v>
      </c>
      <c r="AI941" s="101">
        <f t="shared" ref="AI941:AI1004" si="178">IF(AL941&lt;$D$82,0,AH941)</f>
        <v>1000000</v>
      </c>
      <c r="AJ941" s="155">
        <v>2</v>
      </c>
      <c r="AK941" s="121">
        <f t="shared" si="177"/>
        <v>27</v>
      </c>
      <c r="AL941" s="152">
        <f t="shared" si="175"/>
        <v>391.23688629570944</v>
      </c>
    </row>
    <row r="942" spans="31:38" ht="15.75" hidden="1" thickBot="1">
      <c r="AE942" s="801"/>
      <c r="AF942" s="777"/>
      <c r="AH942" s="101">
        <f t="shared" si="176"/>
        <v>1000000</v>
      </c>
      <c r="AI942" s="101">
        <f t="shared" si="178"/>
        <v>1000000</v>
      </c>
      <c r="AJ942" s="155">
        <v>2</v>
      </c>
      <c r="AK942" s="121">
        <f t="shared" si="177"/>
        <v>28</v>
      </c>
      <c r="AL942" s="152">
        <f t="shared" si="175"/>
        <v>390.176703986679</v>
      </c>
    </row>
    <row r="943" spans="31:38" ht="15.75" hidden="1" thickBot="1">
      <c r="AE943" s="801"/>
      <c r="AF943" s="777"/>
      <c r="AH943" s="101">
        <f t="shared" si="176"/>
        <v>1000000</v>
      </c>
      <c r="AI943" s="101">
        <f t="shared" si="178"/>
        <v>1000000</v>
      </c>
      <c r="AJ943" s="155">
        <v>2</v>
      </c>
      <c r="AK943" s="121">
        <f t="shared" si="177"/>
        <v>29</v>
      </c>
      <c r="AL943" s="152">
        <f t="shared" si="175"/>
        <v>389.11652167764856</v>
      </c>
    </row>
    <row r="944" spans="31:38" ht="15.75" hidden="1" thickBot="1">
      <c r="AE944" s="801"/>
      <c r="AF944" s="777"/>
      <c r="AH944" s="101">
        <f t="shared" si="176"/>
        <v>1000000</v>
      </c>
      <c r="AI944" s="101">
        <f t="shared" si="178"/>
        <v>1000000</v>
      </c>
      <c r="AJ944" s="155">
        <v>2</v>
      </c>
      <c r="AK944" s="121">
        <f t="shared" si="177"/>
        <v>30</v>
      </c>
      <c r="AL944" s="152">
        <f t="shared" si="175"/>
        <v>388.05633936861813</v>
      </c>
    </row>
    <row r="945" spans="31:38" ht="15.75" hidden="1" thickBot="1">
      <c r="AE945" s="801"/>
      <c r="AF945" s="777"/>
      <c r="AH945" s="101">
        <f t="shared" si="176"/>
        <v>1000000</v>
      </c>
      <c r="AI945" s="101">
        <f t="shared" si="178"/>
        <v>1000000</v>
      </c>
      <c r="AJ945" s="155">
        <v>2</v>
      </c>
      <c r="AK945" s="121">
        <f t="shared" si="177"/>
        <v>31</v>
      </c>
      <c r="AL945" s="152">
        <f t="shared" si="175"/>
        <v>386.99615705958769</v>
      </c>
    </row>
    <row r="946" spans="31:38" ht="15.75" hidden="1" thickBot="1">
      <c r="AE946" s="801"/>
      <c r="AF946" s="777"/>
      <c r="AH946" s="101">
        <f t="shared" ref="AH946:AH977" si="179">AX135</f>
        <v>1000000</v>
      </c>
      <c r="AI946" s="101">
        <f t="shared" si="178"/>
        <v>1000000</v>
      </c>
      <c r="AJ946" s="155">
        <v>2</v>
      </c>
      <c r="AK946" s="121">
        <f t="shared" si="177"/>
        <v>32</v>
      </c>
      <c r="AL946" s="152">
        <f t="shared" ref="AL946:AL977" si="180">AA135</f>
        <v>385.93597475055725</v>
      </c>
    </row>
    <row r="947" spans="31:38" ht="15.75" hidden="1" thickBot="1">
      <c r="AE947" s="801"/>
      <c r="AF947" s="777"/>
      <c r="AH947" s="101">
        <f t="shared" si="179"/>
        <v>1000000</v>
      </c>
      <c r="AI947" s="101">
        <f t="shared" si="178"/>
        <v>1000000</v>
      </c>
      <c r="AJ947" s="155">
        <v>2</v>
      </c>
      <c r="AK947" s="121">
        <f t="shared" si="177"/>
        <v>33</v>
      </c>
      <c r="AL947" s="152">
        <f t="shared" si="180"/>
        <v>384.87579244152681</v>
      </c>
    </row>
    <row r="948" spans="31:38" ht="15.75" hidden="1" thickBot="1">
      <c r="AE948" s="801"/>
      <c r="AF948" s="777"/>
      <c r="AH948" s="101">
        <f t="shared" si="179"/>
        <v>1000000</v>
      </c>
      <c r="AI948" s="101">
        <f t="shared" si="178"/>
        <v>1000000</v>
      </c>
      <c r="AJ948" s="155">
        <v>2</v>
      </c>
      <c r="AK948" s="121">
        <f t="shared" si="177"/>
        <v>34</v>
      </c>
      <c r="AL948" s="152">
        <f t="shared" si="180"/>
        <v>383.81561013249637</v>
      </c>
    </row>
    <row r="949" spans="31:38" ht="15.75" hidden="1" thickBot="1">
      <c r="AE949" s="801"/>
      <c r="AF949" s="777"/>
      <c r="AH949" s="101">
        <f t="shared" si="179"/>
        <v>1000000</v>
      </c>
      <c r="AI949" s="101">
        <f t="shared" si="178"/>
        <v>1000000</v>
      </c>
      <c r="AJ949" s="155">
        <v>2</v>
      </c>
      <c r="AK949" s="121">
        <f t="shared" si="177"/>
        <v>35</v>
      </c>
      <c r="AL949" s="152">
        <f t="shared" si="180"/>
        <v>382.75542782346599</v>
      </c>
    </row>
    <row r="950" spans="31:38" ht="15.75" hidden="1" thickBot="1">
      <c r="AE950" s="801"/>
      <c r="AF950" s="777"/>
      <c r="AH950" s="101">
        <f t="shared" si="179"/>
        <v>1000000</v>
      </c>
      <c r="AI950" s="101">
        <f t="shared" si="178"/>
        <v>1000000</v>
      </c>
      <c r="AJ950" s="155">
        <v>2</v>
      </c>
      <c r="AK950" s="121">
        <f t="shared" si="177"/>
        <v>36</v>
      </c>
      <c r="AL950" s="152">
        <f t="shared" si="180"/>
        <v>381.69524551443556</v>
      </c>
    </row>
    <row r="951" spans="31:38" ht="15.75" hidden="1" thickBot="1">
      <c r="AE951" s="801"/>
      <c r="AF951" s="777"/>
      <c r="AH951" s="101">
        <f t="shared" si="179"/>
        <v>1000000</v>
      </c>
      <c r="AI951" s="101">
        <f t="shared" si="178"/>
        <v>1000000</v>
      </c>
      <c r="AJ951" s="155">
        <v>2</v>
      </c>
      <c r="AK951" s="121">
        <f t="shared" si="177"/>
        <v>37</v>
      </c>
      <c r="AL951" s="152">
        <f t="shared" si="180"/>
        <v>380.63506320540512</v>
      </c>
    </row>
    <row r="952" spans="31:38" ht="15.75" hidden="1" thickBot="1">
      <c r="AE952" s="801"/>
      <c r="AF952" s="777"/>
      <c r="AH952" s="101">
        <f t="shared" si="179"/>
        <v>1000000</v>
      </c>
      <c r="AI952" s="101">
        <f t="shared" si="178"/>
        <v>1000000</v>
      </c>
      <c r="AJ952" s="155">
        <v>2</v>
      </c>
      <c r="AK952" s="121">
        <f t="shared" si="177"/>
        <v>38</v>
      </c>
      <c r="AL952" s="152">
        <f t="shared" si="180"/>
        <v>379.57488089637468</v>
      </c>
    </row>
    <row r="953" spans="31:38" ht="15.75" hidden="1" thickBot="1">
      <c r="AE953" s="801"/>
      <c r="AF953" s="777"/>
      <c r="AH953" s="101">
        <f t="shared" si="179"/>
        <v>1000000</v>
      </c>
      <c r="AI953" s="101">
        <f t="shared" si="178"/>
        <v>1000000</v>
      </c>
      <c r="AJ953" s="155">
        <v>2</v>
      </c>
      <c r="AK953" s="121">
        <f t="shared" si="177"/>
        <v>39</v>
      </c>
      <c r="AL953" s="152">
        <f t="shared" si="180"/>
        <v>378.51469858734424</v>
      </c>
    </row>
    <row r="954" spans="31:38" ht="15.75" hidden="1" thickBot="1">
      <c r="AE954" s="801"/>
      <c r="AF954" s="777"/>
      <c r="AH954" s="101">
        <f t="shared" si="179"/>
        <v>1000000</v>
      </c>
      <c r="AI954" s="101">
        <f t="shared" si="178"/>
        <v>1000000</v>
      </c>
      <c r="AJ954" s="155">
        <v>2</v>
      </c>
      <c r="AK954" s="121">
        <f t="shared" si="177"/>
        <v>40</v>
      </c>
      <c r="AL954" s="152">
        <f t="shared" si="180"/>
        <v>377.4545162783138</v>
      </c>
    </row>
    <row r="955" spans="31:38" ht="15.75" hidden="1" thickBot="1">
      <c r="AE955" s="801"/>
      <c r="AF955" s="777"/>
      <c r="AH955" s="101">
        <f t="shared" si="179"/>
        <v>1000000</v>
      </c>
      <c r="AI955" s="101">
        <f t="shared" si="178"/>
        <v>1000000</v>
      </c>
      <c r="AJ955" s="155">
        <v>2</v>
      </c>
      <c r="AK955" s="121">
        <f t="shared" si="177"/>
        <v>41</v>
      </c>
      <c r="AL955" s="152">
        <f t="shared" si="180"/>
        <v>376.39433396928337</v>
      </c>
    </row>
    <row r="956" spans="31:38" ht="15.75" hidden="1" thickBot="1">
      <c r="AE956" s="801"/>
      <c r="AF956" s="777"/>
      <c r="AH956" s="101">
        <f t="shared" si="179"/>
        <v>1000000</v>
      </c>
      <c r="AI956" s="101">
        <f t="shared" si="178"/>
        <v>1000000</v>
      </c>
      <c r="AJ956" s="155">
        <v>2</v>
      </c>
      <c r="AK956" s="121">
        <f t="shared" si="177"/>
        <v>42</v>
      </c>
      <c r="AL956" s="152">
        <f t="shared" si="180"/>
        <v>375.33415166025293</v>
      </c>
    </row>
    <row r="957" spans="31:38" ht="15.75" hidden="1" thickBot="1">
      <c r="AE957" s="801"/>
      <c r="AF957" s="777"/>
      <c r="AH957" s="101">
        <f t="shared" si="179"/>
        <v>1000000</v>
      </c>
      <c r="AI957" s="101">
        <f t="shared" si="178"/>
        <v>1000000</v>
      </c>
      <c r="AJ957" s="155">
        <v>2</v>
      </c>
      <c r="AK957" s="121">
        <f t="shared" si="177"/>
        <v>43</v>
      </c>
      <c r="AL957" s="152">
        <f t="shared" si="180"/>
        <v>374.27396935122249</v>
      </c>
    </row>
    <row r="958" spans="31:38" ht="15.75" hidden="1" thickBot="1">
      <c r="AE958" s="801"/>
      <c r="AF958" s="777"/>
      <c r="AH958" s="101">
        <f t="shared" si="179"/>
        <v>1000000</v>
      </c>
      <c r="AI958" s="101">
        <f t="shared" si="178"/>
        <v>1000000</v>
      </c>
      <c r="AJ958" s="155">
        <v>2</v>
      </c>
      <c r="AK958" s="121">
        <f t="shared" si="177"/>
        <v>44</v>
      </c>
      <c r="AL958" s="152">
        <f t="shared" si="180"/>
        <v>373.21378704219205</v>
      </c>
    </row>
    <row r="959" spans="31:38" ht="15.75" hidden="1" thickBot="1">
      <c r="AE959" s="801"/>
      <c r="AF959" s="777"/>
      <c r="AH959" s="101">
        <f t="shared" si="179"/>
        <v>1000000</v>
      </c>
      <c r="AI959" s="101">
        <f t="shared" si="178"/>
        <v>1000000</v>
      </c>
      <c r="AJ959" s="155">
        <v>2</v>
      </c>
      <c r="AK959" s="121">
        <f t="shared" si="177"/>
        <v>45</v>
      </c>
      <c r="AL959" s="152">
        <f t="shared" si="180"/>
        <v>372.15360473316161</v>
      </c>
    </row>
    <row r="960" spans="31:38" ht="15.75" hidden="1" thickBot="1">
      <c r="AE960" s="801"/>
      <c r="AF960" s="777"/>
      <c r="AH960" s="101">
        <f t="shared" si="179"/>
        <v>1000000</v>
      </c>
      <c r="AI960" s="101">
        <f t="shared" si="178"/>
        <v>1000000</v>
      </c>
      <c r="AJ960" s="155">
        <v>2</v>
      </c>
      <c r="AK960" s="121">
        <f t="shared" si="177"/>
        <v>46</v>
      </c>
      <c r="AL960" s="152">
        <f t="shared" si="180"/>
        <v>371.09342242413118</v>
      </c>
    </row>
    <row r="961" spans="31:38" ht="15.75" hidden="1" thickBot="1">
      <c r="AE961" s="801"/>
      <c r="AF961" s="777"/>
      <c r="AH961" s="101">
        <f t="shared" si="179"/>
        <v>1000000</v>
      </c>
      <c r="AI961" s="101">
        <f t="shared" si="178"/>
        <v>1000000</v>
      </c>
      <c r="AJ961" s="155">
        <v>2</v>
      </c>
      <c r="AK961" s="121">
        <f t="shared" si="177"/>
        <v>47</v>
      </c>
      <c r="AL961" s="152">
        <f t="shared" si="180"/>
        <v>370.03324011510074</v>
      </c>
    </row>
    <row r="962" spans="31:38" ht="15.75" hidden="1" thickBot="1">
      <c r="AE962" s="801"/>
      <c r="AF962" s="777"/>
      <c r="AH962" s="101">
        <f t="shared" si="179"/>
        <v>1000000</v>
      </c>
      <c r="AI962" s="101">
        <f t="shared" si="178"/>
        <v>1000000</v>
      </c>
      <c r="AJ962" s="155">
        <v>2</v>
      </c>
      <c r="AK962" s="121">
        <f t="shared" si="177"/>
        <v>48</v>
      </c>
      <c r="AL962" s="152">
        <f t="shared" si="180"/>
        <v>368.9730578060703</v>
      </c>
    </row>
    <row r="963" spans="31:38" ht="15.75" hidden="1" thickBot="1">
      <c r="AE963" s="801"/>
      <c r="AF963" s="777"/>
      <c r="AH963" s="101">
        <f t="shared" si="179"/>
        <v>1000000</v>
      </c>
      <c r="AI963" s="101">
        <f t="shared" si="178"/>
        <v>1000000</v>
      </c>
      <c r="AJ963" s="155">
        <v>2</v>
      </c>
      <c r="AK963" s="121">
        <f t="shared" si="177"/>
        <v>49</v>
      </c>
      <c r="AL963" s="152">
        <f t="shared" si="180"/>
        <v>367.91287549703986</v>
      </c>
    </row>
    <row r="964" spans="31:38" ht="15.75" hidden="1" thickBot="1">
      <c r="AE964" s="801"/>
      <c r="AF964" s="777"/>
      <c r="AH964" s="101">
        <f t="shared" si="179"/>
        <v>1000000</v>
      </c>
      <c r="AI964" s="101">
        <f t="shared" si="178"/>
        <v>1000000</v>
      </c>
      <c r="AJ964" s="155">
        <v>2</v>
      </c>
      <c r="AK964" s="121">
        <f t="shared" si="177"/>
        <v>50</v>
      </c>
      <c r="AL964" s="152">
        <f t="shared" si="180"/>
        <v>366.85269318800943</v>
      </c>
    </row>
    <row r="965" spans="31:38" ht="15.75" hidden="1" thickBot="1">
      <c r="AE965" s="801"/>
      <c r="AF965" s="777"/>
      <c r="AH965" s="101">
        <f t="shared" si="179"/>
        <v>1000000</v>
      </c>
      <c r="AI965" s="101">
        <f t="shared" si="178"/>
        <v>1000000</v>
      </c>
      <c r="AJ965" s="155">
        <v>2</v>
      </c>
      <c r="AK965" s="121">
        <f t="shared" si="177"/>
        <v>51</v>
      </c>
      <c r="AL965" s="152">
        <f t="shared" si="180"/>
        <v>365.79251087897899</v>
      </c>
    </row>
    <row r="966" spans="31:38" ht="15.75" hidden="1" thickBot="1">
      <c r="AE966" s="801"/>
      <c r="AF966" s="777"/>
      <c r="AH966" s="101">
        <f t="shared" si="179"/>
        <v>1000000</v>
      </c>
      <c r="AI966" s="101">
        <f t="shared" si="178"/>
        <v>1000000</v>
      </c>
      <c r="AJ966" s="155">
        <v>2</v>
      </c>
      <c r="AK966" s="121">
        <f t="shared" si="177"/>
        <v>52</v>
      </c>
      <c r="AL966" s="152">
        <f t="shared" si="180"/>
        <v>364.73232856994855</v>
      </c>
    </row>
    <row r="967" spans="31:38" ht="15.75" hidden="1" thickBot="1">
      <c r="AE967" s="801"/>
      <c r="AF967" s="777"/>
      <c r="AH967" s="101">
        <f t="shared" si="179"/>
        <v>1000000</v>
      </c>
      <c r="AI967" s="101">
        <f t="shared" si="178"/>
        <v>1000000</v>
      </c>
      <c r="AJ967" s="155">
        <v>2</v>
      </c>
      <c r="AK967" s="121">
        <f t="shared" si="177"/>
        <v>53</v>
      </c>
      <c r="AL967" s="152">
        <f t="shared" si="180"/>
        <v>363.67214626091811</v>
      </c>
    </row>
    <row r="968" spans="31:38" ht="15.75" hidden="1" thickBot="1">
      <c r="AE968" s="801"/>
      <c r="AF968" s="777"/>
      <c r="AH968" s="101">
        <f t="shared" si="179"/>
        <v>1000000</v>
      </c>
      <c r="AI968" s="101">
        <f t="shared" si="178"/>
        <v>1000000</v>
      </c>
      <c r="AJ968" s="155">
        <v>2</v>
      </c>
      <c r="AK968" s="121">
        <f t="shared" si="177"/>
        <v>54</v>
      </c>
      <c r="AL968" s="152">
        <f t="shared" si="180"/>
        <v>362.61196395188767</v>
      </c>
    </row>
    <row r="969" spans="31:38" ht="15.75" hidden="1" thickBot="1">
      <c r="AE969" s="801"/>
      <c r="AF969" s="777"/>
      <c r="AH969" s="101">
        <f t="shared" si="179"/>
        <v>1000000</v>
      </c>
      <c r="AI969" s="101">
        <f t="shared" si="178"/>
        <v>1000000</v>
      </c>
      <c r="AJ969" s="155">
        <v>2</v>
      </c>
      <c r="AK969" s="121">
        <f t="shared" si="177"/>
        <v>55</v>
      </c>
      <c r="AL969" s="152">
        <f t="shared" si="180"/>
        <v>361.55178164285724</v>
      </c>
    </row>
    <row r="970" spans="31:38" ht="15.75" hidden="1" thickBot="1">
      <c r="AE970" s="801"/>
      <c r="AF970" s="777"/>
      <c r="AH970" s="101">
        <f t="shared" si="179"/>
        <v>1000000</v>
      </c>
      <c r="AI970" s="101">
        <f t="shared" si="178"/>
        <v>1000000</v>
      </c>
      <c r="AJ970" s="155">
        <v>2</v>
      </c>
      <c r="AK970" s="121">
        <f t="shared" si="177"/>
        <v>56</v>
      </c>
      <c r="AL970" s="152">
        <f t="shared" si="180"/>
        <v>360.4915993338268</v>
      </c>
    </row>
    <row r="971" spans="31:38" ht="15.75" hidden="1" thickBot="1">
      <c r="AE971" s="801"/>
      <c r="AF971" s="777"/>
      <c r="AH971" s="101">
        <f t="shared" si="179"/>
        <v>1000000</v>
      </c>
      <c r="AI971" s="101">
        <f t="shared" si="178"/>
        <v>1000000</v>
      </c>
      <c r="AJ971" s="155">
        <v>2</v>
      </c>
      <c r="AK971" s="121">
        <f t="shared" si="177"/>
        <v>57</v>
      </c>
      <c r="AL971" s="152">
        <f t="shared" si="180"/>
        <v>359.43141702479636</v>
      </c>
    </row>
    <row r="972" spans="31:38" ht="15.75" hidden="1" thickBot="1">
      <c r="AE972" s="801"/>
      <c r="AF972" s="777"/>
      <c r="AH972" s="101">
        <f t="shared" si="179"/>
        <v>1000000</v>
      </c>
      <c r="AI972" s="101">
        <f t="shared" si="178"/>
        <v>1000000</v>
      </c>
      <c r="AJ972" s="155">
        <v>2</v>
      </c>
      <c r="AK972" s="121">
        <f t="shared" si="177"/>
        <v>58</v>
      </c>
      <c r="AL972" s="152">
        <f t="shared" si="180"/>
        <v>358.37123471576592</v>
      </c>
    </row>
    <row r="973" spans="31:38" ht="15.75" hidden="1" thickBot="1">
      <c r="AE973" s="801"/>
      <c r="AF973" s="777"/>
      <c r="AH973" s="101">
        <f t="shared" si="179"/>
        <v>1000000</v>
      </c>
      <c r="AI973" s="101">
        <f t="shared" si="178"/>
        <v>1000000</v>
      </c>
      <c r="AJ973" s="155">
        <v>2</v>
      </c>
      <c r="AK973" s="121">
        <f t="shared" si="177"/>
        <v>59</v>
      </c>
      <c r="AL973" s="152">
        <f t="shared" si="180"/>
        <v>357.31105240673548</v>
      </c>
    </row>
    <row r="974" spans="31:38" ht="15.75" hidden="1" thickBot="1">
      <c r="AE974" s="801"/>
      <c r="AF974" s="777"/>
      <c r="AH974" s="101">
        <f t="shared" si="179"/>
        <v>1000000</v>
      </c>
      <c r="AI974" s="101">
        <f t="shared" si="178"/>
        <v>1000000</v>
      </c>
      <c r="AJ974" s="155">
        <v>2</v>
      </c>
      <c r="AK974" s="121">
        <f t="shared" si="177"/>
        <v>60</v>
      </c>
      <c r="AL974" s="152">
        <f t="shared" si="180"/>
        <v>356.25087009770505</v>
      </c>
    </row>
    <row r="975" spans="31:38" ht="15.75" hidden="1" thickBot="1">
      <c r="AE975" s="801"/>
      <c r="AF975" s="777"/>
      <c r="AH975" s="101">
        <f t="shared" si="179"/>
        <v>1000000</v>
      </c>
      <c r="AI975" s="101">
        <f t="shared" si="178"/>
        <v>1000000</v>
      </c>
      <c r="AJ975" s="155">
        <v>2</v>
      </c>
      <c r="AK975" s="121">
        <f t="shared" si="177"/>
        <v>61</v>
      </c>
      <c r="AL975" s="152">
        <f t="shared" si="180"/>
        <v>355.19068778867461</v>
      </c>
    </row>
    <row r="976" spans="31:38" ht="15.75" hidden="1" thickBot="1">
      <c r="AE976" s="801"/>
      <c r="AF976" s="777"/>
      <c r="AH976" s="101">
        <f t="shared" si="179"/>
        <v>1000000</v>
      </c>
      <c r="AI976" s="101">
        <f t="shared" si="178"/>
        <v>0</v>
      </c>
      <c r="AJ976" s="155">
        <v>2</v>
      </c>
      <c r="AK976" s="121">
        <f t="shared" si="177"/>
        <v>62</v>
      </c>
      <c r="AL976" s="152">
        <f t="shared" si="180"/>
        <v>354.13050547964417</v>
      </c>
    </row>
    <row r="977" spans="31:38" ht="15.75" hidden="1" thickBot="1">
      <c r="AE977" s="801"/>
      <c r="AF977" s="777"/>
      <c r="AH977" s="101">
        <f t="shared" si="179"/>
        <v>1000000</v>
      </c>
      <c r="AI977" s="101">
        <f t="shared" si="178"/>
        <v>0</v>
      </c>
      <c r="AJ977" s="155">
        <v>2</v>
      </c>
      <c r="AK977" s="121">
        <f t="shared" si="177"/>
        <v>63</v>
      </c>
      <c r="AL977" s="152">
        <f t="shared" si="180"/>
        <v>353.07032317061379</v>
      </c>
    </row>
    <row r="978" spans="31:38" ht="15.75" hidden="1" thickBot="1">
      <c r="AE978" s="801"/>
      <c r="AF978" s="777"/>
      <c r="AH978" s="101">
        <f t="shared" ref="AH978:AH1009" si="181">AX167</f>
        <v>1000000</v>
      </c>
      <c r="AI978" s="101">
        <f t="shared" si="178"/>
        <v>0</v>
      </c>
      <c r="AJ978" s="155">
        <v>2</v>
      </c>
      <c r="AK978" s="121">
        <f t="shared" si="177"/>
        <v>64</v>
      </c>
      <c r="AL978" s="152">
        <f t="shared" ref="AL978:AL1009" si="182">AA167</f>
        <v>352.0101408615833</v>
      </c>
    </row>
    <row r="979" spans="31:38" ht="15.75" hidden="1" thickBot="1">
      <c r="AE979" s="801"/>
      <c r="AF979" s="777"/>
      <c r="AH979" s="101">
        <f t="shared" si="181"/>
        <v>1000000</v>
      </c>
      <c r="AI979" s="101">
        <f t="shared" si="178"/>
        <v>0</v>
      </c>
      <c r="AJ979" s="155">
        <v>2</v>
      </c>
      <c r="AK979" s="121">
        <f t="shared" ref="AK979:AK1014" si="183">AK978+1</f>
        <v>65</v>
      </c>
      <c r="AL979" s="152">
        <f t="shared" si="182"/>
        <v>350.94995855255286</v>
      </c>
    </row>
    <row r="980" spans="31:38" ht="15.75" hidden="1" thickBot="1">
      <c r="AE980" s="801"/>
      <c r="AF980" s="777"/>
      <c r="AH980" s="101">
        <f t="shared" si="181"/>
        <v>1000000</v>
      </c>
      <c r="AI980" s="101">
        <f t="shared" si="178"/>
        <v>0</v>
      </c>
      <c r="AJ980" s="155">
        <v>2</v>
      </c>
      <c r="AK980" s="121">
        <f t="shared" si="183"/>
        <v>66</v>
      </c>
      <c r="AL980" s="152">
        <f t="shared" si="182"/>
        <v>349.88977624352248</v>
      </c>
    </row>
    <row r="981" spans="31:38" ht="15.75" hidden="1" thickBot="1">
      <c r="AE981" s="801"/>
      <c r="AF981" s="777"/>
      <c r="AH981" s="101">
        <f t="shared" si="181"/>
        <v>1000000</v>
      </c>
      <c r="AI981" s="101">
        <f t="shared" si="178"/>
        <v>0</v>
      </c>
      <c r="AJ981" s="155">
        <v>2</v>
      </c>
      <c r="AK981" s="121">
        <f t="shared" si="183"/>
        <v>67</v>
      </c>
      <c r="AL981" s="152">
        <f t="shared" si="182"/>
        <v>348.82959393449204</v>
      </c>
    </row>
    <row r="982" spans="31:38" ht="15.75" hidden="1" thickBot="1">
      <c r="AE982" s="801"/>
      <c r="AF982" s="777"/>
      <c r="AH982" s="101">
        <f t="shared" si="181"/>
        <v>1000000</v>
      </c>
      <c r="AI982" s="101">
        <f t="shared" si="178"/>
        <v>0</v>
      </c>
      <c r="AJ982" s="155">
        <v>2</v>
      </c>
      <c r="AK982" s="121">
        <f t="shared" si="183"/>
        <v>68</v>
      </c>
      <c r="AL982" s="152">
        <f t="shared" si="182"/>
        <v>347.76941162546154</v>
      </c>
    </row>
    <row r="983" spans="31:38" ht="15.75" hidden="1" thickBot="1">
      <c r="AE983" s="801"/>
      <c r="AF983" s="777"/>
      <c r="AH983" s="101">
        <f t="shared" si="181"/>
        <v>1000000</v>
      </c>
      <c r="AI983" s="101">
        <f t="shared" si="178"/>
        <v>0</v>
      </c>
      <c r="AJ983" s="155">
        <v>2</v>
      </c>
      <c r="AK983" s="121">
        <f t="shared" si="183"/>
        <v>69</v>
      </c>
      <c r="AL983" s="152">
        <f t="shared" si="182"/>
        <v>346.70922931643116</v>
      </c>
    </row>
    <row r="984" spans="31:38" ht="15.75" hidden="1" thickBot="1">
      <c r="AE984" s="801"/>
      <c r="AF984" s="777"/>
      <c r="AH984" s="101">
        <f t="shared" si="181"/>
        <v>1000000</v>
      </c>
      <c r="AI984" s="101">
        <f t="shared" si="178"/>
        <v>0</v>
      </c>
      <c r="AJ984" s="155">
        <v>2</v>
      </c>
      <c r="AK984" s="121">
        <f t="shared" si="183"/>
        <v>70</v>
      </c>
      <c r="AL984" s="152">
        <f t="shared" si="182"/>
        <v>345.64904700740067</v>
      </c>
    </row>
    <row r="985" spans="31:38" ht="15.75" hidden="1" thickBot="1">
      <c r="AE985" s="801"/>
      <c r="AF985" s="777"/>
      <c r="AH985" s="101">
        <f t="shared" si="181"/>
        <v>1000000</v>
      </c>
      <c r="AI985" s="101">
        <f t="shared" si="178"/>
        <v>0</v>
      </c>
      <c r="AJ985" s="155">
        <v>2</v>
      </c>
      <c r="AK985" s="121">
        <f t="shared" si="183"/>
        <v>71</v>
      </c>
      <c r="AL985" s="152">
        <f t="shared" si="182"/>
        <v>344.58886469837029</v>
      </c>
    </row>
    <row r="986" spans="31:38" ht="15.75" hidden="1" thickBot="1">
      <c r="AE986" s="801"/>
      <c r="AF986" s="777"/>
      <c r="AH986" s="101">
        <f t="shared" si="181"/>
        <v>1000000</v>
      </c>
      <c r="AI986" s="101">
        <f t="shared" si="178"/>
        <v>0</v>
      </c>
      <c r="AJ986" s="155">
        <v>2</v>
      </c>
      <c r="AK986" s="121">
        <f t="shared" si="183"/>
        <v>72</v>
      </c>
      <c r="AL986" s="152">
        <f t="shared" si="182"/>
        <v>343.52868238933985</v>
      </c>
    </row>
    <row r="987" spans="31:38" ht="15.75" hidden="1" thickBot="1">
      <c r="AE987" s="801"/>
      <c r="AF987" s="777"/>
      <c r="AH987" s="101">
        <f t="shared" si="181"/>
        <v>1000000</v>
      </c>
      <c r="AI987" s="101">
        <f t="shared" si="178"/>
        <v>0</v>
      </c>
      <c r="AJ987" s="155">
        <v>2</v>
      </c>
      <c r="AK987" s="121">
        <f t="shared" si="183"/>
        <v>73</v>
      </c>
      <c r="AL987" s="152">
        <f t="shared" si="182"/>
        <v>342.46850008030941</v>
      </c>
    </row>
    <row r="988" spans="31:38" ht="15.75" hidden="1" thickBot="1">
      <c r="AE988" s="801"/>
      <c r="AF988" s="777"/>
      <c r="AH988" s="101">
        <f t="shared" si="181"/>
        <v>1000000</v>
      </c>
      <c r="AI988" s="101">
        <f t="shared" si="178"/>
        <v>0</v>
      </c>
      <c r="AJ988" s="155">
        <v>2</v>
      </c>
      <c r="AK988" s="121">
        <f t="shared" si="183"/>
        <v>74</v>
      </c>
      <c r="AL988" s="152">
        <f t="shared" si="182"/>
        <v>341.40831777127892</v>
      </c>
    </row>
    <row r="989" spans="31:38" ht="15.75" hidden="1" thickBot="1">
      <c r="AE989" s="801"/>
      <c r="AF989" s="777"/>
      <c r="AH989" s="101">
        <f t="shared" si="181"/>
        <v>1000000</v>
      </c>
      <c r="AI989" s="101">
        <f t="shared" si="178"/>
        <v>0</v>
      </c>
      <c r="AJ989" s="155">
        <v>2</v>
      </c>
      <c r="AK989" s="121">
        <f t="shared" si="183"/>
        <v>75</v>
      </c>
      <c r="AL989" s="152">
        <f t="shared" si="182"/>
        <v>340.34813546224854</v>
      </c>
    </row>
    <row r="990" spans="31:38" ht="15.75" hidden="1" thickBot="1">
      <c r="AE990" s="801"/>
      <c r="AF990" s="777"/>
      <c r="AH990" s="101">
        <f t="shared" si="181"/>
        <v>1000000</v>
      </c>
      <c r="AI990" s="101">
        <f t="shared" si="178"/>
        <v>0</v>
      </c>
      <c r="AJ990" s="155">
        <v>2</v>
      </c>
      <c r="AK990" s="121">
        <f t="shared" si="183"/>
        <v>76</v>
      </c>
      <c r="AL990" s="152">
        <f t="shared" si="182"/>
        <v>339.28795315321815</v>
      </c>
    </row>
    <row r="991" spans="31:38" ht="15.75" hidden="1" thickBot="1">
      <c r="AE991" s="801"/>
      <c r="AF991" s="777"/>
      <c r="AH991" s="101">
        <f t="shared" si="181"/>
        <v>1000000</v>
      </c>
      <c r="AI991" s="101">
        <f t="shared" si="178"/>
        <v>0</v>
      </c>
      <c r="AJ991" s="155">
        <v>2</v>
      </c>
      <c r="AK991" s="121">
        <f t="shared" si="183"/>
        <v>77</v>
      </c>
      <c r="AL991" s="152">
        <f t="shared" si="182"/>
        <v>338.22777084418772</v>
      </c>
    </row>
    <row r="992" spans="31:38" ht="15.75" hidden="1" thickBot="1">
      <c r="AE992" s="801"/>
      <c r="AF992" s="777"/>
      <c r="AH992" s="101">
        <f t="shared" si="181"/>
        <v>1000000</v>
      </c>
      <c r="AI992" s="101">
        <f t="shared" si="178"/>
        <v>0</v>
      </c>
      <c r="AJ992" s="155">
        <v>2</v>
      </c>
      <c r="AK992" s="121">
        <f t="shared" si="183"/>
        <v>78</v>
      </c>
      <c r="AL992" s="152">
        <f t="shared" si="182"/>
        <v>337.16758853515722</v>
      </c>
    </row>
    <row r="993" spans="31:38" ht="15.75" hidden="1" thickBot="1">
      <c r="AE993" s="801"/>
      <c r="AF993" s="777"/>
      <c r="AH993" s="101">
        <f t="shared" si="181"/>
        <v>1000000</v>
      </c>
      <c r="AI993" s="101">
        <f t="shared" si="178"/>
        <v>0</v>
      </c>
      <c r="AJ993" s="155">
        <v>2</v>
      </c>
      <c r="AK993" s="121">
        <f t="shared" si="183"/>
        <v>79</v>
      </c>
      <c r="AL993" s="152">
        <f t="shared" si="182"/>
        <v>336.10740622612678</v>
      </c>
    </row>
    <row r="994" spans="31:38" ht="15.75" hidden="1" thickBot="1">
      <c r="AE994" s="801"/>
      <c r="AF994" s="777"/>
      <c r="AH994" s="101">
        <f t="shared" si="181"/>
        <v>1000000</v>
      </c>
      <c r="AI994" s="101">
        <f t="shared" si="178"/>
        <v>0</v>
      </c>
      <c r="AJ994" s="155">
        <v>2</v>
      </c>
      <c r="AK994" s="121">
        <f t="shared" si="183"/>
        <v>80</v>
      </c>
      <c r="AL994" s="152">
        <f t="shared" si="182"/>
        <v>335.0472239170964</v>
      </c>
    </row>
    <row r="995" spans="31:38" ht="15.75" hidden="1" thickBot="1">
      <c r="AE995" s="801"/>
      <c r="AF995" s="777"/>
      <c r="AH995" s="101">
        <f t="shared" si="181"/>
        <v>1000000</v>
      </c>
      <c r="AI995" s="101">
        <f t="shared" si="178"/>
        <v>0</v>
      </c>
      <c r="AJ995" s="155">
        <v>2</v>
      </c>
      <c r="AK995" s="121">
        <f t="shared" si="183"/>
        <v>81</v>
      </c>
      <c r="AL995" s="152">
        <f t="shared" si="182"/>
        <v>333.98704160806597</v>
      </c>
    </row>
    <row r="996" spans="31:38" ht="15.75" hidden="1" thickBot="1">
      <c r="AE996" s="801"/>
      <c r="AF996" s="777"/>
      <c r="AH996" s="101">
        <f t="shared" si="181"/>
        <v>1000000</v>
      </c>
      <c r="AI996" s="101">
        <f t="shared" si="178"/>
        <v>0</v>
      </c>
      <c r="AJ996" s="155">
        <v>2</v>
      </c>
      <c r="AK996" s="121">
        <f t="shared" si="183"/>
        <v>82</v>
      </c>
      <c r="AL996" s="152">
        <f t="shared" si="182"/>
        <v>332.92685929903553</v>
      </c>
    </row>
    <row r="997" spans="31:38" ht="15.75" hidden="1" thickBot="1">
      <c r="AE997" s="801"/>
      <c r="AF997" s="777"/>
      <c r="AH997" s="101">
        <f t="shared" si="181"/>
        <v>1000000</v>
      </c>
      <c r="AI997" s="101">
        <f t="shared" si="178"/>
        <v>0</v>
      </c>
      <c r="AJ997" s="155">
        <v>2</v>
      </c>
      <c r="AK997" s="121">
        <f t="shared" si="183"/>
        <v>83</v>
      </c>
      <c r="AL997" s="152">
        <f t="shared" si="182"/>
        <v>331.86667699000509</v>
      </c>
    </row>
    <row r="998" spans="31:38" ht="15.75" hidden="1" thickBot="1">
      <c r="AE998" s="801"/>
      <c r="AF998" s="777"/>
      <c r="AH998" s="101">
        <f t="shared" si="181"/>
        <v>1000000</v>
      </c>
      <c r="AI998" s="101">
        <f t="shared" si="178"/>
        <v>0</v>
      </c>
      <c r="AJ998" s="155">
        <v>2</v>
      </c>
      <c r="AK998" s="121">
        <f t="shared" si="183"/>
        <v>84</v>
      </c>
      <c r="AL998" s="152">
        <f t="shared" si="182"/>
        <v>330.80649468097459</v>
      </c>
    </row>
    <row r="999" spans="31:38" ht="15.75" hidden="1" thickBot="1">
      <c r="AE999" s="801"/>
      <c r="AF999" s="777"/>
      <c r="AH999" s="101">
        <f t="shared" si="181"/>
        <v>1000000</v>
      </c>
      <c r="AI999" s="101">
        <f t="shared" si="178"/>
        <v>0</v>
      </c>
      <c r="AJ999" s="155">
        <v>2</v>
      </c>
      <c r="AK999" s="121">
        <f t="shared" si="183"/>
        <v>85</v>
      </c>
      <c r="AL999" s="152">
        <f t="shared" si="182"/>
        <v>329.74631237194416</v>
      </c>
    </row>
    <row r="1000" spans="31:38" ht="15.75" hidden="1" thickBot="1">
      <c r="AE1000" s="801"/>
      <c r="AF1000" s="777"/>
      <c r="AH1000" s="101">
        <f t="shared" si="181"/>
        <v>1000000</v>
      </c>
      <c r="AI1000" s="101">
        <f t="shared" si="178"/>
        <v>0</v>
      </c>
      <c r="AJ1000" s="155">
        <v>2</v>
      </c>
      <c r="AK1000" s="121">
        <f t="shared" si="183"/>
        <v>86</v>
      </c>
      <c r="AL1000" s="152">
        <f t="shared" si="182"/>
        <v>328.68613006291378</v>
      </c>
    </row>
    <row r="1001" spans="31:38" ht="15.75" hidden="1" thickBot="1">
      <c r="AE1001" s="801"/>
      <c r="AF1001" s="777"/>
      <c r="AH1001" s="101">
        <f t="shared" si="181"/>
        <v>1000000</v>
      </c>
      <c r="AI1001" s="101">
        <f t="shared" si="178"/>
        <v>0</v>
      </c>
      <c r="AJ1001" s="155">
        <v>2</v>
      </c>
      <c r="AK1001" s="121">
        <f t="shared" si="183"/>
        <v>87</v>
      </c>
      <c r="AL1001" s="152">
        <f t="shared" si="182"/>
        <v>327.62594775388334</v>
      </c>
    </row>
    <row r="1002" spans="31:38" ht="15.75" hidden="1" thickBot="1">
      <c r="AE1002" s="801"/>
      <c r="AF1002" s="777"/>
      <c r="AH1002" s="101">
        <f t="shared" si="181"/>
        <v>1000000</v>
      </c>
      <c r="AI1002" s="101">
        <f t="shared" si="178"/>
        <v>0</v>
      </c>
      <c r="AJ1002" s="155">
        <v>2</v>
      </c>
      <c r="AK1002" s="121">
        <f t="shared" si="183"/>
        <v>88</v>
      </c>
      <c r="AL1002" s="152">
        <f t="shared" si="182"/>
        <v>326.5657654448529</v>
      </c>
    </row>
    <row r="1003" spans="31:38" ht="15.75" hidden="1" thickBot="1">
      <c r="AE1003" s="801"/>
      <c r="AF1003" s="777"/>
      <c r="AH1003" s="101">
        <f t="shared" si="181"/>
        <v>1000000</v>
      </c>
      <c r="AI1003" s="101">
        <f t="shared" si="178"/>
        <v>0</v>
      </c>
      <c r="AJ1003" s="155">
        <v>2</v>
      </c>
      <c r="AK1003" s="121">
        <f t="shared" si="183"/>
        <v>89</v>
      </c>
      <c r="AL1003" s="152">
        <f t="shared" si="182"/>
        <v>325.50558313582246</v>
      </c>
    </row>
    <row r="1004" spans="31:38" ht="15.75" hidden="1" thickBot="1">
      <c r="AE1004" s="801"/>
      <c r="AF1004" s="777"/>
      <c r="AH1004" s="101">
        <f t="shared" si="181"/>
        <v>1000000</v>
      </c>
      <c r="AI1004" s="101">
        <f t="shared" si="178"/>
        <v>0</v>
      </c>
      <c r="AJ1004" s="155">
        <v>2</v>
      </c>
      <c r="AK1004" s="121">
        <f t="shared" si="183"/>
        <v>90</v>
      </c>
      <c r="AL1004" s="152">
        <f t="shared" si="182"/>
        <v>324.44540082679202</v>
      </c>
    </row>
    <row r="1005" spans="31:38" ht="15.75" hidden="1" thickBot="1">
      <c r="AE1005" s="801"/>
      <c r="AF1005" s="777"/>
      <c r="AH1005" s="101">
        <f t="shared" si="181"/>
        <v>1000000</v>
      </c>
      <c r="AI1005" s="101">
        <f t="shared" ref="AI1005:AI1068" si="184">IF(AL1005&lt;$D$82,0,AH1005)</f>
        <v>0</v>
      </c>
      <c r="AJ1005" s="155">
        <v>2</v>
      </c>
      <c r="AK1005" s="121">
        <f t="shared" si="183"/>
        <v>91</v>
      </c>
      <c r="AL1005" s="152">
        <f t="shared" si="182"/>
        <v>323.38521851776159</v>
      </c>
    </row>
    <row r="1006" spans="31:38" ht="15.75" hidden="1" thickBot="1">
      <c r="AE1006" s="801"/>
      <c r="AF1006" s="777"/>
      <c r="AH1006" s="101">
        <f t="shared" si="181"/>
        <v>1000000</v>
      </c>
      <c r="AI1006" s="101">
        <f t="shared" si="184"/>
        <v>0</v>
      </c>
      <c r="AJ1006" s="155">
        <v>2</v>
      </c>
      <c r="AK1006" s="121">
        <f t="shared" si="183"/>
        <v>92</v>
      </c>
      <c r="AL1006" s="152">
        <f t="shared" si="182"/>
        <v>322.32503620873115</v>
      </c>
    </row>
    <row r="1007" spans="31:38" ht="15.75" hidden="1" thickBot="1">
      <c r="AE1007" s="801"/>
      <c r="AF1007" s="777"/>
      <c r="AH1007" s="101">
        <f t="shared" si="181"/>
        <v>1000000</v>
      </c>
      <c r="AI1007" s="101">
        <f t="shared" si="184"/>
        <v>0</v>
      </c>
      <c r="AJ1007" s="155">
        <v>2</v>
      </c>
      <c r="AK1007" s="121">
        <f t="shared" si="183"/>
        <v>93</v>
      </c>
      <c r="AL1007" s="152">
        <f t="shared" si="182"/>
        <v>321.26485389970077</v>
      </c>
    </row>
    <row r="1008" spans="31:38" ht="15.75" hidden="1" thickBot="1">
      <c r="AE1008" s="801"/>
      <c r="AF1008" s="777"/>
      <c r="AH1008" s="101">
        <f t="shared" si="181"/>
        <v>1000000</v>
      </c>
      <c r="AI1008" s="101">
        <f t="shared" si="184"/>
        <v>0</v>
      </c>
      <c r="AJ1008" s="155">
        <v>2</v>
      </c>
      <c r="AK1008" s="121">
        <f t="shared" si="183"/>
        <v>94</v>
      </c>
      <c r="AL1008" s="152">
        <f t="shared" si="182"/>
        <v>320.20467159067027</v>
      </c>
    </row>
    <row r="1009" spans="31:38" ht="15.75" hidden="1" thickBot="1">
      <c r="AE1009" s="801"/>
      <c r="AF1009" s="777"/>
      <c r="AH1009" s="101">
        <f t="shared" si="181"/>
        <v>1000000</v>
      </c>
      <c r="AI1009" s="101">
        <f t="shared" si="184"/>
        <v>0</v>
      </c>
      <c r="AJ1009" s="155">
        <v>2</v>
      </c>
      <c r="AK1009" s="121">
        <f t="shared" si="183"/>
        <v>95</v>
      </c>
      <c r="AL1009" s="152">
        <f t="shared" si="182"/>
        <v>319.14448928163984</v>
      </c>
    </row>
    <row r="1010" spans="31:38" ht="15.75" hidden="1" thickBot="1">
      <c r="AE1010" s="801"/>
      <c r="AF1010" s="777"/>
      <c r="AH1010" s="101">
        <f>AX199</f>
        <v>1000000</v>
      </c>
      <c r="AI1010" s="101">
        <f t="shared" si="184"/>
        <v>0</v>
      </c>
      <c r="AJ1010" s="155">
        <v>2</v>
      </c>
      <c r="AK1010" s="121">
        <f t="shared" si="183"/>
        <v>96</v>
      </c>
      <c r="AL1010" s="152">
        <f>AA199</f>
        <v>318.0843069726094</v>
      </c>
    </row>
    <row r="1011" spans="31:38" ht="15.75" hidden="1" thickBot="1">
      <c r="AE1011" s="801"/>
      <c r="AF1011" s="777"/>
      <c r="AH1011" s="101">
        <f>AX200</f>
        <v>1000000</v>
      </c>
      <c r="AI1011" s="101">
        <f t="shared" si="184"/>
        <v>0</v>
      </c>
      <c r="AJ1011" s="155">
        <v>2</v>
      </c>
      <c r="AK1011" s="121">
        <f t="shared" si="183"/>
        <v>97</v>
      </c>
      <c r="AL1011" s="152">
        <f>AA200</f>
        <v>317.02412466357896</v>
      </c>
    </row>
    <row r="1012" spans="31:38" ht="15.75" hidden="1" thickBot="1">
      <c r="AE1012" s="801"/>
      <c r="AF1012" s="777"/>
      <c r="AH1012" s="101">
        <f>AX201</f>
        <v>1000000</v>
      </c>
      <c r="AI1012" s="101">
        <f t="shared" si="184"/>
        <v>0</v>
      </c>
      <c r="AJ1012" s="155">
        <v>2</v>
      </c>
      <c r="AK1012" s="121">
        <f t="shared" si="183"/>
        <v>98</v>
      </c>
      <c r="AL1012" s="152">
        <f>AA201</f>
        <v>315.96394235454852</v>
      </c>
    </row>
    <row r="1013" spans="31:38" ht="15.75" hidden="1" thickBot="1">
      <c r="AE1013" s="801"/>
      <c r="AF1013" s="777"/>
      <c r="AH1013" s="101">
        <f>AX202</f>
        <v>1000000</v>
      </c>
      <c r="AI1013" s="101">
        <f t="shared" si="184"/>
        <v>0</v>
      </c>
      <c r="AJ1013" s="155">
        <v>2</v>
      </c>
      <c r="AK1013" s="121">
        <f t="shared" si="183"/>
        <v>99</v>
      </c>
      <c r="AL1013" s="152">
        <f>AA202</f>
        <v>314.90376004551814</v>
      </c>
    </row>
    <row r="1014" spans="31:38" ht="15.75" hidden="1" thickBot="1">
      <c r="AE1014" s="801"/>
      <c r="AF1014" s="778"/>
      <c r="AH1014" s="101">
        <f>AX203</f>
        <v>1000000</v>
      </c>
      <c r="AI1014" s="101">
        <f t="shared" si="184"/>
        <v>0</v>
      </c>
      <c r="AJ1014" s="155">
        <v>2</v>
      </c>
      <c r="AK1014" s="121">
        <f t="shared" si="183"/>
        <v>100</v>
      </c>
      <c r="AL1014" s="152">
        <f>AA203</f>
        <v>313.84357773648765</v>
      </c>
    </row>
    <row r="1015" spans="31:38" ht="15.75" hidden="1" thickBot="1">
      <c r="AE1015" s="801"/>
      <c r="AF1015" s="776" t="s">
        <v>282</v>
      </c>
      <c r="AH1015" s="101">
        <f>BE103</f>
        <v>206.65077097997724</v>
      </c>
      <c r="AI1015" s="101">
        <f t="shared" si="184"/>
        <v>206.65077097997724</v>
      </c>
      <c r="AJ1015" s="155">
        <v>3</v>
      </c>
      <c r="AK1015" s="121">
        <v>0</v>
      </c>
      <c r="AL1015" s="152">
        <f t="shared" ref="AL1015:AL1046" si="185">AB103</f>
        <v>559.81574485270835</v>
      </c>
    </row>
    <row r="1016" spans="31:38" ht="15.75" hidden="1" thickBot="1">
      <c r="AE1016" s="801"/>
      <c r="AF1016" s="777"/>
      <c r="AH1016" s="101">
        <f t="shared" ref="AH1016:AH1046" si="186">BE104</f>
        <v>1000000</v>
      </c>
      <c r="AI1016" s="101">
        <f t="shared" si="184"/>
        <v>1000000</v>
      </c>
      <c r="AJ1016" s="155">
        <v>3</v>
      </c>
      <c r="AK1016" s="121">
        <f t="shared" ref="AK1016:AK1079" si="187">AK1015+1</f>
        <v>1</v>
      </c>
      <c r="AL1016" s="152">
        <f t="shared" si="185"/>
        <v>558.40216844066777</v>
      </c>
    </row>
    <row r="1017" spans="31:38" ht="15.75" hidden="1" thickBot="1">
      <c r="AE1017" s="801"/>
      <c r="AF1017" s="777"/>
      <c r="AH1017" s="101">
        <f t="shared" si="186"/>
        <v>1000000</v>
      </c>
      <c r="AI1017" s="101">
        <f t="shared" si="184"/>
        <v>1000000</v>
      </c>
      <c r="AJ1017" s="155">
        <v>3</v>
      </c>
      <c r="AK1017" s="121">
        <f t="shared" si="187"/>
        <v>2</v>
      </c>
      <c r="AL1017" s="152">
        <f t="shared" si="185"/>
        <v>556.98859202862718</v>
      </c>
    </row>
    <row r="1018" spans="31:38" ht="15.75" hidden="1" thickBot="1">
      <c r="AE1018" s="801"/>
      <c r="AF1018" s="777"/>
      <c r="AH1018" s="101">
        <f t="shared" si="186"/>
        <v>1000000</v>
      </c>
      <c r="AI1018" s="101">
        <f t="shared" si="184"/>
        <v>1000000</v>
      </c>
      <c r="AJ1018" s="155">
        <v>3</v>
      </c>
      <c r="AK1018" s="121">
        <f t="shared" si="187"/>
        <v>3</v>
      </c>
      <c r="AL1018" s="152">
        <f t="shared" si="185"/>
        <v>555.5750156165866</v>
      </c>
    </row>
    <row r="1019" spans="31:38" ht="15.75" hidden="1" thickBot="1">
      <c r="AE1019" s="801"/>
      <c r="AF1019" s="777"/>
      <c r="AH1019" s="101">
        <f t="shared" si="186"/>
        <v>1000000</v>
      </c>
      <c r="AI1019" s="101">
        <f t="shared" si="184"/>
        <v>1000000</v>
      </c>
      <c r="AJ1019" s="155">
        <v>3</v>
      </c>
      <c r="AK1019" s="121">
        <f t="shared" si="187"/>
        <v>4</v>
      </c>
      <c r="AL1019" s="152">
        <f t="shared" si="185"/>
        <v>554.16143920454601</v>
      </c>
    </row>
    <row r="1020" spans="31:38" ht="15.75" hidden="1" thickBot="1">
      <c r="AE1020" s="801"/>
      <c r="AF1020" s="777"/>
      <c r="AH1020" s="101">
        <f t="shared" si="186"/>
        <v>1000000</v>
      </c>
      <c r="AI1020" s="101">
        <f t="shared" si="184"/>
        <v>1000000</v>
      </c>
      <c r="AJ1020" s="155">
        <v>3</v>
      </c>
      <c r="AK1020" s="121">
        <f t="shared" si="187"/>
        <v>5</v>
      </c>
      <c r="AL1020" s="152">
        <f t="shared" si="185"/>
        <v>552.74786279250543</v>
      </c>
    </row>
    <row r="1021" spans="31:38" ht="15.75" hidden="1" thickBot="1">
      <c r="AE1021" s="801"/>
      <c r="AF1021" s="777"/>
      <c r="AH1021" s="101">
        <f t="shared" si="186"/>
        <v>1000000</v>
      </c>
      <c r="AI1021" s="101">
        <f t="shared" si="184"/>
        <v>1000000</v>
      </c>
      <c r="AJ1021" s="155">
        <v>3</v>
      </c>
      <c r="AK1021" s="121">
        <f t="shared" si="187"/>
        <v>6</v>
      </c>
      <c r="AL1021" s="152">
        <f t="shared" si="185"/>
        <v>551.33428638046485</v>
      </c>
    </row>
    <row r="1022" spans="31:38" ht="15.75" hidden="1" thickBot="1">
      <c r="AE1022" s="801"/>
      <c r="AF1022" s="777"/>
      <c r="AH1022" s="101">
        <f t="shared" si="186"/>
        <v>1000000</v>
      </c>
      <c r="AI1022" s="101">
        <f t="shared" si="184"/>
        <v>1000000</v>
      </c>
      <c r="AJ1022" s="155">
        <v>3</v>
      </c>
      <c r="AK1022" s="121">
        <f t="shared" si="187"/>
        <v>7</v>
      </c>
      <c r="AL1022" s="152">
        <f t="shared" si="185"/>
        <v>549.92070996842426</v>
      </c>
    </row>
    <row r="1023" spans="31:38" ht="15.75" hidden="1" thickBot="1">
      <c r="AE1023" s="801"/>
      <c r="AF1023" s="777"/>
      <c r="AH1023" s="101">
        <f t="shared" si="186"/>
        <v>1000000</v>
      </c>
      <c r="AI1023" s="101">
        <f t="shared" si="184"/>
        <v>1000000</v>
      </c>
      <c r="AJ1023" s="155">
        <v>3</v>
      </c>
      <c r="AK1023" s="121">
        <f t="shared" si="187"/>
        <v>8</v>
      </c>
      <c r="AL1023" s="152">
        <f t="shared" si="185"/>
        <v>548.50713355638368</v>
      </c>
    </row>
    <row r="1024" spans="31:38" ht="15.75" hidden="1" thickBot="1">
      <c r="AE1024" s="801"/>
      <c r="AF1024" s="777"/>
      <c r="AH1024" s="101">
        <f t="shared" si="186"/>
        <v>1000000</v>
      </c>
      <c r="AI1024" s="101">
        <f t="shared" si="184"/>
        <v>1000000</v>
      </c>
      <c r="AJ1024" s="155">
        <v>3</v>
      </c>
      <c r="AK1024" s="121">
        <f t="shared" si="187"/>
        <v>9</v>
      </c>
      <c r="AL1024" s="152">
        <f t="shared" si="185"/>
        <v>547.09355714434309</v>
      </c>
    </row>
    <row r="1025" spans="31:38" ht="15.75" hidden="1" thickBot="1">
      <c r="AE1025" s="801"/>
      <c r="AF1025" s="777"/>
      <c r="AH1025" s="101">
        <f t="shared" si="186"/>
        <v>1000000</v>
      </c>
      <c r="AI1025" s="101">
        <f t="shared" si="184"/>
        <v>1000000</v>
      </c>
      <c r="AJ1025" s="155">
        <v>3</v>
      </c>
      <c r="AK1025" s="121">
        <f t="shared" si="187"/>
        <v>10</v>
      </c>
      <c r="AL1025" s="152">
        <f t="shared" si="185"/>
        <v>545.67998073230251</v>
      </c>
    </row>
    <row r="1026" spans="31:38" ht="15.75" hidden="1" thickBot="1">
      <c r="AE1026" s="801"/>
      <c r="AF1026" s="777"/>
      <c r="AH1026" s="101">
        <f t="shared" si="186"/>
        <v>1000000</v>
      </c>
      <c r="AI1026" s="101">
        <f t="shared" si="184"/>
        <v>1000000</v>
      </c>
      <c r="AJ1026" s="155">
        <v>3</v>
      </c>
      <c r="AK1026" s="121">
        <f t="shared" si="187"/>
        <v>11</v>
      </c>
      <c r="AL1026" s="152">
        <f t="shared" si="185"/>
        <v>544.26640432026193</v>
      </c>
    </row>
    <row r="1027" spans="31:38" ht="15.75" hidden="1" thickBot="1">
      <c r="AE1027" s="801"/>
      <c r="AF1027" s="777"/>
      <c r="AH1027" s="101">
        <f t="shared" si="186"/>
        <v>1000000</v>
      </c>
      <c r="AI1027" s="101">
        <f t="shared" si="184"/>
        <v>1000000</v>
      </c>
      <c r="AJ1027" s="155">
        <v>3</v>
      </c>
      <c r="AK1027" s="121">
        <f t="shared" si="187"/>
        <v>12</v>
      </c>
      <c r="AL1027" s="152">
        <f t="shared" si="185"/>
        <v>542.85282790822134</v>
      </c>
    </row>
    <row r="1028" spans="31:38" ht="15.75" hidden="1" thickBot="1">
      <c r="AE1028" s="801"/>
      <c r="AF1028" s="777"/>
      <c r="AH1028" s="101">
        <f t="shared" si="186"/>
        <v>1000000</v>
      </c>
      <c r="AI1028" s="101">
        <f t="shared" si="184"/>
        <v>1000000</v>
      </c>
      <c r="AJ1028" s="155">
        <v>3</v>
      </c>
      <c r="AK1028" s="121">
        <f t="shared" si="187"/>
        <v>13</v>
      </c>
      <c r="AL1028" s="152">
        <f t="shared" si="185"/>
        <v>541.43925149618076</v>
      </c>
    </row>
    <row r="1029" spans="31:38" ht="15.75" hidden="1" thickBot="1">
      <c r="AE1029" s="801"/>
      <c r="AF1029" s="777"/>
      <c r="AH1029" s="101">
        <f t="shared" si="186"/>
        <v>1000000</v>
      </c>
      <c r="AI1029" s="101">
        <f t="shared" si="184"/>
        <v>1000000</v>
      </c>
      <c r="AJ1029" s="155">
        <v>3</v>
      </c>
      <c r="AK1029" s="121">
        <f t="shared" si="187"/>
        <v>14</v>
      </c>
      <c r="AL1029" s="152">
        <f t="shared" si="185"/>
        <v>540.02567508414018</v>
      </c>
    </row>
    <row r="1030" spans="31:38" ht="15.75" hidden="1" thickBot="1">
      <c r="AE1030" s="801"/>
      <c r="AF1030" s="777"/>
      <c r="AH1030" s="101">
        <f t="shared" si="186"/>
        <v>1000000</v>
      </c>
      <c r="AI1030" s="101">
        <f t="shared" si="184"/>
        <v>1000000</v>
      </c>
      <c r="AJ1030" s="155">
        <v>3</v>
      </c>
      <c r="AK1030" s="121">
        <f t="shared" si="187"/>
        <v>15</v>
      </c>
      <c r="AL1030" s="152">
        <f t="shared" si="185"/>
        <v>538.61209867209959</v>
      </c>
    </row>
    <row r="1031" spans="31:38" ht="15.75" hidden="1" thickBot="1">
      <c r="AE1031" s="801"/>
      <c r="AF1031" s="777"/>
      <c r="AH1031" s="101">
        <f t="shared" si="186"/>
        <v>1000000</v>
      </c>
      <c r="AI1031" s="101">
        <f t="shared" si="184"/>
        <v>1000000</v>
      </c>
      <c r="AJ1031" s="155">
        <v>3</v>
      </c>
      <c r="AK1031" s="121">
        <f t="shared" si="187"/>
        <v>16</v>
      </c>
      <c r="AL1031" s="152">
        <f t="shared" si="185"/>
        <v>537.19852226005901</v>
      </c>
    </row>
    <row r="1032" spans="31:38" ht="15.75" hidden="1" thickBot="1">
      <c r="AE1032" s="801"/>
      <c r="AF1032" s="777"/>
      <c r="AH1032" s="101">
        <f t="shared" si="186"/>
        <v>1000000</v>
      </c>
      <c r="AI1032" s="101">
        <f t="shared" si="184"/>
        <v>1000000</v>
      </c>
      <c r="AJ1032" s="155">
        <v>3</v>
      </c>
      <c r="AK1032" s="121">
        <f t="shared" si="187"/>
        <v>17</v>
      </c>
      <c r="AL1032" s="152">
        <f t="shared" si="185"/>
        <v>535.78494584801842</v>
      </c>
    </row>
    <row r="1033" spans="31:38" ht="15.75" hidden="1" thickBot="1">
      <c r="AE1033" s="801"/>
      <c r="AF1033" s="777"/>
      <c r="AH1033" s="101">
        <f t="shared" si="186"/>
        <v>1000000</v>
      </c>
      <c r="AI1033" s="101">
        <f t="shared" si="184"/>
        <v>1000000</v>
      </c>
      <c r="AJ1033" s="155">
        <v>3</v>
      </c>
      <c r="AK1033" s="121">
        <f t="shared" si="187"/>
        <v>18</v>
      </c>
      <c r="AL1033" s="152">
        <f t="shared" si="185"/>
        <v>534.37136943597784</v>
      </c>
    </row>
    <row r="1034" spans="31:38" ht="15.75" hidden="1" thickBot="1">
      <c r="AE1034" s="801"/>
      <c r="AF1034" s="777"/>
      <c r="AH1034" s="101">
        <f t="shared" si="186"/>
        <v>1000000</v>
      </c>
      <c r="AI1034" s="101">
        <f t="shared" si="184"/>
        <v>1000000</v>
      </c>
      <c r="AJ1034" s="155">
        <v>3</v>
      </c>
      <c r="AK1034" s="121">
        <f t="shared" si="187"/>
        <v>19</v>
      </c>
      <c r="AL1034" s="152">
        <f t="shared" si="185"/>
        <v>532.95779302393726</v>
      </c>
    </row>
    <row r="1035" spans="31:38" ht="15.75" hidden="1" thickBot="1">
      <c r="AE1035" s="801"/>
      <c r="AF1035" s="777"/>
      <c r="AH1035" s="101">
        <f t="shared" si="186"/>
        <v>1000000</v>
      </c>
      <c r="AI1035" s="101">
        <f t="shared" si="184"/>
        <v>1000000</v>
      </c>
      <c r="AJ1035" s="155">
        <v>3</v>
      </c>
      <c r="AK1035" s="121">
        <f t="shared" si="187"/>
        <v>20</v>
      </c>
      <c r="AL1035" s="152">
        <f t="shared" si="185"/>
        <v>531.54421661189667</v>
      </c>
    </row>
    <row r="1036" spans="31:38" ht="15.75" hidden="1" thickBot="1">
      <c r="AE1036" s="801"/>
      <c r="AF1036" s="777"/>
      <c r="AH1036" s="101">
        <f t="shared" si="186"/>
        <v>1000000</v>
      </c>
      <c r="AI1036" s="101">
        <f t="shared" si="184"/>
        <v>1000000</v>
      </c>
      <c r="AJ1036" s="155">
        <v>3</v>
      </c>
      <c r="AK1036" s="121">
        <f t="shared" si="187"/>
        <v>21</v>
      </c>
      <c r="AL1036" s="152">
        <f t="shared" si="185"/>
        <v>530.13064019985609</v>
      </c>
    </row>
    <row r="1037" spans="31:38" ht="15.75" hidden="1" thickBot="1">
      <c r="AE1037" s="801"/>
      <c r="AF1037" s="777"/>
      <c r="AH1037" s="101">
        <f t="shared" si="186"/>
        <v>1000000</v>
      </c>
      <c r="AI1037" s="101">
        <f t="shared" si="184"/>
        <v>1000000</v>
      </c>
      <c r="AJ1037" s="155">
        <v>3</v>
      </c>
      <c r="AK1037" s="121">
        <f t="shared" si="187"/>
        <v>22</v>
      </c>
      <c r="AL1037" s="152">
        <f t="shared" si="185"/>
        <v>528.7170637878155</v>
      </c>
    </row>
    <row r="1038" spans="31:38" ht="15.75" hidden="1" thickBot="1">
      <c r="AE1038" s="801"/>
      <c r="AF1038" s="777"/>
      <c r="AH1038" s="101">
        <f t="shared" si="186"/>
        <v>1000000</v>
      </c>
      <c r="AI1038" s="101">
        <f t="shared" si="184"/>
        <v>1000000</v>
      </c>
      <c r="AJ1038" s="155">
        <v>3</v>
      </c>
      <c r="AK1038" s="121">
        <f t="shared" si="187"/>
        <v>23</v>
      </c>
      <c r="AL1038" s="152">
        <f t="shared" si="185"/>
        <v>527.30348737577492</v>
      </c>
    </row>
    <row r="1039" spans="31:38" ht="15.75" hidden="1" thickBot="1">
      <c r="AE1039" s="801"/>
      <c r="AF1039" s="777"/>
      <c r="AH1039" s="101">
        <f t="shared" si="186"/>
        <v>1000000</v>
      </c>
      <c r="AI1039" s="101">
        <f t="shared" si="184"/>
        <v>1000000</v>
      </c>
      <c r="AJ1039" s="155">
        <v>3</v>
      </c>
      <c r="AK1039" s="121">
        <f t="shared" si="187"/>
        <v>24</v>
      </c>
      <c r="AL1039" s="152">
        <f t="shared" si="185"/>
        <v>525.88991096373434</v>
      </c>
    </row>
    <row r="1040" spans="31:38" ht="15.75" hidden="1" thickBot="1">
      <c r="AE1040" s="801"/>
      <c r="AF1040" s="777"/>
      <c r="AH1040" s="101">
        <f t="shared" si="186"/>
        <v>1000000</v>
      </c>
      <c r="AI1040" s="101">
        <f t="shared" si="184"/>
        <v>1000000</v>
      </c>
      <c r="AJ1040" s="155">
        <v>3</v>
      </c>
      <c r="AK1040" s="121">
        <f t="shared" si="187"/>
        <v>25</v>
      </c>
      <c r="AL1040" s="152">
        <f t="shared" si="185"/>
        <v>524.47633455169375</v>
      </c>
    </row>
    <row r="1041" spans="31:38" ht="15.75" hidden="1" thickBot="1">
      <c r="AE1041" s="801"/>
      <c r="AF1041" s="777"/>
      <c r="AH1041" s="101">
        <f t="shared" si="186"/>
        <v>1000000</v>
      </c>
      <c r="AI1041" s="101">
        <f t="shared" si="184"/>
        <v>1000000</v>
      </c>
      <c r="AJ1041" s="155">
        <v>3</v>
      </c>
      <c r="AK1041" s="121">
        <f t="shared" si="187"/>
        <v>26</v>
      </c>
      <c r="AL1041" s="152">
        <f t="shared" si="185"/>
        <v>523.06275813965317</v>
      </c>
    </row>
    <row r="1042" spans="31:38" ht="15.75" hidden="1" thickBot="1">
      <c r="AE1042" s="801"/>
      <c r="AF1042" s="777"/>
      <c r="AH1042" s="101">
        <f t="shared" si="186"/>
        <v>1000000</v>
      </c>
      <c r="AI1042" s="101">
        <f t="shared" si="184"/>
        <v>1000000</v>
      </c>
      <c r="AJ1042" s="155">
        <v>3</v>
      </c>
      <c r="AK1042" s="121">
        <f t="shared" si="187"/>
        <v>27</v>
      </c>
      <c r="AL1042" s="152">
        <f t="shared" si="185"/>
        <v>521.64918172761259</v>
      </c>
    </row>
    <row r="1043" spans="31:38" ht="15.75" hidden="1" thickBot="1">
      <c r="AE1043" s="801"/>
      <c r="AF1043" s="777"/>
      <c r="AH1043" s="101">
        <f t="shared" si="186"/>
        <v>1000000</v>
      </c>
      <c r="AI1043" s="101">
        <f t="shared" si="184"/>
        <v>1000000</v>
      </c>
      <c r="AJ1043" s="155">
        <v>3</v>
      </c>
      <c r="AK1043" s="121">
        <f t="shared" si="187"/>
        <v>28</v>
      </c>
      <c r="AL1043" s="152">
        <f t="shared" si="185"/>
        <v>520.235605315572</v>
      </c>
    </row>
    <row r="1044" spans="31:38" ht="15.75" hidden="1" thickBot="1">
      <c r="AE1044" s="801"/>
      <c r="AF1044" s="777"/>
      <c r="AH1044" s="101">
        <f t="shared" si="186"/>
        <v>1000000</v>
      </c>
      <c r="AI1044" s="101">
        <f t="shared" si="184"/>
        <v>1000000</v>
      </c>
      <c r="AJ1044" s="155">
        <v>3</v>
      </c>
      <c r="AK1044" s="121">
        <f t="shared" si="187"/>
        <v>29</v>
      </c>
      <c r="AL1044" s="152">
        <f t="shared" si="185"/>
        <v>518.82202890353142</v>
      </c>
    </row>
    <row r="1045" spans="31:38" ht="15.75" hidden="1" thickBot="1">
      <c r="AE1045" s="801"/>
      <c r="AF1045" s="777"/>
      <c r="AH1045" s="101">
        <f t="shared" si="186"/>
        <v>1000000</v>
      </c>
      <c r="AI1045" s="101">
        <f t="shared" si="184"/>
        <v>1000000</v>
      </c>
      <c r="AJ1045" s="155">
        <v>3</v>
      </c>
      <c r="AK1045" s="121">
        <f t="shared" si="187"/>
        <v>30</v>
      </c>
      <c r="AL1045" s="152">
        <f t="shared" si="185"/>
        <v>517.40845249149083</v>
      </c>
    </row>
    <row r="1046" spans="31:38" ht="15.75" hidden="1" thickBot="1">
      <c r="AE1046" s="801"/>
      <c r="AF1046" s="777"/>
      <c r="AH1046" s="101">
        <f t="shared" si="186"/>
        <v>1000000</v>
      </c>
      <c r="AI1046" s="101">
        <f t="shared" si="184"/>
        <v>1000000</v>
      </c>
      <c r="AJ1046" s="155">
        <v>3</v>
      </c>
      <c r="AK1046" s="121">
        <f t="shared" si="187"/>
        <v>31</v>
      </c>
      <c r="AL1046" s="152">
        <f t="shared" si="185"/>
        <v>515.99487607945025</v>
      </c>
    </row>
    <row r="1047" spans="31:38" ht="15.75" hidden="1" thickBot="1">
      <c r="AE1047" s="801"/>
      <c r="AF1047" s="777"/>
      <c r="AH1047" s="101">
        <f t="shared" ref="AH1047:AH1078" si="188">BE135</f>
        <v>1000000</v>
      </c>
      <c r="AI1047" s="101">
        <f t="shared" si="184"/>
        <v>1000000</v>
      </c>
      <c r="AJ1047" s="155">
        <v>3</v>
      </c>
      <c r="AK1047" s="121">
        <f t="shared" si="187"/>
        <v>32</v>
      </c>
      <c r="AL1047" s="152">
        <f t="shared" ref="AL1047:AL1078" si="189">AB135</f>
        <v>514.58129966740967</v>
      </c>
    </row>
    <row r="1048" spans="31:38" ht="15.75" hidden="1" thickBot="1">
      <c r="AE1048" s="801"/>
      <c r="AF1048" s="777"/>
      <c r="AH1048" s="101">
        <f t="shared" si="188"/>
        <v>1000000</v>
      </c>
      <c r="AI1048" s="101">
        <f t="shared" si="184"/>
        <v>1000000</v>
      </c>
      <c r="AJ1048" s="155">
        <v>3</v>
      </c>
      <c r="AK1048" s="121">
        <f t="shared" si="187"/>
        <v>33</v>
      </c>
      <c r="AL1048" s="152">
        <f t="shared" si="189"/>
        <v>513.16772325536908</v>
      </c>
    </row>
    <row r="1049" spans="31:38" ht="15.75" hidden="1" thickBot="1">
      <c r="AE1049" s="801"/>
      <c r="AF1049" s="777"/>
      <c r="AH1049" s="101">
        <f t="shared" si="188"/>
        <v>1000000</v>
      </c>
      <c r="AI1049" s="101">
        <f t="shared" si="184"/>
        <v>1000000</v>
      </c>
      <c r="AJ1049" s="155">
        <v>3</v>
      </c>
      <c r="AK1049" s="121">
        <f t="shared" si="187"/>
        <v>34</v>
      </c>
      <c r="AL1049" s="152">
        <f t="shared" si="189"/>
        <v>511.7541468433285</v>
      </c>
    </row>
    <row r="1050" spans="31:38" ht="15.75" hidden="1" thickBot="1">
      <c r="AE1050" s="801"/>
      <c r="AF1050" s="777"/>
      <c r="AH1050" s="101">
        <f t="shared" si="188"/>
        <v>1000000</v>
      </c>
      <c r="AI1050" s="101">
        <f t="shared" si="184"/>
        <v>1000000</v>
      </c>
      <c r="AJ1050" s="155">
        <v>3</v>
      </c>
      <c r="AK1050" s="121">
        <f t="shared" si="187"/>
        <v>35</v>
      </c>
      <c r="AL1050" s="152">
        <f t="shared" si="189"/>
        <v>510.34057043128797</v>
      </c>
    </row>
    <row r="1051" spans="31:38" ht="15.75" hidden="1" thickBot="1">
      <c r="AE1051" s="801"/>
      <c r="AF1051" s="777"/>
      <c r="AH1051" s="101">
        <f t="shared" si="188"/>
        <v>1000000</v>
      </c>
      <c r="AI1051" s="101">
        <f t="shared" si="184"/>
        <v>1000000</v>
      </c>
      <c r="AJ1051" s="155">
        <v>3</v>
      </c>
      <c r="AK1051" s="121">
        <f t="shared" si="187"/>
        <v>36</v>
      </c>
      <c r="AL1051" s="152">
        <f t="shared" si="189"/>
        <v>508.92699401924739</v>
      </c>
    </row>
    <row r="1052" spans="31:38" ht="15.75" hidden="1" thickBot="1">
      <c r="AE1052" s="801"/>
      <c r="AF1052" s="777"/>
      <c r="AH1052" s="101">
        <f t="shared" si="188"/>
        <v>1000000</v>
      </c>
      <c r="AI1052" s="101">
        <f t="shared" si="184"/>
        <v>1000000</v>
      </c>
      <c r="AJ1052" s="155">
        <v>3</v>
      </c>
      <c r="AK1052" s="121">
        <f t="shared" si="187"/>
        <v>37</v>
      </c>
      <c r="AL1052" s="152">
        <f t="shared" si="189"/>
        <v>507.5134176072068</v>
      </c>
    </row>
    <row r="1053" spans="31:38" ht="15.75" hidden="1" thickBot="1">
      <c r="AE1053" s="801"/>
      <c r="AF1053" s="777"/>
      <c r="AH1053" s="101">
        <f t="shared" si="188"/>
        <v>1000000</v>
      </c>
      <c r="AI1053" s="101">
        <f t="shared" si="184"/>
        <v>1000000</v>
      </c>
      <c r="AJ1053" s="155">
        <v>3</v>
      </c>
      <c r="AK1053" s="121">
        <f t="shared" si="187"/>
        <v>38</v>
      </c>
      <c r="AL1053" s="152">
        <f t="shared" si="189"/>
        <v>506.09984119516628</v>
      </c>
    </row>
    <row r="1054" spans="31:38" ht="15.75" hidden="1" thickBot="1">
      <c r="AE1054" s="801"/>
      <c r="AF1054" s="777"/>
      <c r="AH1054" s="101">
        <f t="shared" si="188"/>
        <v>1000000</v>
      </c>
      <c r="AI1054" s="101">
        <f t="shared" si="184"/>
        <v>1000000</v>
      </c>
      <c r="AJ1054" s="155">
        <v>3</v>
      </c>
      <c r="AK1054" s="121">
        <f t="shared" si="187"/>
        <v>39</v>
      </c>
      <c r="AL1054" s="152">
        <f t="shared" si="189"/>
        <v>504.68626478312564</v>
      </c>
    </row>
    <row r="1055" spans="31:38" ht="15.75" hidden="1" thickBot="1">
      <c r="AE1055" s="801"/>
      <c r="AF1055" s="777"/>
      <c r="AH1055" s="101">
        <f t="shared" si="188"/>
        <v>1000000</v>
      </c>
      <c r="AI1055" s="101">
        <f t="shared" si="184"/>
        <v>1000000</v>
      </c>
      <c r="AJ1055" s="155">
        <v>3</v>
      </c>
      <c r="AK1055" s="121">
        <f t="shared" si="187"/>
        <v>40</v>
      </c>
      <c r="AL1055" s="152">
        <f t="shared" si="189"/>
        <v>503.27268837108511</v>
      </c>
    </row>
    <row r="1056" spans="31:38" ht="15.75" hidden="1" thickBot="1">
      <c r="AE1056" s="801"/>
      <c r="AF1056" s="777"/>
      <c r="AH1056" s="101">
        <f t="shared" si="188"/>
        <v>1000000</v>
      </c>
      <c r="AI1056" s="101">
        <f t="shared" si="184"/>
        <v>1000000</v>
      </c>
      <c r="AJ1056" s="155">
        <v>3</v>
      </c>
      <c r="AK1056" s="121">
        <f t="shared" si="187"/>
        <v>41</v>
      </c>
      <c r="AL1056" s="152">
        <f t="shared" si="189"/>
        <v>501.85911195904453</v>
      </c>
    </row>
    <row r="1057" spans="31:38" ht="15.75" hidden="1" thickBot="1">
      <c r="AE1057" s="801"/>
      <c r="AF1057" s="777"/>
      <c r="AH1057" s="101">
        <f t="shared" si="188"/>
        <v>1000000</v>
      </c>
      <c r="AI1057" s="101">
        <f t="shared" si="184"/>
        <v>1000000</v>
      </c>
      <c r="AJ1057" s="155">
        <v>3</v>
      </c>
      <c r="AK1057" s="121">
        <f t="shared" si="187"/>
        <v>42</v>
      </c>
      <c r="AL1057" s="152">
        <f t="shared" si="189"/>
        <v>500.44553554700394</v>
      </c>
    </row>
    <row r="1058" spans="31:38" ht="15.75" hidden="1" thickBot="1">
      <c r="AE1058" s="801"/>
      <c r="AF1058" s="777"/>
      <c r="AH1058" s="101">
        <f t="shared" si="188"/>
        <v>1000000</v>
      </c>
      <c r="AI1058" s="101">
        <f t="shared" si="184"/>
        <v>1000000</v>
      </c>
      <c r="AJ1058" s="155">
        <v>3</v>
      </c>
      <c r="AK1058" s="121">
        <f t="shared" si="187"/>
        <v>43</v>
      </c>
      <c r="AL1058" s="152">
        <f t="shared" si="189"/>
        <v>499.03195913496336</v>
      </c>
    </row>
    <row r="1059" spans="31:38" ht="15.75" hidden="1" thickBot="1">
      <c r="AE1059" s="801"/>
      <c r="AF1059" s="777"/>
      <c r="AH1059" s="101">
        <f t="shared" si="188"/>
        <v>1000000</v>
      </c>
      <c r="AI1059" s="101">
        <f t="shared" si="184"/>
        <v>1000000</v>
      </c>
      <c r="AJ1059" s="155">
        <v>3</v>
      </c>
      <c r="AK1059" s="121">
        <f t="shared" si="187"/>
        <v>44</v>
      </c>
      <c r="AL1059" s="152">
        <f t="shared" si="189"/>
        <v>497.61838272292277</v>
      </c>
    </row>
    <row r="1060" spans="31:38" ht="15.75" hidden="1" thickBot="1">
      <c r="AE1060" s="801"/>
      <c r="AF1060" s="777"/>
      <c r="AH1060" s="101">
        <f t="shared" si="188"/>
        <v>1000000</v>
      </c>
      <c r="AI1060" s="101">
        <f t="shared" si="184"/>
        <v>1000000</v>
      </c>
      <c r="AJ1060" s="155">
        <v>3</v>
      </c>
      <c r="AK1060" s="121">
        <f t="shared" si="187"/>
        <v>45</v>
      </c>
      <c r="AL1060" s="152">
        <f t="shared" si="189"/>
        <v>496.20480631088219</v>
      </c>
    </row>
    <row r="1061" spans="31:38" ht="15.75" hidden="1" thickBot="1">
      <c r="AE1061" s="801"/>
      <c r="AF1061" s="777"/>
      <c r="AH1061" s="101">
        <f t="shared" si="188"/>
        <v>1000000</v>
      </c>
      <c r="AI1061" s="101">
        <f t="shared" si="184"/>
        <v>1000000</v>
      </c>
      <c r="AJ1061" s="155">
        <v>3</v>
      </c>
      <c r="AK1061" s="121">
        <f t="shared" si="187"/>
        <v>46</v>
      </c>
      <c r="AL1061" s="152">
        <f t="shared" si="189"/>
        <v>494.79122989884161</v>
      </c>
    </row>
    <row r="1062" spans="31:38" ht="15.75" hidden="1" thickBot="1">
      <c r="AE1062" s="801"/>
      <c r="AF1062" s="777"/>
      <c r="AH1062" s="101">
        <f t="shared" si="188"/>
        <v>1000000</v>
      </c>
      <c r="AI1062" s="101">
        <f t="shared" si="184"/>
        <v>1000000</v>
      </c>
      <c r="AJ1062" s="155">
        <v>3</v>
      </c>
      <c r="AK1062" s="121">
        <f t="shared" si="187"/>
        <v>47</v>
      </c>
      <c r="AL1062" s="152">
        <f t="shared" si="189"/>
        <v>493.37765348680102</v>
      </c>
    </row>
    <row r="1063" spans="31:38" ht="15.75" hidden="1" thickBot="1">
      <c r="AE1063" s="801"/>
      <c r="AF1063" s="777"/>
      <c r="AH1063" s="101">
        <f t="shared" si="188"/>
        <v>1000000</v>
      </c>
      <c r="AI1063" s="101">
        <f t="shared" si="184"/>
        <v>1000000</v>
      </c>
      <c r="AJ1063" s="155">
        <v>3</v>
      </c>
      <c r="AK1063" s="121">
        <f t="shared" si="187"/>
        <v>48</v>
      </c>
      <c r="AL1063" s="152">
        <f t="shared" si="189"/>
        <v>491.96407707476044</v>
      </c>
    </row>
    <row r="1064" spans="31:38" ht="15.75" hidden="1" thickBot="1">
      <c r="AE1064" s="801"/>
      <c r="AF1064" s="777"/>
      <c r="AH1064" s="101">
        <f t="shared" si="188"/>
        <v>1000000</v>
      </c>
      <c r="AI1064" s="101">
        <f t="shared" si="184"/>
        <v>1000000</v>
      </c>
      <c r="AJ1064" s="155">
        <v>3</v>
      </c>
      <c r="AK1064" s="121">
        <f t="shared" si="187"/>
        <v>49</v>
      </c>
      <c r="AL1064" s="152">
        <f t="shared" si="189"/>
        <v>490.55050066271986</v>
      </c>
    </row>
    <row r="1065" spans="31:38" ht="15.75" hidden="1" thickBot="1">
      <c r="AE1065" s="801"/>
      <c r="AF1065" s="777"/>
      <c r="AH1065" s="101">
        <f t="shared" si="188"/>
        <v>1000000</v>
      </c>
      <c r="AI1065" s="101">
        <f t="shared" si="184"/>
        <v>1000000</v>
      </c>
      <c r="AJ1065" s="155">
        <v>3</v>
      </c>
      <c r="AK1065" s="121">
        <f t="shared" si="187"/>
        <v>50</v>
      </c>
      <c r="AL1065" s="152">
        <f t="shared" si="189"/>
        <v>489.13692425067927</v>
      </c>
    </row>
    <row r="1066" spans="31:38" ht="15.75" hidden="1" thickBot="1">
      <c r="AE1066" s="801"/>
      <c r="AF1066" s="777"/>
      <c r="AH1066" s="101">
        <f t="shared" si="188"/>
        <v>1000000</v>
      </c>
      <c r="AI1066" s="101">
        <f t="shared" si="184"/>
        <v>1000000</v>
      </c>
      <c r="AJ1066" s="155">
        <v>3</v>
      </c>
      <c r="AK1066" s="121">
        <f t="shared" si="187"/>
        <v>51</v>
      </c>
      <c r="AL1066" s="152">
        <f t="shared" si="189"/>
        <v>487.72334783863869</v>
      </c>
    </row>
    <row r="1067" spans="31:38" ht="15.75" hidden="1" thickBot="1">
      <c r="AE1067" s="801"/>
      <c r="AF1067" s="777"/>
      <c r="AH1067" s="101">
        <f t="shared" si="188"/>
        <v>1000000</v>
      </c>
      <c r="AI1067" s="101">
        <f t="shared" si="184"/>
        <v>1000000</v>
      </c>
      <c r="AJ1067" s="155">
        <v>3</v>
      </c>
      <c r="AK1067" s="121">
        <f t="shared" si="187"/>
        <v>52</v>
      </c>
      <c r="AL1067" s="152">
        <f t="shared" si="189"/>
        <v>486.3097714265981</v>
      </c>
    </row>
    <row r="1068" spans="31:38" ht="15.75" hidden="1" thickBot="1">
      <c r="AE1068" s="801"/>
      <c r="AF1068" s="777"/>
      <c r="AH1068" s="101">
        <f t="shared" si="188"/>
        <v>1000000</v>
      </c>
      <c r="AI1068" s="101">
        <f t="shared" si="184"/>
        <v>1000000</v>
      </c>
      <c r="AJ1068" s="155">
        <v>3</v>
      </c>
      <c r="AK1068" s="121">
        <f t="shared" si="187"/>
        <v>53</v>
      </c>
      <c r="AL1068" s="152">
        <f t="shared" si="189"/>
        <v>484.89619501455752</v>
      </c>
    </row>
    <row r="1069" spans="31:38" ht="15.75" hidden="1" thickBot="1">
      <c r="AE1069" s="801"/>
      <c r="AF1069" s="777"/>
      <c r="AH1069" s="101">
        <f t="shared" si="188"/>
        <v>1000000</v>
      </c>
      <c r="AI1069" s="101">
        <f t="shared" ref="AI1069:AI1132" si="190">IF(AL1069&lt;$D$82,0,AH1069)</f>
        <v>1000000</v>
      </c>
      <c r="AJ1069" s="155">
        <v>3</v>
      </c>
      <c r="AK1069" s="121">
        <f t="shared" si="187"/>
        <v>54</v>
      </c>
      <c r="AL1069" s="152">
        <f t="shared" si="189"/>
        <v>483.48261860251694</v>
      </c>
    </row>
    <row r="1070" spans="31:38" ht="15.75" hidden="1" thickBot="1">
      <c r="AE1070" s="801"/>
      <c r="AF1070" s="777"/>
      <c r="AH1070" s="101">
        <f t="shared" si="188"/>
        <v>1000000</v>
      </c>
      <c r="AI1070" s="101">
        <f t="shared" si="190"/>
        <v>1000000</v>
      </c>
      <c r="AJ1070" s="155">
        <v>3</v>
      </c>
      <c r="AK1070" s="121">
        <f t="shared" si="187"/>
        <v>55</v>
      </c>
      <c r="AL1070" s="152">
        <f t="shared" si="189"/>
        <v>482.06904219047635</v>
      </c>
    </row>
    <row r="1071" spans="31:38" ht="15.75" hidden="1" thickBot="1">
      <c r="AE1071" s="801"/>
      <c r="AF1071" s="777"/>
      <c r="AH1071" s="101">
        <f t="shared" si="188"/>
        <v>1000000</v>
      </c>
      <c r="AI1071" s="101">
        <f t="shared" si="190"/>
        <v>1000000</v>
      </c>
      <c r="AJ1071" s="155">
        <v>3</v>
      </c>
      <c r="AK1071" s="121">
        <f t="shared" si="187"/>
        <v>56</v>
      </c>
      <c r="AL1071" s="152">
        <f t="shared" si="189"/>
        <v>480.65546577843577</v>
      </c>
    </row>
    <row r="1072" spans="31:38" ht="15.75" hidden="1" thickBot="1">
      <c r="AE1072" s="801"/>
      <c r="AF1072" s="777"/>
      <c r="AH1072" s="101">
        <f t="shared" si="188"/>
        <v>1000000</v>
      </c>
      <c r="AI1072" s="101">
        <f t="shared" si="190"/>
        <v>1000000</v>
      </c>
      <c r="AJ1072" s="155">
        <v>3</v>
      </c>
      <c r="AK1072" s="121">
        <f t="shared" si="187"/>
        <v>57</v>
      </c>
      <c r="AL1072" s="152">
        <f t="shared" si="189"/>
        <v>479.24188936639518</v>
      </c>
    </row>
    <row r="1073" spans="31:38" ht="15.75" hidden="1" thickBot="1">
      <c r="AE1073" s="801"/>
      <c r="AF1073" s="777"/>
      <c r="AH1073" s="101">
        <f t="shared" si="188"/>
        <v>1000000</v>
      </c>
      <c r="AI1073" s="101">
        <f t="shared" si="190"/>
        <v>1000000</v>
      </c>
      <c r="AJ1073" s="155">
        <v>3</v>
      </c>
      <c r="AK1073" s="121">
        <f t="shared" si="187"/>
        <v>58</v>
      </c>
      <c r="AL1073" s="152">
        <f t="shared" si="189"/>
        <v>477.8283129543546</v>
      </c>
    </row>
    <row r="1074" spans="31:38" ht="15.75" hidden="1" thickBot="1">
      <c r="AE1074" s="801"/>
      <c r="AF1074" s="777"/>
      <c r="AH1074" s="101">
        <f t="shared" si="188"/>
        <v>1000000</v>
      </c>
      <c r="AI1074" s="101">
        <f t="shared" si="190"/>
        <v>1000000</v>
      </c>
      <c r="AJ1074" s="155">
        <v>3</v>
      </c>
      <c r="AK1074" s="121">
        <f t="shared" si="187"/>
        <v>59</v>
      </c>
      <c r="AL1074" s="152">
        <f t="shared" si="189"/>
        <v>476.41473654231402</v>
      </c>
    </row>
    <row r="1075" spans="31:38" ht="15.75" hidden="1" thickBot="1">
      <c r="AE1075" s="801"/>
      <c r="AF1075" s="777"/>
      <c r="AH1075" s="101">
        <f t="shared" si="188"/>
        <v>1000000</v>
      </c>
      <c r="AI1075" s="101">
        <f t="shared" si="190"/>
        <v>1000000</v>
      </c>
      <c r="AJ1075" s="155">
        <v>3</v>
      </c>
      <c r="AK1075" s="121">
        <f t="shared" si="187"/>
        <v>60</v>
      </c>
      <c r="AL1075" s="152">
        <f t="shared" si="189"/>
        <v>475.00116013027343</v>
      </c>
    </row>
    <row r="1076" spans="31:38" ht="15.75" hidden="1" thickBot="1">
      <c r="AE1076" s="801"/>
      <c r="AF1076" s="777"/>
      <c r="AH1076" s="101">
        <f t="shared" si="188"/>
        <v>1000000</v>
      </c>
      <c r="AI1076" s="101">
        <f t="shared" si="190"/>
        <v>1000000</v>
      </c>
      <c r="AJ1076" s="155">
        <v>3</v>
      </c>
      <c r="AK1076" s="121">
        <f t="shared" si="187"/>
        <v>61</v>
      </c>
      <c r="AL1076" s="152">
        <f t="shared" si="189"/>
        <v>473.58758371823285</v>
      </c>
    </row>
    <row r="1077" spans="31:38" ht="15.75" hidden="1" thickBot="1">
      <c r="AE1077" s="801"/>
      <c r="AF1077" s="777"/>
      <c r="AH1077" s="101">
        <f t="shared" si="188"/>
        <v>1000000</v>
      </c>
      <c r="AI1077" s="101">
        <f t="shared" si="190"/>
        <v>1000000</v>
      </c>
      <c r="AJ1077" s="155">
        <v>3</v>
      </c>
      <c r="AK1077" s="121">
        <f t="shared" si="187"/>
        <v>62</v>
      </c>
      <c r="AL1077" s="152">
        <f t="shared" si="189"/>
        <v>472.17400730619227</v>
      </c>
    </row>
    <row r="1078" spans="31:38" ht="15.75" hidden="1" thickBot="1">
      <c r="AE1078" s="801"/>
      <c r="AF1078" s="777"/>
      <c r="AH1078" s="101">
        <f t="shared" si="188"/>
        <v>1000000</v>
      </c>
      <c r="AI1078" s="101">
        <f t="shared" si="190"/>
        <v>1000000</v>
      </c>
      <c r="AJ1078" s="155">
        <v>3</v>
      </c>
      <c r="AK1078" s="121">
        <f t="shared" si="187"/>
        <v>63</v>
      </c>
      <c r="AL1078" s="152">
        <f t="shared" si="189"/>
        <v>470.76043089415174</v>
      </c>
    </row>
    <row r="1079" spans="31:38" ht="15.75" hidden="1" thickBot="1">
      <c r="AE1079" s="801"/>
      <c r="AF1079" s="777"/>
      <c r="AH1079" s="101">
        <f t="shared" ref="AH1079:AH1110" si="191">BE167</f>
        <v>1000000</v>
      </c>
      <c r="AI1079" s="101">
        <f t="shared" si="190"/>
        <v>1000000</v>
      </c>
      <c r="AJ1079" s="155">
        <v>3</v>
      </c>
      <c r="AK1079" s="121">
        <f t="shared" si="187"/>
        <v>64</v>
      </c>
      <c r="AL1079" s="152">
        <f t="shared" ref="AL1079:AL1110" si="192">AB167</f>
        <v>469.3468544821111</v>
      </c>
    </row>
    <row r="1080" spans="31:38" ht="15.75" hidden="1" thickBot="1">
      <c r="AE1080" s="801"/>
      <c r="AF1080" s="777"/>
      <c r="AH1080" s="101">
        <f t="shared" si="191"/>
        <v>1000000</v>
      </c>
      <c r="AI1080" s="101">
        <f t="shared" si="190"/>
        <v>1000000</v>
      </c>
      <c r="AJ1080" s="155">
        <v>3</v>
      </c>
      <c r="AK1080" s="121">
        <f t="shared" ref="AK1080:AK1115" si="193">AK1079+1</f>
        <v>65</v>
      </c>
      <c r="AL1080" s="152">
        <f t="shared" si="192"/>
        <v>467.93327807007051</v>
      </c>
    </row>
    <row r="1081" spans="31:38" ht="15.75" hidden="1" thickBot="1">
      <c r="AE1081" s="801"/>
      <c r="AF1081" s="777"/>
      <c r="AH1081" s="101">
        <f t="shared" si="191"/>
        <v>1000000</v>
      </c>
      <c r="AI1081" s="101">
        <f t="shared" si="190"/>
        <v>1000000</v>
      </c>
      <c r="AJ1081" s="155">
        <v>3</v>
      </c>
      <c r="AK1081" s="121">
        <f t="shared" si="193"/>
        <v>66</v>
      </c>
      <c r="AL1081" s="152">
        <f t="shared" si="192"/>
        <v>466.51970165802999</v>
      </c>
    </row>
    <row r="1082" spans="31:38" ht="15.75" hidden="1" thickBot="1">
      <c r="AE1082" s="801"/>
      <c r="AF1082" s="777"/>
      <c r="AH1082" s="101">
        <f t="shared" si="191"/>
        <v>1000000</v>
      </c>
      <c r="AI1082" s="101">
        <f t="shared" si="190"/>
        <v>1000000</v>
      </c>
      <c r="AJ1082" s="155">
        <v>3</v>
      </c>
      <c r="AK1082" s="121">
        <f t="shared" si="193"/>
        <v>67</v>
      </c>
      <c r="AL1082" s="152">
        <f t="shared" si="192"/>
        <v>465.1061252459894</v>
      </c>
    </row>
    <row r="1083" spans="31:38" ht="15.75" hidden="1" thickBot="1">
      <c r="AE1083" s="801"/>
      <c r="AF1083" s="777"/>
      <c r="AH1083" s="101">
        <f t="shared" si="191"/>
        <v>1000000</v>
      </c>
      <c r="AI1083" s="101">
        <f t="shared" si="190"/>
        <v>1000000</v>
      </c>
      <c r="AJ1083" s="155">
        <v>3</v>
      </c>
      <c r="AK1083" s="121">
        <f t="shared" si="193"/>
        <v>68</v>
      </c>
      <c r="AL1083" s="152">
        <f t="shared" si="192"/>
        <v>463.69254883394876</v>
      </c>
    </row>
    <row r="1084" spans="31:38" ht="15.75" hidden="1" thickBot="1">
      <c r="AE1084" s="801"/>
      <c r="AF1084" s="777"/>
      <c r="AH1084" s="101">
        <f t="shared" si="191"/>
        <v>1000000</v>
      </c>
      <c r="AI1084" s="101">
        <f t="shared" si="190"/>
        <v>1000000</v>
      </c>
      <c r="AJ1084" s="155">
        <v>3</v>
      </c>
      <c r="AK1084" s="121">
        <f t="shared" si="193"/>
        <v>69</v>
      </c>
      <c r="AL1084" s="152">
        <f t="shared" si="192"/>
        <v>462.27897242190824</v>
      </c>
    </row>
    <row r="1085" spans="31:38" ht="15.75" hidden="1" thickBot="1">
      <c r="AE1085" s="801"/>
      <c r="AF1085" s="777"/>
      <c r="AH1085" s="101">
        <f t="shared" si="191"/>
        <v>1000000</v>
      </c>
      <c r="AI1085" s="101">
        <f t="shared" si="190"/>
        <v>1000000</v>
      </c>
      <c r="AJ1085" s="155">
        <v>3</v>
      </c>
      <c r="AK1085" s="121">
        <f t="shared" si="193"/>
        <v>70</v>
      </c>
      <c r="AL1085" s="152">
        <f t="shared" si="192"/>
        <v>460.8653960098676</v>
      </c>
    </row>
    <row r="1086" spans="31:38" ht="15.75" hidden="1" thickBot="1">
      <c r="AE1086" s="801"/>
      <c r="AF1086" s="777"/>
      <c r="AH1086" s="101">
        <f t="shared" si="191"/>
        <v>1000000</v>
      </c>
      <c r="AI1086" s="101">
        <f t="shared" si="190"/>
        <v>1000000</v>
      </c>
      <c r="AJ1086" s="155">
        <v>3</v>
      </c>
      <c r="AK1086" s="121">
        <f t="shared" si="193"/>
        <v>71</v>
      </c>
      <c r="AL1086" s="152">
        <f t="shared" si="192"/>
        <v>459.45181959782707</v>
      </c>
    </row>
    <row r="1087" spans="31:38" ht="15.75" hidden="1" thickBot="1">
      <c r="AE1087" s="801"/>
      <c r="AF1087" s="777"/>
      <c r="AH1087" s="101">
        <f t="shared" si="191"/>
        <v>1000000</v>
      </c>
      <c r="AI1087" s="101">
        <f t="shared" si="190"/>
        <v>1000000</v>
      </c>
      <c r="AJ1087" s="155">
        <v>3</v>
      </c>
      <c r="AK1087" s="121">
        <f t="shared" si="193"/>
        <v>72</v>
      </c>
      <c r="AL1087" s="152">
        <f t="shared" si="192"/>
        <v>458.03824318578648</v>
      </c>
    </row>
    <row r="1088" spans="31:38" ht="15.75" hidden="1" thickBot="1">
      <c r="AE1088" s="801"/>
      <c r="AF1088" s="777"/>
      <c r="AH1088" s="101">
        <f t="shared" si="191"/>
        <v>1000000</v>
      </c>
      <c r="AI1088" s="101">
        <f t="shared" si="190"/>
        <v>1000000</v>
      </c>
      <c r="AJ1088" s="155">
        <v>3</v>
      </c>
      <c r="AK1088" s="121">
        <f t="shared" si="193"/>
        <v>73</v>
      </c>
      <c r="AL1088" s="152">
        <f t="shared" si="192"/>
        <v>456.6246667737459</v>
      </c>
    </row>
    <row r="1089" spans="31:38" ht="15.75" hidden="1" thickBot="1">
      <c r="AE1089" s="801"/>
      <c r="AF1089" s="777"/>
      <c r="AH1089" s="101">
        <f t="shared" si="191"/>
        <v>1000000</v>
      </c>
      <c r="AI1089" s="101">
        <f t="shared" si="190"/>
        <v>1000000</v>
      </c>
      <c r="AJ1089" s="155">
        <v>3</v>
      </c>
      <c r="AK1089" s="121">
        <f t="shared" si="193"/>
        <v>74</v>
      </c>
      <c r="AL1089" s="152">
        <f t="shared" si="192"/>
        <v>455.21109036170526</v>
      </c>
    </row>
    <row r="1090" spans="31:38" ht="15.75" hidden="1" thickBot="1">
      <c r="AE1090" s="801"/>
      <c r="AF1090" s="777"/>
      <c r="AH1090" s="101">
        <f t="shared" si="191"/>
        <v>1000000</v>
      </c>
      <c r="AI1090" s="101">
        <f t="shared" si="190"/>
        <v>1000000</v>
      </c>
      <c r="AJ1090" s="155">
        <v>3</v>
      </c>
      <c r="AK1090" s="121">
        <f t="shared" si="193"/>
        <v>75</v>
      </c>
      <c r="AL1090" s="152">
        <f t="shared" si="192"/>
        <v>453.79751394966473</v>
      </c>
    </row>
    <row r="1091" spans="31:38" ht="15.75" hidden="1" thickBot="1">
      <c r="AE1091" s="801"/>
      <c r="AF1091" s="777"/>
      <c r="AH1091" s="101">
        <f t="shared" si="191"/>
        <v>1000000</v>
      </c>
      <c r="AI1091" s="101">
        <f t="shared" si="190"/>
        <v>1000000</v>
      </c>
      <c r="AJ1091" s="155">
        <v>3</v>
      </c>
      <c r="AK1091" s="121">
        <f t="shared" si="193"/>
        <v>76</v>
      </c>
      <c r="AL1091" s="152">
        <f t="shared" si="192"/>
        <v>452.38393753762421</v>
      </c>
    </row>
    <row r="1092" spans="31:38" ht="15.75" hidden="1" thickBot="1">
      <c r="AE1092" s="801"/>
      <c r="AF1092" s="777"/>
      <c r="AH1092" s="101">
        <f t="shared" si="191"/>
        <v>1000000</v>
      </c>
      <c r="AI1092" s="101">
        <f t="shared" si="190"/>
        <v>1000000</v>
      </c>
      <c r="AJ1092" s="155">
        <v>3</v>
      </c>
      <c r="AK1092" s="121">
        <f t="shared" si="193"/>
        <v>77</v>
      </c>
      <c r="AL1092" s="152">
        <f t="shared" si="192"/>
        <v>450.97036112558362</v>
      </c>
    </row>
    <row r="1093" spans="31:38" ht="15.75" hidden="1" thickBot="1">
      <c r="AE1093" s="801"/>
      <c r="AF1093" s="777"/>
      <c r="AH1093" s="101">
        <f t="shared" si="191"/>
        <v>1000000</v>
      </c>
      <c r="AI1093" s="101">
        <f t="shared" si="190"/>
        <v>1000000</v>
      </c>
      <c r="AJ1093" s="155">
        <v>3</v>
      </c>
      <c r="AK1093" s="121">
        <f t="shared" si="193"/>
        <v>78</v>
      </c>
      <c r="AL1093" s="152">
        <f t="shared" si="192"/>
        <v>449.55678471354298</v>
      </c>
    </row>
    <row r="1094" spans="31:38" ht="15.75" hidden="1" thickBot="1">
      <c r="AE1094" s="801"/>
      <c r="AF1094" s="777"/>
      <c r="AH1094" s="101">
        <f t="shared" si="191"/>
        <v>1000000</v>
      </c>
      <c r="AI1094" s="101">
        <f t="shared" si="190"/>
        <v>1000000</v>
      </c>
      <c r="AJ1094" s="155">
        <v>3</v>
      </c>
      <c r="AK1094" s="121">
        <f t="shared" si="193"/>
        <v>79</v>
      </c>
      <c r="AL1094" s="152">
        <f t="shared" si="192"/>
        <v>448.1432083015024</v>
      </c>
    </row>
    <row r="1095" spans="31:38" ht="15.75" hidden="1" thickBot="1">
      <c r="AE1095" s="801"/>
      <c r="AF1095" s="777"/>
      <c r="AH1095" s="101">
        <f t="shared" si="191"/>
        <v>1000000</v>
      </c>
      <c r="AI1095" s="101">
        <f t="shared" si="190"/>
        <v>1000000</v>
      </c>
      <c r="AJ1095" s="155">
        <v>3</v>
      </c>
      <c r="AK1095" s="121">
        <f t="shared" si="193"/>
        <v>80</v>
      </c>
      <c r="AL1095" s="152">
        <f t="shared" si="192"/>
        <v>446.72963188946187</v>
      </c>
    </row>
    <row r="1096" spans="31:38" ht="15.75" hidden="1" thickBot="1">
      <c r="AE1096" s="801"/>
      <c r="AF1096" s="777"/>
      <c r="AH1096" s="101">
        <f t="shared" si="191"/>
        <v>1000000</v>
      </c>
      <c r="AI1096" s="101">
        <f t="shared" si="190"/>
        <v>1000000</v>
      </c>
      <c r="AJ1096" s="155">
        <v>3</v>
      </c>
      <c r="AK1096" s="121">
        <f t="shared" si="193"/>
        <v>81</v>
      </c>
      <c r="AL1096" s="152">
        <f t="shared" si="192"/>
        <v>445.31605547742129</v>
      </c>
    </row>
    <row r="1097" spans="31:38" ht="15.75" hidden="1" thickBot="1">
      <c r="AE1097" s="801"/>
      <c r="AF1097" s="777"/>
      <c r="AH1097" s="101">
        <f t="shared" si="191"/>
        <v>1000000</v>
      </c>
      <c r="AI1097" s="101">
        <f t="shared" si="190"/>
        <v>1000000</v>
      </c>
      <c r="AJ1097" s="155">
        <v>3</v>
      </c>
      <c r="AK1097" s="121">
        <f t="shared" si="193"/>
        <v>82</v>
      </c>
      <c r="AL1097" s="152">
        <f t="shared" si="192"/>
        <v>443.9024790653807</v>
      </c>
    </row>
    <row r="1098" spans="31:38" ht="15.75" hidden="1" thickBot="1">
      <c r="AE1098" s="801"/>
      <c r="AF1098" s="777"/>
      <c r="AH1098" s="101">
        <f t="shared" si="191"/>
        <v>1000000</v>
      </c>
      <c r="AI1098" s="101">
        <f t="shared" si="190"/>
        <v>1000000</v>
      </c>
      <c r="AJ1098" s="155">
        <v>3</v>
      </c>
      <c r="AK1098" s="121">
        <f t="shared" si="193"/>
        <v>83</v>
      </c>
      <c r="AL1098" s="152">
        <f t="shared" si="192"/>
        <v>442.48890265334012</v>
      </c>
    </row>
    <row r="1099" spans="31:38" ht="15.75" hidden="1" thickBot="1">
      <c r="AE1099" s="801"/>
      <c r="AF1099" s="777"/>
      <c r="AH1099" s="101">
        <f t="shared" si="191"/>
        <v>1000000</v>
      </c>
      <c r="AI1099" s="101">
        <f t="shared" si="190"/>
        <v>1000000</v>
      </c>
      <c r="AJ1099" s="155">
        <v>3</v>
      </c>
      <c r="AK1099" s="121">
        <f t="shared" si="193"/>
        <v>84</v>
      </c>
      <c r="AL1099" s="152">
        <f t="shared" si="192"/>
        <v>441.07532624129948</v>
      </c>
    </row>
    <row r="1100" spans="31:38" ht="15.75" hidden="1" thickBot="1">
      <c r="AE1100" s="801"/>
      <c r="AF1100" s="777"/>
      <c r="AH1100" s="101">
        <f t="shared" si="191"/>
        <v>1000000</v>
      </c>
      <c r="AI1100" s="101">
        <f t="shared" si="190"/>
        <v>1000000</v>
      </c>
      <c r="AJ1100" s="155">
        <v>3</v>
      </c>
      <c r="AK1100" s="121">
        <f t="shared" si="193"/>
        <v>85</v>
      </c>
      <c r="AL1100" s="152">
        <f t="shared" si="192"/>
        <v>439.66174982925889</v>
      </c>
    </row>
    <row r="1101" spans="31:38" ht="15.75" hidden="1" thickBot="1">
      <c r="AE1101" s="801"/>
      <c r="AF1101" s="777"/>
      <c r="AH1101" s="101">
        <f t="shared" si="191"/>
        <v>1000000</v>
      </c>
      <c r="AI1101" s="101">
        <f t="shared" si="190"/>
        <v>1000000</v>
      </c>
      <c r="AJ1101" s="155">
        <v>3</v>
      </c>
      <c r="AK1101" s="121">
        <f t="shared" si="193"/>
        <v>86</v>
      </c>
      <c r="AL1101" s="152">
        <f t="shared" si="192"/>
        <v>438.24817341721837</v>
      </c>
    </row>
    <row r="1102" spans="31:38" ht="15.75" hidden="1" thickBot="1">
      <c r="AE1102" s="801"/>
      <c r="AF1102" s="777"/>
      <c r="AH1102" s="101">
        <f t="shared" si="191"/>
        <v>1000000</v>
      </c>
      <c r="AI1102" s="101">
        <f t="shared" si="190"/>
        <v>1000000</v>
      </c>
      <c r="AJ1102" s="155">
        <v>3</v>
      </c>
      <c r="AK1102" s="121">
        <f t="shared" si="193"/>
        <v>87</v>
      </c>
      <c r="AL1102" s="152">
        <f t="shared" si="192"/>
        <v>436.83459700517778</v>
      </c>
    </row>
    <row r="1103" spans="31:38" ht="15.75" hidden="1" thickBot="1">
      <c r="AE1103" s="801"/>
      <c r="AF1103" s="777"/>
      <c r="AH1103" s="101">
        <f t="shared" si="191"/>
        <v>1000000</v>
      </c>
      <c r="AI1103" s="101">
        <f t="shared" si="190"/>
        <v>1000000</v>
      </c>
      <c r="AJ1103" s="155">
        <v>3</v>
      </c>
      <c r="AK1103" s="121">
        <f t="shared" si="193"/>
        <v>88</v>
      </c>
      <c r="AL1103" s="152">
        <f t="shared" si="192"/>
        <v>435.4210205931372</v>
      </c>
    </row>
    <row r="1104" spans="31:38" ht="15.75" hidden="1" thickBot="1">
      <c r="AE1104" s="801"/>
      <c r="AF1104" s="777"/>
      <c r="AH1104" s="101">
        <f t="shared" si="191"/>
        <v>1000000</v>
      </c>
      <c r="AI1104" s="101">
        <f t="shared" si="190"/>
        <v>1000000</v>
      </c>
      <c r="AJ1104" s="155">
        <v>3</v>
      </c>
      <c r="AK1104" s="121">
        <f t="shared" si="193"/>
        <v>89</v>
      </c>
      <c r="AL1104" s="152">
        <f t="shared" si="192"/>
        <v>434.00744418109662</v>
      </c>
    </row>
    <row r="1105" spans="31:38" ht="15.75" hidden="1" thickBot="1">
      <c r="AE1105" s="801"/>
      <c r="AF1105" s="777"/>
      <c r="AH1105" s="101">
        <f t="shared" si="191"/>
        <v>1000000</v>
      </c>
      <c r="AI1105" s="101">
        <f t="shared" si="190"/>
        <v>1000000</v>
      </c>
      <c r="AJ1105" s="155">
        <v>3</v>
      </c>
      <c r="AK1105" s="121">
        <f t="shared" si="193"/>
        <v>90</v>
      </c>
      <c r="AL1105" s="152">
        <f t="shared" si="192"/>
        <v>432.59386776905603</v>
      </c>
    </row>
    <row r="1106" spans="31:38" ht="15.75" hidden="1" thickBot="1">
      <c r="AE1106" s="801"/>
      <c r="AF1106" s="777"/>
      <c r="AH1106" s="101">
        <f t="shared" si="191"/>
        <v>1000000</v>
      </c>
      <c r="AI1106" s="101">
        <f t="shared" si="190"/>
        <v>1000000</v>
      </c>
      <c r="AJ1106" s="155">
        <v>3</v>
      </c>
      <c r="AK1106" s="121">
        <f t="shared" si="193"/>
        <v>91</v>
      </c>
      <c r="AL1106" s="152">
        <f t="shared" si="192"/>
        <v>431.18029135701545</v>
      </c>
    </row>
    <row r="1107" spans="31:38" ht="15.75" hidden="1" thickBot="1">
      <c r="AE1107" s="801"/>
      <c r="AF1107" s="777"/>
      <c r="AH1107" s="101">
        <f t="shared" si="191"/>
        <v>1000000</v>
      </c>
      <c r="AI1107" s="101">
        <f t="shared" si="190"/>
        <v>1000000</v>
      </c>
      <c r="AJ1107" s="155">
        <v>3</v>
      </c>
      <c r="AK1107" s="121">
        <f t="shared" si="193"/>
        <v>92</v>
      </c>
      <c r="AL1107" s="152">
        <f t="shared" si="192"/>
        <v>429.76671494497486</v>
      </c>
    </row>
    <row r="1108" spans="31:38" ht="15.75" hidden="1" thickBot="1">
      <c r="AE1108" s="801"/>
      <c r="AF1108" s="777"/>
      <c r="AH1108" s="101">
        <f t="shared" si="191"/>
        <v>1000000</v>
      </c>
      <c r="AI1108" s="101">
        <f t="shared" si="190"/>
        <v>1000000</v>
      </c>
      <c r="AJ1108" s="155">
        <v>3</v>
      </c>
      <c r="AK1108" s="121">
        <f t="shared" si="193"/>
        <v>93</v>
      </c>
      <c r="AL1108" s="152">
        <f t="shared" si="192"/>
        <v>428.35313853293434</v>
      </c>
    </row>
    <row r="1109" spans="31:38" ht="15.75" hidden="1" thickBot="1">
      <c r="AE1109" s="801"/>
      <c r="AF1109" s="777"/>
      <c r="AH1109" s="101">
        <f t="shared" si="191"/>
        <v>1000000</v>
      </c>
      <c r="AI1109" s="101">
        <f t="shared" si="190"/>
        <v>1000000</v>
      </c>
      <c r="AJ1109" s="155">
        <v>3</v>
      </c>
      <c r="AK1109" s="121">
        <f t="shared" si="193"/>
        <v>94</v>
      </c>
      <c r="AL1109" s="152">
        <f t="shared" si="192"/>
        <v>426.9395621208937</v>
      </c>
    </row>
    <row r="1110" spans="31:38" ht="15.75" hidden="1" thickBot="1">
      <c r="AE1110" s="801"/>
      <c r="AF1110" s="777"/>
      <c r="AH1110" s="101">
        <f t="shared" si="191"/>
        <v>1000000</v>
      </c>
      <c r="AI1110" s="101">
        <f t="shared" si="190"/>
        <v>1000000</v>
      </c>
      <c r="AJ1110" s="155">
        <v>3</v>
      </c>
      <c r="AK1110" s="121">
        <f t="shared" si="193"/>
        <v>95</v>
      </c>
      <c r="AL1110" s="152">
        <f t="shared" si="192"/>
        <v>425.52598570885311</v>
      </c>
    </row>
    <row r="1111" spans="31:38" ht="15.75" hidden="1" thickBot="1">
      <c r="AE1111" s="801"/>
      <c r="AF1111" s="777"/>
      <c r="AH1111" s="101">
        <f>BE199</f>
        <v>1000000</v>
      </c>
      <c r="AI1111" s="101">
        <f t="shared" si="190"/>
        <v>1000000</v>
      </c>
      <c r="AJ1111" s="155">
        <v>3</v>
      </c>
      <c r="AK1111" s="121">
        <f t="shared" si="193"/>
        <v>96</v>
      </c>
      <c r="AL1111" s="152">
        <f>AB199</f>
        <v>424.11240929681253</v>
      </c>
    </row>
    <row r="1112" spans="31:38" ht="15.75" hidden="1" thickBot="1">
      <c r="AE1112" s="801"/>
      <c r="AF1112" s="777"/>
      <c r="AH1112" s="101">
        <f>BE200</f>
        <v>1000000</v>
      </c>
      <c r="AI1112" s="101">
        <f t="shared" si="190"/>
        <v>1000000</v>
      </c>
      <c r="AJ1112" s="155">
        <v>3</v>
      </c>
      <c r="AK1112" s="121">
        <f t="shared" si="193"/>
        <v>97</v>
      </c>
      <c r="AL1112" s="152">
        <f>AB200</f>
        <v>422.69883288477195</v>
      </c>
    </row>
    <row r="1113" spans="31:38" ht="15.75" hidden="1" thickBot="1">
      <c r="AE1113" s="801"/>
      <c r="AF1113" s="777"/>
      <c r="AH1113" s="101">
        <f>BE201</f>
        <v>1000000</v>
      </c>
      <c r="AI1113" s="101">
        <f t="shared" si="190"/>
        <v>1000000</v>
      </c>
      <c r="AJ1113" s="155">
        <v>3</v>
      </c>
      <c r="AK1113" s="121">
        <f t="shared" si="193"/>
        <v>98</v>
      </c>
      <c r="AL1113" s="152">
        <f>AB201</f>
        <v>421.28525647273136</v>
      </c>
    </row>
    <row r="1114" spans="31:38" ht="15.75" hidden="1" thickBot="1">
      <c r="AE1114" s="801"/>
      <c r="AF1114" s="777"/>
      <c r="AH1114" s="101">
        <f>BE202</f>
        <v>1000000</v>
      </c>
      <c r="AI1114" s="101">
        <f t="shared" si="190"/>
        <v>1000000</v>
      </c>
      <c r="AJ1114" s="155">
        <v>3</v>
      </c>
      <c r="AK1114" s="121">
        <f t="shared" si="193"/>
        <v>99</v>
      </c>
      <c r="AL1114" s="152">
        <f>AB202</f>
        <v>419.87168006069084</v>
      </c>
    </row>
    <row r="1115" spans="31:38" ht="15.75" hidden="1" thickBot="1">
      <c r="AE1115" s="801"/>
      <c r="AF1115" s="778"/>
      <c r="AH1115" s="101">
        <f>BE203</f>
        <v>1000000</v>
      </c>
      <c r="AI1115" s="101">
        <f t="shared" si="190"/>
        <v>1000000</v>
      </c>
      <c r="AJ1115" s="155">
        <v>3</v>
      </c>
      <c r="AK1115" s="121">
        <f t="shared" si="193"/>
        <v>100</v>
      </c>
      <c r="AL1115" s="152">
        <f>AB203</f>
        <v>418.45810364865019</v>
      </c>
    </row>
    <row r="1116" spans="31:38" ht="15.75" hidden="1" thickBot="1">
      <c r="AE1116" s="801"/>
      <c r="AF1116" s="776" t="s">
        <v>283</v>
      </c>
      <c r="AH1116" s="101">
        <f>BL103</f>
        <v>247.65623409481378</v>
      </c>
      <c r="AI1116" s="101">
        <f t="shared" si="190"/>
        <v>247.65623409481378</v>
      </c>
      <c r="AJ1116" s="155">
        <v>4</v>
      </c>
      <c r="AK1116" s="121">
        <v>0</v>
      </c>
      <c r="AL1116" s="152">
        <f t="shared" ref="AL1116:AL1147" si="194">AC103</f>
        <v>699.76968106588538</v>
      </c>
    </row>
    <row r="1117" spans="31:38" ht="15.75" hidden="1" thickBot="1">
      <c r="AE1117" s="801"/>
      <c r="AF1117" s="777"/>
      <c r="AH1117" s="101">
        <f t="shared" ref="AH1117:AH1147" si="195">BL104</f>
        <v>1000000</v>
      </c>
      <c r="AI1117" s="101">
        <f t="shared" si="190"/>
        <v>1000000</v>
      </c>
      <c r="AJ1117" s="155">
        <v>4</v>
      </c>
      <c r="AK1117" s="121">
        <f t="shared" ref="AK1117:AK1180" si="196">AK1116+1</f>
        <v>1</v>
      </c>
      <c r="AL1117" s="152">
        <f t="shared" si="194"/>
        <v>698.00271055083476</v>
      </c>
    </row>
    <row r="1118" spans="31:38" ht="15.75" hidden="1" thickBot="1">
      <c r="AE1118" s="801"/>
      <c r="AF1118" s="777"/>
      <c r="AH1118" s="101">
        <f t="shared" si="195"/>
        <v>1000000</v>
      </c>
      <c r="AI1118" s="101">
        <f t="shared" si="190"/>
        <v>1000000</v>
      </c>
      <c r="AJ1118" s="155">
        <v>4</v>
      </c>
      <c r="AK1118" s="121">
        <f t="shared" si="196"/>
        <v>2</v>
      </c>
      <c r="AL1118" s="152">
        <f t="shared" si="194"/>
        <v>696.23574003578392</v>
      </c>
    </row>
    <row r="1119" spans="31:38" ht="15.75" hidden="1" thickBot="1">
      <c r="AE1119" s="801"/>
      <c r="AF1119" s="777"/>
      <c r="AH1119" s="101">
        <f t="shared" si="195"/>
        <v>1000000</v>
      </c>
      <c r="AI1119" s="101">
        <f t="shared" si="190"/>
        <v>1000000</v>
      </c>
      <c r="AJ1119" s="155">
        <v>4</v>
      </c>
      <c r="AK1119" s="121">
        <f t="shared" si="196"/>
        <v>3</v>
      </c>
      <c r="AL1119" s="152">
        <f t="shared" si="194"/>
        <v>694.4687695207333</v>
      </c>
    </row>
    <row r="1120" spans="31:38" ht="15.75" hidden="1" thickBot="1">
      <c r="AE1120" s="801"/>
      <c r="AF1120" s="777"/>
      <c r="AH1120" s="101">
        <f t="shared" si="195"/>
        <v>1000000</v>
      </c>
      <c r="AI1120" s="101">
        <f t="shared" si="190"/>
        <v>1000000</v>
      </c>
      <c r="AJ1120" s="155">
        <v>4</v>
      </c>
      <c r="AK1120" s="121">
        <f t="shared" si="196"/>
        <v>4</v>
      </c>
      <c r="AL1120" s="152">
        <f t="shared" si="194"/>
        <v>692.70179900568246</v>
      </c>
    </row>
    <row r="1121" spans="31:38" ht="15.75" hidden="1" thickBot="1">
      <c r="AE1121" s="801"/>
      <c r="AF1121" s="777"/>
      <c r="AH1121" s="101">
        <f t="shared" si="195"/>
        <v>1000000</v>
      </c>
      <c r="AI1121" s="101">
        <f t="shared" si="190"/>
        <v>1000000</v>
      </c>
      <c r="AJ1121" s="155">
        <v>4</v>
      </c>
      <c r="AK1121" s="121">
        <f t="shared" si="196"/>
        <v>5</v>
      </c>
      <c r="AL1121" s="152">
        <f t="shared" si="194"/>
        <v>690.93482849063184</v>
      </c>
    </row>
    <row r="1122" spans="31:38" ht="15.75" hidden="1" thickBot="1">
      <c r="AE1122" s="801"/>
      <c r="AF1122" s="777"/>
      <c r="AH1122" s="101">
        <f t="shared" si="195"/>
        <v>1000000</v>
      </c>
      <c r="AI1122" s="101">
        <f t="shared" si="190"/>
        <v>1000000</v>
      </c>
      <c r="AJ1122" s="155">
        <v>4</v>
      </c>
      <c r="AK1122" s="121">
        <f t="shared" si="196"/>
        <v>6</v>
      </c>
      <c r="AL1122" s="152">
        <f t="shared" si="194"/>
        <v>689.167857975581</v>
      </c>
    </row>
    <row r="1123" spans="31:38" ht="15.75" hidden="1" thickBot="1">
      <c r="AE1123" s="801"/>
      <c r="AF1123" s="777"/>
      <c r="AH1123" s="101">
        <f t="shared" si="195"/>
        <v>1000000</v>
      </c>
      <c r="AI1123" s="101">
        <f t="shared" si="190"/>
        <v>1000000</v>
      </c>
      <c r="AJ1123" s="155">
        <v>4</v>
      </c>
      <c r="AK1123" s="121">
        <f t="shared" si="196"/>
        <v>7</v>
      </c>
      <c r="AL1123" s="152">
        <f t="shared" si="194"/>
        <v>687.40088746053038</v>
      </c>
    </row>
    <row r="1124" spans="31:38" ht="15.75" hidden="1" thickBot="1">
      <c r="AE1124" s="801"/>
      <c r="AF1124" s="777"/>
      <c r="AH1124" s="101">
        <f t="shared" si="195"/>
        <v>1000000</v>
      </c>
      <c r="AI1124" s="101">
        <f t="shared" si="190"/>
        <v>1000000</v>
      </c>
      <c r="AJ1124" s="155">
        <v>4</v>
      </c>
      <c r="AK1124" s="121">
        <f t="shared" si="196"/>
        <v>8</v>
      </c>
      <c r="AL1124" s="152">
        <f t="shared" si="194"/>
        <v>685.63391694547954</v>
      </c>
    </row>
    <row r="1125" spans="31:38" ht="15.75" hidden="1" thickBot="1">
      <c r="AE1125" s="801"/>
      <c r="AF1125" s="777"/>
      <c r="AH1125" s="101">
        <f t="shared" si="195"/>
        <v>1000000</v>
      </c>
      <c r="AI1125" s="101">
        <f t="shared" si="190"/>
        <v>1000000</v>
      </c>
      <c r="AJ1125" s="155">
        <v>4</v>
      </c>
      <c r="AK1125" s="121">
        <f t="shared" si="196"/>
        <v>9</v>
      </c>
      <c r="AL1125" s="152">
        <f t="shared" si="194"/>
        <v>683.86694643042892</v>
      </c>
    </row>
    <row r="1126" spans="31:38" ht="15.75" hidden="1" thickBot="1">
      <c r="AE1126" s="801"/>
      <c r="AF1126" s="777"/>
      <c r="AH1126" s="101">
        <f t="shared" si="195"/>
        <v>1000000</v>
      </c>
      <c r="AI1126" s="101">
        <f t="shared" si="190"/>
        <v>1000000</v>
      </c>
      <c r="AJ1126" s="155">
        <v>4</v>
      </c>
      <c r="AK1126" s="121">
        <f t="shared" si="196"/>
        <v>10</v>
      </c>
      <c r="AL1126" s="152">
        <f t="shared" si="194"/>
        <v>682.09997591537808</v>
      </c>
    </row>
    <row r="1127" spans="31:38" ht="15.75" hidden="1" thickBot="1">
      <c r="AE1127" s="801"/>
      <c r="AF1127" s="777"/>
      <c r="AH1127" s="101">
        <f t="shared" si="195"/>
        <v>1000000</v>
      </c>
      <c r="AI1127" s="101">
        <f t="shared" si="190"/>
        <v>1000000</v>
      </c>
      <c r="AJ1127" s="155">
        <v>4</v>
      </c>
      <c r="AK1127" s="121">
        <f t="shared" si="196"/>
        <v>11</v>
      </c>
      <c r="AL1127" s="152">
        <f t="shared" si="194"/>
        <v>680.33300540032747</v>
      </c>
    </row>
    <row r="1128" spans="31:38" ht="15.75" hidden="1" thickBot="1">
      <c r="AE1128" s="801"/>
      <c r="AF1128" s="777"/>
      <c r="AH1128" s="101">
        <f t="shared" si="195"/>
        <v>1000000</v>
      </c>
      <c r="AI1128" s="101">
        <f t="shared" si="190"/>
        <v>1000000</v>
      </c>
      <c r="AJ1128" s="155">
        <v>4</v>
      </c>
      <c r="AK1128" s="121">
        <f t="shared" si="196"/>
        <v>12</v>
      </c>
      <c r="AL1128" s="152">
        <f t="shared" si="194"/>
        <v>678.56603488527662</v>
      </c>
    </row>
    <row r="1129" spans="31:38" ht="15.75" hidden="1" thickBot="1">
      <c r="AE1129" s="801"/>
      <c r="AF1129" s="777"/>
      <c r="AH1129" s="101">
        <f t="shared" si="195"/>
        <v>1000000</v>
      </c>
      <c r="AI1129" s="101">
        <f t="shared" si="190"/>
        <v>1000000</v>
      </c>
      <c r="AJ1129" s="155">
        <v>4</v>
      </c>
      <c r="AK1129" s="121">
        <f t="shared" si="196"/>
        <v>13</v>
      </c>
      <c r="AL1129" s="152">
        <f t="shared" si="194"/>
        <v>676.79906437022601</v>
      </c>
    </row>
    <row r="1130" spans="31:38" ht="15.75" hidden="1" thickBot="1">
      <c r="AE1130" s="801"/>
      <c r="AF1130" s="777"/>
      <c r="AH1130" s="101">
        <f t="shared" si="195"/>
        <v>1000000</v>
      </c>
      <c r="AI1130" s="101">
        <f t="shared" si="190"/>
        <v>1000000</v>
      </c>
      <c r="AJ1130" s="155">
        <v>4</v>
      </c>
      <c r="AK1130" s="121">
        <f t="shared" si="196"/>
        <v>14</v>
      </c>
      <c r="AL1130" s="152">
        <f t="shared" si="194"/>
        <v>675.03209385517516</v>
      </c>
    </row>
    <row r="1131" spans="31:38" ht="15.75" hidden="1" thickBot="1">
      <c r="AE1131" s="801"/>
      <c r="AF1131" s="777"/>
      <c r="AH1131" s="101">
        <f t="shared" si="195"/>
        <v>1000000</v>
      </c>
      <c r="AI1131" s="101">
        <f t="shared" si="190"/>
        <v>1000000</v>
      </c>
      <c r="AJ1131" s="155">
        <v>4</v>
      </c>
      <c r="AK1131" s="121">
        <f t="shared" si="196"/>
        <v>15</v>
      </c>
      <c r="AL1131" s="152">
        <f t="shared" si="194"/>
        <v>673.26512334012455</v>
      </c>
    </row>
    <row r="1132" spans="31:38" ht="15.75" hidden="1" thickBot="1">
      <c r="AE1132" s="801"/>
      <c r="AF1132" s="777"/>
      <c r="AH1132" s="101">
        <f t="shared" si="195"/>
        <v>1000000</v>
      </c>
      <c r="AI1132" s="101">
        <f t="shared" si="190"/>
        <v>1000000</v>
      </c>
      <c r="AJ1132" s="155">
        <v>4</v>
      </c>
      <c r="AK1132" s="121">
        <f t="shared" si="196"/>
        <v>16</v>
      </c>
      <c r="AL1132" s="152">
        <f t="shared" si="194"/>
        <v>671.4981528250737</v>
      </c>
    </row>
    <row r="1133" spans="31:38" ht="15.75" hidden="1" thickBot="1">
      <c r="AE1133" s="801"/>
      <c r="AF1133" s="777"/>
      <c r="AH1133" s="101">
        <f t="shared" si="195"/>
        <v>1000000</v>
      </c>
      <c r="AI1133" s="101">
        <f t="shared" ref="AI1133:AI1196" si="197">IF(AL1133&lt;$D$82,0,AH1133)</f>
        <v>1000000</v>
      </c>
      <c r="AJ1133" s="155">
        <v>4</v>
      </c>
      <c r="AK1133" s="121">
        <f t="shared" si="196"/>
        <v>17</v>
      </c>
      <c r="AL1133" s="152">
        <f t="shared" si="194"/>
        <v>669.73118231002309</v>
      </c>
    </row>
    <row r="1134" spans="31:38" ht="15.75" hidden="1" thickBot="1">
      <c r="AE1134" s="801"/>
      <c r="AF1134" s="777"/>
      <c r="AH1134" s="101">
        <f t="shared" si="195"/>
        <v>1000000</v>
      </c>
      <c r="AI1134" s="101">
        <f t="shared" si="197"/>
        <v>1000000</v>
      </c>
      <c r="AJ1134" s="155">
        <v>4</v>
      </c>
      <c r="AK1134" s="121">
        <f t="shared" si="196"/>
        <v>18</v>
      </c>
      <c r="AL1134" s="152">
        <f t="shared" si="194"/>
        <v>667.96421179497224</v>
      </c>
    </row>
    <row r="1135" spans="31:38" ht="15.75" hidden="1" thickBot="1">
      <c r="AE1135" s="801"/>
      <c r="AF1135" s="777"/>
      <c r="AH1135" s="101">
        <f t="shared" si="195"/>
        <v>1000000</v>
      </c>
      <c r="AI1135" s="101">
        <f t="shared" si="197"/>
        <v>1000000</v>
      </c>
      <c r="AJ1135" s="155">
        <v>4</v>
      </c>
      <c r="AK1135" s="121">
        <f t="shared" si="196"/>
        <v>19</v>
      </c>
      <c r="AL1135" s="152">
        <f t="shared" si="194"/>
        <v>666.19724127992163</v>
      </c>
    </row>
    <row r="1136" spans="31:38" ht="15.75" hidden="1" thickBot="1">
      <c r="AE1136" s="801"/>
      <c r="AF1136" s="777"/>
      <c r="AH1136" s="101">
        <f t="shared" si="195"/>
        <v>1000000</v>
      </c>
      <c r="AI1136" s="101">
        <f t="shared" si="197"/>
        <v>1000000</v>
      </c>
      <c r="AJ1136" s="155">
        <v>4</v>
      </c>
      <c r="AK1136" s="121">
        <f t="shared" si="196"/>
        <v>20</v>
      </c>
      <c r="AL1136" s="152">
        <f t="shared" si="194"/>
        <v>664.43027076487078</v>
      </c>
    </row>
    <row r="1137" spans="31:38" ht="15.75" hidden="1" thickBot="1">
      <c r="AE1137" s="801"/>
      <c r="AF1137" s="777"/>
      <c r="AH1137" s="101">
        <f t="shared" si="195"/>
        <v>1000000</v>
      </c>
      <c r="AI1137" s="101">
        <f t="shared" si="197"/>
        <v>1000000</v>
      </c>
      <c r="AJ1137" s="155">
        <v>4</v>
      </c>
      <c r="AK1137" s="121">
        <f t="shared" si="196"/>
        <v>21</v>
      </c>
      <c r="AL1137" s="152">
        <f t="shared" si="194"/>
        <v>662.66330024982017</v>
      </c>
    </row>
    <row r="1138" spans="31:38" ht="15.75" hidden="1" thickBot="1">
      <c r="AE1138" s="801"/>
      <c r="AF1138" s="777"/>
      <c r="AH1138" s="101">
        <f t="shared" si="195"/>
        <v>1000000</v>
      </c>
      <c r="AI1138" s="101">
        <f t="shared" si="197"/>
        <v>1000000</v>
      </c>
      <c r="AJ1138" s="155">
        <v>4</v>
      </c>
      <c r="AK1138" s="121">
        <f t="shared" si="196"/>
        <v>22</v>
      </c>
      <c r="AL1138" s="152">
        <f t="shared" si="194"/>
        <v>660.89632973476932</v>
      </c>
    </row>
    <row r="1139" spans="31:38" ht="15.75" hidden="1" thickBot="1">
      <c r="AE1139" s="801"/>
      <c r="AF1139" s="777"/>
      <c r="AH1139" s="101">
        <f t="shared" si="195"/>
        <v>1000000</v>
      </c>
      <c r="AI1139" s="101">
        <f t="shared" si="197"/>
        <v>1000000</v>
      </c>
      <c r="AJ1139" s="155">
        <v>4</v>
      </c>
      <c r="AK1139" s="121">
        <f t="shared" si="196"/>
        <v>23</v>
      </c>
      <c r="AL1139" s="152">
        <f t="shared" si="194"/>
        <v>659.12935921971871</v>
      </c>
    </row>
    <row r="1140" spans="31:38" ht="15.75" hidden="1" thickBot="1">
      <c r="AE1140" s="801"/>
      <c r="AF1140" s="777"/>
      <c r="AH1140" s="101">
        <f t="shared" si="195"/>
        <v>1000000</v>
      </c>
      <c r="AI1140" s="101">
        <f t="shared" si="197"/>
        <v>1000000</v>
      </c>
      <c r="AJ1140" s="155">
        <v>4</v>
      </c>
      <c r="AK1140" s="121">
        <f t="shared" si="196"/>
        <v>24</v>
      </c>
      <c r="AL1140" s="152">
        <f t="shared" si="194"/>
        <v>657.36238870466786</v>
      </c>
    </row>
    <row r="1141" spans="31:38" ht="15.75" hidden="1" thickBot="1">
      <c r="AE1141" s="801"/>
      <c r="AF1141" s="777"/>
      <c r="AH1141" s="101">
        <f t="shared" si="195"/>
        <v>1000000</v>
      </c>
      <c r="AI1141" s="101">
        <f t="shared" si="197"/>
        <v>1000000</v>
      </c>
      <c r="AJ1141" s="155">
        <v>4</v>
      </c>
      <c r="AK1141" s="121">
        <f t="shared" si="196"/>
        <v>25</v>
      </c>
      <c r="AL1141" s="152">
        <f t="shared" si="194"/>
        <v>655.59541818961725</v>
      </c>
    </row>
    <row r="1142" spans="31:38" ht="15.75" hidden="1" thickBot="1">
      <c r="AE1142" s="801"/>
      <c r="AF1142" s="777"/>
      <c r="AH1142" s="101">
        <f t="shared" si="195"/>
        <v>1000000</v>
      </c>
      <c r="AI1142" s="101">
        <f t="shared" si="197"/>
        <v>1000000</v>
      </c>
      <c r="AJ1142" s="155">
        <v>4</v>
      </c>
      <c r="AK1142" s="121">
        <f t="shared" si="196"/>
        <v>26</v>
      </c>
      <c r="AL1142" s="152">
        <f t="shared" si="194"/>
        <v>653.82844767456641</v>
      </c>
    </row>
    <row r="1143" spans="31:38" ht="15.75" hidden="1" thickBot="1">
      <c r="AE1143" s="801"/>
      <c r="AF1143" s="777"/>
      <c r="AH1143" s="101">
        <f t="shared" si="195"/>
        <v>1000000</v>
      </c>
      <c r="AI1143" s="101">
        <f t="shared" si="197"/>
        <v>1000000</v>
      </c>
      <c r="AJ1143" s="155">
        <v>4</v>
      </c>
      <c r="AK1143" s="121">
        <f t="shared" si="196"/>
        <v>27</v>
      </c>
      <c r="AL1143" s="152">
        <f t="shared" si="194"/>
        <v>652.06147715951579</v>
      </c>
    </row>
    <row r="1144" spans="31:38" ht="15.75" hidden="1" thickBot="1">
      <c r="AE1144" s="801"/>
      <c r="AF1144" s="777"/>
      <c r="AH1144" s="101">
        <f t="shared" si="195"/>
        <v>1000000</v>
      </c>
      <c r="AI1144" s="101">
        <f t="shared" si="197"/>
        <v>1000000</v>
      </c>
      <c r="AJ1144" s="155">
        <v>4</v>
      </c>
      <c r="AK1144" s="121">
        <f t="shared" si="196"/>
        <v>28</v>
      </c>
      <c r="AL1144" s="152">
        <f t="shared" si="194"/>
        <v>650.29450664446495</v>
      </c>
    </row>
    <row r="1145" spans="31:38" ht="15.75" hidden="1" thickBot="1">
      <c r="AE1145" s="801"/>
      <c r="AF1145" s="777"/>
      <c r="AH1145" s="101">
        <f t="shared" si="195"/>
        <v>1000000</v>
      </c>
      <c r="AI1145" s="101">
        <f t="shared" si="197"/>
        <v>1000000</v>
      </c>
      <c r="AJ1145" s="155">
        <v>4</v>
      </c>
      <c r="AK1145" s="121">
        <f t="shared" si="196"/>
        <v>29</v>
      </c>
      <c r="AL1145" s="152">
        <f t="shared" si="194"/>
        <v>648.52753612941433</v>
      </c>
    </row>
    <row r="1146" spans="31:38" ht="15.75" hidden="1" thickBot="1">
      <c r="AE1146" s="801"/>
      <c r="AF1146" s="777"/>
      <c r="AH1146" s="101">
        <f t="shared" si="195"/>
        <v>1000000</v>
      </c>
      <c r="AI1146" s="101">
        <f t="shared" si="197"/>
        <v>1000000</v>
      </c>
      <c r="AJ1146" s="155">
        <v>4</v>
      </c>
      <c r="AK1146" s="121">
        <f t="shared" si="196"/>
        <v>30</v>
      </c>
      <c r="AL1146" s="152">
        <f t="shared" si="194"/>
        <v>646.76056561436349</v>
      </c>
    </row>
    <row r="1147" spans="31:38" ht="15.75" hidden="1" thickBot="1">
      <c r="AE1147" s="801"/>
      <c r="AF1147" s="777"/>
      <c r="AH1147" s="101">
        <f t="shared" si="195"/>
        <v>1000000</v>
      </c>
      <c r="AI1147" s="101">
        <f t="shared" si="197"/>
        <v>1000000</v>
      </c>
      <c r="AJ1147" s="155">
        <v>4</v>
      </c>
      <c r="AK1147" s="121">
        <f t="shared" si="196"/>
        <v>31</v>
      </c>
      <c r="AL1147" s="152">
        <f t="shared" si="194"/>
        <v>644.99359509931287</v>
      </c>
    </row>
    <row r="1148" spans="31:38" ht="15.75" hidden="1" thickBot="1">
      <c r="AE1148" s="801"/>
      <c r="AF1148" s="777"/>
      <c r="AH1148" s="101">
        <f t="shared" ref="AH1148:AH1179" si="198">BL135</f>
        <v>1000000</v>
      </c>
      <c r="AI1148" s="101">
        <f t="shared" si="197"/>
        <v>1000000</v>
      </c>
      <c r="AJ1148" s="155">
        <v>4</v>
      </c>
      <c r="AK1148" s="121">
        <f t="shared" si="196"/>
        <v>32</v>
      </c>
      <c r="AL1148" s="152">
        <f t="shared" ref="AL1148:AL1179" si="199">AC135</f>
        <v>643.22662458426203</v>
      </c>
    </row>
    <row r="1149" spans="31:38" ht="15.75" hidden="1" thickBot="1">
      <c r="AE1149" s="801"/>
      <c r="AF1149" s="777"/>
      <c r="AH1149" s="101">
        <f t="shared" si="198"/>
        <v>1000000</v>
      </c>
      <c r="AI1149" s="101">
        <f t="shared" si="197"/>
        <v>1000000</v>
      </c>
      <c r="AJ1149" s="155">
        <v>4</v>
      </c>
      <c r="AK1149" s="121">
        <f t="shared" si="196"/>
        <v>33</v>
      </c>
      <c r="AL1149" s="152">
        <f t="shared" si="199"/>
        <v>641.45965406921141</v>
      </c>
    </row>
    <row r="1150" spans="31:38" ht="15.75" hidden="1" thickBot="1">
      <c r="AE1150" s="801"/>
      <c r="AF1150" s="777"/>
      <c r="AH1150" s="101">
        <f t="shared" si="198"/>
        <v>1000000</v>
      </c>
      <c r="AI1150" s="101">
        <f t="shared" si="197"/>
        <v>1000000</v>
      </c>
      <c r="AJ1150" s="155">
        <v>4</v>
      </c>
      <c r="AK1150" s="121">
        <f t="shared" si="196"/>
        <v>34</v>
      </c>
      <c r="AL1150" s="152">
        <f t="shared" si="199"/>
        <v>639.69268355416057</v>
      </c>
    </row>
    <row r="1151" spans="31:38" ht="15.75" hidden="1" thickBot="1">
      <c r="AE1151" s="801"/>
      <c r="AF1151" s="777"/>
      <c r="AH1151" s="101">
        <f t="shared" si="198"/>
        <v>1000000</v>
      </c>
      <c r="AI1151" s="101">
        <f t="shared" si="197"/>
        <v>1000000</v>
      </c>
      <c r="AJ1151" s="155">
        <v>4</v>
      </c>
      <c r="AK1151" s="121">
        <f t="shared" si="196"/>
        <v>35</v>
      </c>
      <c r="AL1151" s="152">
        <f t="shared" si="199"/>
        <v>637.92571303910995</v>
      </c>
    </row>
    <row r="1152" spans="31:38" ht="15.75" hidden="1" thickBot="1">
      <c r="AE1152" s="801"/>
      <c r="AF1152" s="777"/>
      <c r="AH1152" s="101">
        <f t="shared" si="198"/>
        <v>1000000</v>
      </c>
      <c r="AI1152" s="101">
        <f t="shared" si="197"/>
        <v>1000000</v>
      </c>
      <c r="AJ1152" s="155">
        <v>4</v>
      </c>
      <c r="AK1152" s="121">
        <f t="shared" si="196"/>
        <v>36</v>
      </c>
      <c r="AL1152" s="152">
        <f t="shared" si="199"/>
        <v>636.15874252405922</v>
      </c>
    </row>
    <row r="1153" spans="31:38" ht="15.75" hidden="1" thickBot="1">
      <c r="AE1153" s="801"/>
      <c r="AF1153" s="777"/>
      <c r="AH1153" s="101">
        <f t="shared" si="198"/>
        <v>1000000</v>
      </c>
      <c r="AI1153" s="101">
        <f t="shared" si="197"/>
        <v>1000000</v>
      </c>
      <c r="AJ1153" s="155">
        <v>4</v>
      </c>
      <c r="AK1153" s="121">
        <f t="shared" si="196"/>
        <v>37</v>
      </c>
      <c r="AL1153" s="152">
        <f t="shared" si="199"/>
        <v>634.39177200900849</v>
      </c>
    </row>
    <row r="1154" spans="31:38" ht="15.75" hidden="1" thickBot="1">
      <c r="AE1154" s="801"/>
      <c r="AF1154" s="777"/>
      <c r="AH1154" s="101">
        <f t="shared" si="198"/>
        <v>1000000</v>
      </c>
      <c r="AI1154" s="101">
        <f t="shared" si="197"/>
        <v>1000000</v>
      </c>
      <c r="AJ1154" s="155">
        <v>4</v>
      </c>
      <c r="AK1154" s="121">
        <f t="shared" si="196"/>
        <v>38</v>
      </c>
      <c r="AL1154" s="152">
        <f t="shared" si="199"/>
        <v>632.62480149395788</v>
      </c>
    </row>
    <row r="1155" spans="31:38" ht="15.75" hidden="1" thickBot="1">
      <c r="AE1155" s="801"/>
      <c r="AF1155" s="777"/>
      <c r="AH1155" s="101">
        <f t="shared" si="198"/>
        <v>1000000</v>
      </c>
      <c r="AI1155" s="101">
        <f t="shared" si="197"/>
        <v>1000000</v>
      </c>
      <c r="AJ1155" s="155">
        <v>4</v>
      </c>
      <c r="AK1155" s="121">
        <f t="shared" si="196"/>
        <v>39</v>
      </c>
      <c r="AL1155" s="152">
        <f t="shared" si="199"/>
        <v>630.85783097890703</v>
      </c>
    </row>
    <row r="1156" spans="31:38" ht="15.75" hidden="1" thickBot="1">
      <c r="AE1156" s="801"/>
      <c r="AF1156" s="777"/>
      <c r="AH1156" s="101">
        <f t="shared" si="198"/>
        <v>1000000</v>
      </c>
      <c r="AI1156" s="101">
        <f t="shared" si="197"/>
        <v>1000000</v>
      </c>
      <c r="AJ1156" s="155">
        <v>4</v>
      </c>
      <c r="AK1156" s="121">
        <f t="shared" si="196"/>
        <v>40</v>
      </c>
      <c r="AL1156" s="152">
        <f t="shared" si="199"/>
        <v>629.09086046385642</v>
      </c>
    </row>
    <row r="1157" spans="31:38" ht="15.75" hidden="1" thickBot="1">
      <c r="AE1157" s="801"/>
      <c r="AF1157" s="777"/>
      <c r="AH1157" s="101">
        <f t="shared" si="198"/>
        <v>1000000</v>
      </c>
      <c r="AI1157" s="101">
        <f t="shared" si="197"/>
        <v>1000000</v>
      </c>
      <c r="AJ1157" s="155">
        <v>4</v>
      </c>
      <c r="AK1157" s="121">
        <f t="shared" si="196"/>
        <v>41</v>
      </c>
      <c r="AL1157" s="152">
        <f t="shared" si="199"/>
        <v>627.32388994880569</v>
      </c>
    </row>
    <row r="1158" spans="31:38" ht="15.75" hidden="1" thickBot="1">
      <c r="AE1158" s="801"/>
      <c r="AF1158" s="777"/>
      <c r="AH1158" s="101">
        <f t="shared" si="198"/>
        <v>1000000</v>
      </c>
      <c r="AI1158" s="101">
        <f t="shared" si="197"/>
        <v>1000000</v>
      </c>
      <c r="AJ1158" s="155">
        <v>4</v>
      </c>
      <c r="AK1158" s="121">
        <f t="shared" si="196"/>
        <v>42</v>
      </c>
      <c r="AL1158" s="152">
        <f t="shared" si="199"/>
        <v>625.55691943375496</v>
      </c>
    </row>
    <row r="1159" spans="31:38" ht="15.75" hidden="1" thickBot="1">
      <c r="AE1159" s="801"/>
      <c r="AF1159" s="777"/>
      <c r="AH1159" s="101">
        <f t="shared" si="198"/>
        <v>1000000</v>
      </c>
      <c r="AI1159" s="101">
        <f t="shared" si="197"/>
        <v>1000000</v>
      </c>
      <c r="AJ1159" s="155">
        <v>4</v>
      </c>
      <c r="AK1159" s="121">
        <f t="shared" si="196"/>
        <v>43</v>
      </c>
      <c r="AL1159" s="152">
        <f t="shared" si="199"/>
        <v>623.78994891870423</v>
      </c>
    </row>
    <row r="1160" spans="31:38" ht="15.75" hidden="1" thickBot="1">
      <c r="AE1160" s="801"/>
      <c r="AF1160" s="777"/>
      <c r="AH1160" s="101">
        <f t="shared" si="198"/>
        <v>1000000</v>
      </c>
      <c r="AI1160" s="101">
        <f t="shared" si="197"/>
        <v>1000000</v>
      </c>
      <c r="AJ1160" s="155">
        <v>4</v>
      </c>
      <c r="AK1160" s="121">
        <f t="shared" si="196"/>
        <v>44</v>
      </c>
      <c r="AL1160" s="152">
        <f t="shared" si="199"/>
        <v>622.0229784036535</v>
      </c>
    </row>
    <row r="1161" spans="31:38" ht="15.75" hidden="1" thickBot="1">
      <c r="AE1161" s="801"/>
      <c r="AF1161" s="777"/>
      <c r="AH1161" s="101">
        <f t="shared" si="198"/>
        <v>1000000</v>
      </c>
      <c r="AI1161" s="101">
        <f t="shared" si="197"/>
        <v>1000000</v>
      </c>
      <c r="AJ1161" s="155">
        <v>4</v>
      </c>
      <c r="AK1161" s="121">
        <f t="shared" si="196"/>
        <v>45</v>
      </c>
      <c r="AL1161" s="152">
        <f t="shared" si="199"/>
        <v>620.25600788860277</v>
      </c>
    </row>
    <row r="1162" spans="31:38" ht="15.75" hidden="1" thickBot="1">
      <c r="AE1162" s="801"/>
      <c r="AF1162" s="777"/>
      <c r="AH1162" s="101">
        <f t="shared" si="198"/>
        <v>1000000</v>
      </c>
      <c r="AI1162" s="101">
        <f t="shared" si="197"/>
        <v>1000000</v>
      </c>
      <c r="AJ1162" s="155">
        <v>4</v>
      </c>
      <c r="AK1162" s="121">
        <f t="shared" si="196"/>
        <v>46</v>
      </c>
      <c r="AL1162" s="152">
        <f t="shared" si="199"/>
        <v>618.48903737355204</v>
      </c>
    </row>
    <row r="1163" spans="31:38" ht="15.75" hidden="1" thickBot="1">
      <c r="AE1163" s="801"/>
      <c r="AF1163" s="777"/>
      <c r="AH1163" s="101">
        <f t="shared" si="198"/>
        <v>1000000</v>
      </c>
      <c r="AI1163" s="101">
        <f t="shared" si="197"/>
        <v>1000000</v>
      </c>
      <c r="AJ1163" s="155">
        <v>4</v>
      </c>
      <c r="AK1163" s="121">
        <f t="shared" si="196"/>
        <v>47</v>
      </c>
      <c r="AL1163" s="152">
        <f t="shared" si="199"/>
        <v>616.72206685850131</v>
      </c>
    </row>
    <row r="1164" spans="31:38" ht="15.75" hidden="1" thickBot="1">
      <c r="AE1164" s="801"/>
      <c r="AF1164" s="777"/>
      <c r="AH1164" s="101">
        <f t="shared" si="198"/>
        <v>1000000</v>
      </c>
      <c r="AI1164" s="101">
        <f t="shared" si="197"/>
        <v>1000000</v>
      </c>
      <c r="AJ1164" s="155">
        <v>4</v>
      </c>
      <c r="AK1164" s="121">
        <f t="shared" si="196"/>
        <v>48</v>
      </c>
      <c r="AL1164" s="152">
        <f t="shared" si="199"/>
        <v>614.95509634345058</v>
      </c>
    </row>
    <row r="1165" spans="31:38" ht="15.75" hidden="1" thickBot="1">
      <c r="AE1165" s="801"/>
      <c r="AF1165" s="777"/>
      <c r="AH1165" s="101">
        <f t="shared" si="198"/>
        <v>1000000</v>
      </c>
      <c r="AI1165" s="101">
        <f t="shared" si="197"/>
        <v>1000000</v>
      </c>
      <c r="AJ1165" s="155">
        <v>4</v>
      </c>
      <c r="AK1165" s="121">
        <f t="shared" si="196"/>
        <v>49</v>
      </c>
      <c r="AL1165" s="152">
        <f t="shared" si="199"/>
        <v>613.18812582839985</v>
      </c>
    </row>
    <row r="1166" spans="31:38" ht="15.75" hidden="1" thickBot="1">
      <c r="AE1166" s="801"/>
      <c r="AF1166" s="777"/>
      <c r="AH1166" s="101">
        <f t="shared" si="198"/>
        <v>1000000</v>
      </c>
      <c r="AI1166" s="101">
        <f t="shared" si="197"/>
        <v>1000000</v>
      </c>
      <c r="AJ1166" s="155">
        <v>4</v>
      </c>
      <c r="AK1166" s="121">
        <f t="shared" si="196"/>
        <v>50</v>
      </c>
      <c r="AL1166" s="152">
        <f t="shared" si="199"/>
        <v>611.42115531334912</v>
      </c>
    </row>
    <row r="1167" spans="31:38" ht="15.75" hidden="1" thickBot="1">
      <c r="AE1167" s="801"/>
      <c r="AF1167" s="777"/>
      <c r="AH1167" s="101">
        <f t="shared" si="198"/>
        <v>1000000</v>
      </c>
      <c r="AI1167" s="101">
        <f t="shared" si="197"/>
        <v>1000000</v>
      </c>
      <c r="AJ1167" s="155">
        <v>4</v>
      </c>
      <c r="AK1167" s="121">
        <f t="shared" si="196"/>
        <v>51</v>
      </c>
      <c r="AL1167" s="152">
        <f t="shared" si="199"/>
        <v>609.65418479829839</v>
      </c>
    </row>
    <row r="1168" spans="31:38" ht="15.75" hidden="1" thickBot="1">
      <c r="AE1168" s="801"/>
      <c r="AF1168" s="777"/>
      <c r="AH1168" s="101">
        <f t="shared" si="198"/>
        <v>1000000</v>
      </c>
      <c r="AI1168" s="101">
        <f t="shared" si="197"/>
        <v>1000000</v>
      </c>
      <c r="AJ1168" s="155">
        <v>4</v>
      </c>
      <c r="AK1168" s="121">
        <f t="shared" si="196"/>
        <v>52</v>
      </c>
      <c r="AL1168" s="152">
        <f t="shared" si="199"/>
        <v>607.88721428324766</v>
      </c>
    </row>
    <row r="1169" spans="31:38" ht="15.75" hidden="1" thickBot="1">
      <c r="AE1169" s="801"/>
      <c r="AF1169" s="777"/>
      <c r="AH1169" s="101">
        <f t="shared" si="198"/>
        <v>1000000</v>
      </c>
      <c r="AI1169" s="101">
        <f t="shared" si="197"/>
        <v>1000000</v>
      </c>
      <c r="AJ1169" s="155">
        <v>4</v>
      </c>
      <c r="AK1169" s="121">
        <f t="shared" si="196"/>
        <v>53</v>
      </c>
      <c r="AL1169" s="152">
        <f t="shared" si="199"/>
        <v>606.12024376819693</v>
      </c>
    </row>
    <row r="1170" spans="31:38" ht="15.75" hidden="1" thickBot="1">
      <c r="AE1170" s="801"/>
      <c r="AF1170" s="777"/>
      <c r="AH1170" s="101">
        <f t="shared" si="198"/>
        <v>1000000</v>
      </c>
      <c r="AI1170" s="101">
        <f t="shared" si="197"/>
        <v>1000000</v>
      </c>
      <c r="AJ1170" s="155">
        <v>4</v>
      </c>
      <c r="AK1170" s="121">
        <f t="shared" si="196"/>
        <v>54</v>
      </c>
      <c r="AL1170" s="152">
        <f t="shared" si="199"/>
        <v>604.3532732531462</v>
      </c>
    </row>
    <row r="1171" spans="31:38" ht="15.75" hidden="1" thickBot="1">
      <c r="AE1171" s="801"/>
      <c r="AF1171" s="777"/>
      <c r="AH1171" s="101">
        <f t="shared" si="198"/>
        <v>1000000</v>
      </c>
      <c r="AI1171" s="101">
        <f t="shared" si="197"/>
        <v>1000000</v>
      </c>
      <c r="AJ1171" s="155">
        <v>4</v>
      </c>
      <c r="AK1171" s="121">
        <f t="shared" si="196"/>
        <v>55</v>
      </c>
      <c r="AL1171" s="152">
        <f t="shared" si="199"/>
        <v>602.58630273809547</v>
      </c>
    </row>
    <row r="1172" spans="31:38" ht="15.75" hidden="1" thickBot="1">
      <c r="AE1172" s="801"/>
      <c r="AF1172" s="777"/>
      <c r="AH1172" s="101">
        <f t="shared" si="198"/>
        <v>1000000</v>
      </c>
      <c r="AI1172" s="101">
        <f t="shared" si="197"/>
        <v>1000000</v>
      </c>
      <c r="AJ1172" s="155">
        <v>4</v>
      </c>
      <c r="AK1172" s="121">
        <f t="shared" si="196"/>
        <v>56</v>
      </c>
      <c r="AL1172" s="152">
        <f t="shared" si="199"/>
        <v>600.81933222304474</v>
      </c>
    </row>
    <row r="1173" spans="31:38" ht="15.75" hidden="1" thickBot="1">
      <c r="AE1173" s="801"/>
      <c r="AF1173" s="777"/>
      <c r="AH1173" s="101">
        <f t="shared" si="198"/>
        <v>1000000</v>
      </c>
      <c r="AI1173" s="101">
        <f t="shared" si="197"/>
        <v>1000000</v>
      </c>
      <c r="AJ1173" s="155">
        <v>4</v>
      </c>
      <c r="AK1173" s="121">
        <f t="shared" si="196"/>
        <v>57</v>
      </c>
      <c r="AL1173" s="152">
        <f t="shared" si="199"/>
        <v>599.05236170799401</v>
      </c>
    </row>
    <row r="1174" spans="31:38" ht="15.75" hidden="1" thickBot="1">
      <c r="AE1174" s="801"/>
      <c r="AF1174" s="777"/>
      <c r="AH1174" s="101">
        <f t="shared" si="198"/>
        <v>1000000</v>
      </c>
      <c r="AI1174" s="101">
        <f t="shared" si="197"/>
        <v>1000000</v>
      </c>
      <c r="AJ1174" s="155">
        <v>4</v>
      </c>
      <c r="AK1174" s="121">
        <f t="shared" si="196"/>
        <v>58</v>
      </c>
      <c r="AL1174" s="152">
        <f t="shared" si="199"/>
        <v>597.28539119294328</v>
      </c>
    </row>
    <row r="1175" spans="31:38" ht="15.75" hidden="1" thickBot="1">
      <c r="AE1175" s="801"/>
      <c r="AF1175" s="777"/>
      <c r="AH1175" s="101">
        <f t="shared" si="198"/>
        <v>1000000</v>
      </c>
      <c r="AI1175" s="101">
        <f t="shared" si="197"/>
        <v>1000000</v>
      </c>
      <c r="AJ1175" s="155">
        <v>4</v>
      </c>
      <c r="AK1175" s="121">
        <f t="shared" si="196"/>
        <v>59</v>
      </c>
      <c r="AL1175" s="152">
        <f t="shared" si="199"/>
        <v>595.51842067789255</v>
      </c>
    </row>
    <row r="1176" spans="31:38" ht="15.75" hidden="1" thickBot="1">
      <c r="AE1176" s="801"/>
      <c r="AF1176" s="777"/>
      <c r="AH1176" s="101">
        <f t="shared" si="198"/>
        <v>1000000</v>
      </c>
      <c r="AI1176" s="101">
        <f t="shared" si="197"/>
        <v>1000000</v>
      </c>
      <c r="AJ1176" s="155">
        <v>4</v>
      </c>
      <c r="AK1176" s="121">
        <f t="shared" si="196"/>
        <v>60</v>
      </c>
      <c r="AL1176" s="152">
        <f t="shared" si="199"/>
        <v>593.75145016284182</v>
      </c>
    </row>
    <row r="1177" spans="31:38" ht="15.75" hidden="1" thickBot="1">
      <c r="AE1177" s="801"/>
      <c r="AF1177" s="777"/>
      <c r="AH1177" s="101">
        <f t="shared" si="198"/>
        <v>1000000</v>
      </c>
      <c r="AI1177" s="101">
        <f t="shared" si="197"/>
        <v>1000000</v>
      </c>
      <c r="AJ1177" s="155">
        <v>4</v>
      </c>
      <c r="AK1177" s="121">
        <f t="shared" si="196"/>
        <v>61</v>
      </c>
      <c r="AL1177" s="152">
        <f t="shared" si="199"/>
        <v>591.98447964779109</v>
      </c>
    </row>
    <row r="1178" spans="31:38" ht="15.75" hidden="1" thickBot="1">
      <c r="AE1178" s="801"/>
      <c r="AF1178" s="777"/>
      <c r="AH1178" s="101">
        <f t="shared" si="198"/>
        <v>1000000</v>
      </c>
      <c r="AI1178" s="101">
        <f t="shared" si="197"/>
        <v>1000000</v>
      </c>
      <c r="AJ1178" s="155">
        <v>4</v>
      </c>
      <c r="AK1178" s="121">
        <f t="shared" si="196"/>
        <v>62</v>
      </c>
      <c r="AL1178" s="152">
        <f t="shared" si="199"/>
        <v>590.21750913274036</v>
      </c>
    </row>
    <row r="1179" spans="31:38" ht="15.75" hidden="1" thickBot="1">
      <c r="AE1179" s="801"/>
      <c r="AF1179" s="777"/>
      <c r="AH1179" s="101">
        <f t="shared" si="198"/>
        <v>1000000</v>
      </c>
      <c r="AI1179" s="101">
        <f t="shared" si="197"/>
        <v>1000000</v>
      </c>
      <c r="AJ1179" s="155">
        <v>4</v>
      </c>
      <c r="AK1179" s="121">
        <f t="shared" si="196"/>
        <v>63</v>
      </c>
      <c r="AL1179" s="152">
        <f t="shared" si="199"/>
        <v>588.45053861768963</v>
      </c>
    </row>
    <row r="1180" spans="31:38" ht="15.75" hidden="1" thickBot="1">
      <c r="AE1180" s="801"/>
      <c r="AF1180" s="777"/>
      <c r="AH1180" s="101">
        <f t="shared" ref="AH1180:AH1211" si="200">BL167</f>
        <v>1000000</v>
      </c>
      <c r="AI1180" s="101">
        <f t="shared" si="197"/>
        <v>1000000</v>
      </c>
      <c r="AJ1180" s="155">
        <v>4</v>
      </c>
      <c r="AK1180" s="121">
        <f t="shared" si="196"/>
        <v>64</v>
      </c>
      <c r="AL1180" s="152">
        <f t="shared" ref="AL1180:AL1211" si="201">AC167</f>
        <v>586.6835681026389</v>
      </c>
    </row>
    <row r="1181" spans="31:38" ht="15.75" hidden="1" thickBot="1">
      <c r="AE1181" s="801"/>
      <c r="AF1181" s="777"/>
      <c r="AH1181" s="101">
        <f t="shared" si="200"/>
        <v>1000000</v>
      </c>
      <c r="AI1181" s="101">
        <f t="shared" si="197"/>
        <v>1000000</v>
      </c>
      <c r="AJ1181" s="155">
        <v>4</v>
      </c>
      <c r="AK1181" s="121">
        <f t="shared" ref="AK1181:AK1216" si="202">AK1180+1</f>
        <v>65</v>
      </c>
      <c r="AL1181" s="152">
        <f t="shared" si="201"/>
        <v>584.91659758758817</v>
      </c>
    </row>
    <row r="1182" spans="31:38" ht="15.75" hidden="1" thickBot="1">
      <c r="AE1182" s="801"/>
      <c r="AF1182" s="777"/>
      <c r="AH1182" s="101">
        <f t="shared" si="200"/>
        <v>1000000</v>
      </c>
      <c r="AI1182" s="101">
        <f t="shared" si="197"/>
        <v>1000000</v>
      </c>
      <c r="AJ1182" s="155">
        <v>4</v>
      </c>
      <c r="AK1182" s="121">
        <f t="shared" si="202"/>
        <v>66</v>
      </c>
      <c r="AL1182" s="152">
        <f t="shared" si="201"/>
        <v>583.14962707253744</v>
      </c>
    </row>
    <row r="1183" spans="31:38" ht="15.75" hidden="1" thickBot="1">
      <c r="AE1183" s="801"/>
      <c r="AF1183" s="777"/>
      <c r="AH1183" s="101">
        <f t="shared" si="200"/>
        <v>1000000</v>
      </c>
      <c r="AI1183" s="101">
        <f t="shared" si="197"/>
        <v>1000000</v>
      </c>
      <c r="AJ1183" s="155">
        <v>4</v>
      </c>
      <c r="AK1183" s="121">
        <f t="shared" si="202"/>
        <v>67</v>
      </c>
      <c r="AL1183" s="152">
        <f t="shared" si="201"/>
        <v>581.38265655748671</v>
      </c>
    </row>
    <row r="1184" spans="31:38" ht="15.75" hidden="1" thickBot="1">
      <c r="AE1184" s="801"/>
      <c r="AF1184" s="777"/>
      <c r="AH1184" s="101">
        <f t="shared" si="200"/>
        <v>1000000</v>
      </c>
      <c r="AI1184" s="101">
        <f t="shared" si="197"/>
        <v>1000000</v>
      </c>
      <c r="AJ1184" s="155">
        <v>4</v>
      </c>
      <c r="AK1184" s="121">
        <f t="shared" si="202"/>
        <v>68</v>
      </c>
      <c r="AL1184" s="152">
        <f t="shared" si="201"/>
        <v>579.61568604243598</v>
      </c>
    </row>
    <row r="1185" spans="31:38" ht="15.75" hidden="1" thickBot="1">
      <c r="AE1185" s="801"/>
      <c r="AF1185" s="777"/>
      <c r="AH1185" s="101">
        <f t="shared" si="200"/>
        <v>1000000</v>
      </c>
      <c r="AI1185" s="101">
        <f t="shared" si="197"/>
        <v>1000000</v>
      </c>
      <c r="AJ1185" s="155">
        <v>4</v>
      </c>
      <c r="AK1185" s="121">
        <f t="shared" si="202"/>
        <v>69</v>
      </c>
      <c r="AL1185" s="152">
        <f t="shared" si="201"/>
        <v>577.84871552738525</v>
      </c>
    </row>
    <row r="1186" spans="31:38" ht="15.75" hidden="1" thickBot="1">
      <c r="AE1186" s="801"/>
      <c r="AF1186" s="777"/>
      <c r="AH1186" s="101">
        <f t="shared" si="200"/>
        <v>1000000</v>
      </c>
      <c r="AI1186" s="101">
        <f t="shared" si="197"/>
        <v>1000000</v>
      </c>
      <c r="AJ1186" s="155">
        <v>4</v>
      </c>
      <c r="AK1186" s="121">
        <f t="shared" si="202"/>
        <v>70</v>
      </c>
      <c r="AL1186" s="152">
        <f t="shared" si="201"/>
        <v>576.08174501233452</v>
      </c>
    </row>
    <row r="1187" spans="31:38" ht="15.75" hidden="1" thickBot="1">
      <c r="AE1187" s="801"/>
      <c r="AF1187" s="777"/>
      <c r="AH1187" s="101">
        <f t="shared" si="200"/>
        <v>1000000</v>
      </c>
      <c r="AI1187" s="101">
        <f t="shared" si="197"/>
        <v>1000000</v>
      </c>
      <c r="AJ1187" s="155">
        <v>4</v>
      </c>
      <c r="AK1187" s="121">
        <f t="shared" si="202"/>
        <v>71</v>
      </c>
      <c r="AL1187" s="152">
        <f t="shared" si="201"/>
        <v>574.31477449728379</v>
      </c>
    </row>
    <row r="1188" spans="31:38" ht="15.75" hidden="1" thickBot="1">
      <c r="AE1188" s="801"/>
      <c r="AF1188" s="777"/>
      <c r="AH1188" s="101">
        <f t="shared" si="200"/>
        <v>1000000</v>
      </c>
      <c r="AI1188" s="101">
        <f t="shared" si="197"/>
        <v>1000000</v>
      </c>
      <c r="AJ1188" s="155">
        <v>4</v>
      </c>
      <c r="AK1188" s="121">
        <f t="shared" si="202"/>
        <v>72</v>
      </c>
      <c r="AL1188" s="152">
        <f t="shared" si="201"/>
        <v>572.54780398223306</v>
      </c>
    </row>
    <row r="1189" spans="31:38" ht="15.75" hidden="1" thickBot="1">
      <c r="AE1189" s="801"/>
      <c r="AF1189" s="777"/>
      <c r="AH1189" s="101">
        <f t="shared" si="200"/>
        <v>1000000</v>
      </c>
      <c r="AI1189" s="101">
        <f t="shared" si="197"/>
        <v>1000000</v>
      </c>
      <c r="AJ1189" s="155">
        <v>4</v>
      </c>
      <c r="AK1189" s="121">
        <f t="shared" si="202"/>
        <v>73</v>
      </c>
      <c r="AL1189" s="152">
        <f t="shared" si="201"/>
        <v>570.78083346718233</v>
      </c>
    </row>
    <row r="1190" spans="31:38" ht="15.75" hidden="1" thickBot="1">
      <c r="AE1190" s="801"/>
      <c r="AF1190" s="777"/>
      <c r="AH1190" s="101">
        <f t="shared" si="200"/>
        <v>1000000</v>
      </c>
      <c r="AI1190" s="101">
        <f t="shared" si="197"/>
        <v>1000000</v>
      </c>
      <c r="AJ1190" s="155">
        <v>4</v>
      </c>
      <c r="AK1190" s="121">
        <f t="shared" si="202"/>
        <v>74</v>
      </c>
      <c r="AL1190" s="152">
        <f t="shared" si="201"/>
        <v>569.0138629521316</v>
      </c>
    </row>
    <row r="1191" spans="31:38" ht="15.75" hidden="1" thickBot="1">
      <c r="AE1191" s="801"/>
      <c r="AF1191" s="777"/>
      <c r="AH1191" s="101">
        <f t="shared" si="200"/>
        <v>1000000</v>
      </c>
      <c r="AI1191" s="101">
        <f t="shared" si="197"/>
        <v>1000000</v>
      </c>
      <c r="AJ1191" s="155">
        <v>4</v>
      </c>
      <c r="AK1191" s="121">
        <f t="shared" si="202"/>
        <v>75</v>
      </c>
      <c r="AL1191" s="152">
        <f t="shared" si="201"/>
        <v>567.24689243708087</v>
      </c>
    </row>
    <row r="1192" spans="31:38" ht="15.75" hidden="1" thickBot="1">
      <c r="AE1192" s="801"/>
      <c r="AF1192" s="777"/>
      <c r="AH1192" s="101">
        <f t="shared" si="200"/>
        <v>1000000</v>
      </c>
      <c r="AI1192" s="101">
        <f t="shared" si="197"/>
        <v>1000000</v>
      </c>
      <c r="AJ1192" s="155">
        <v>4</v>
      </c>
      <c r="AK1192" s="121">
        <f t="shared" si="202"/>
        <v>76</v>
      </c>
      <c r="AL1192" s="152">
        <f t="shared" si="201"/>
        <v>565.47992192203026</v>
      </c>
    </row>
    <row r="1193" spans="31:38" ht="15.75" hidden="1" thickBot="1">
      <c r="AE1193" s="801"/>
      <c r="AF1193" s="777"/>
      <c r="AH1193" s="101">
        <f t="shared" si="200"/>
        <v>1000000</v>
      </c>
      <c r="AI1193" s="101">
        <f t="shared" si="197"/>
        <v>1000000</v>
      </c>
      <c r="AJ1193" s="155">
        <v>4</v>
      </c>
      <c r="AK1193" s="121">
        <f t="shared" si="202"/>
        <v>77</v>
      </c>
      <c r="AL1193" s="152">
        <f t="shared" si="201"/>
        <v>563.71295140697953</v>
      </c>
    </row>
    <row r="1194" spans="31:38" ht="15.75" hidden="1" thickBot="1">
      <c r="AE1194" s="801"/>
      <c r="AF1194" s="777"/>
      <c r="AH1194" s="101">
        <f t="shared" si="200"/>
        <v>1000000</v>
      </c>
      <c r="AI1194" s="101">
        <f t="shared" si="197"/>
        <v>1000000</v>
      </c>
      <c r="AJ1194" s="155">
        <v>4</v>
      </c>
      <c r="AK1194" s="121">
        <f t="shared" si="202"/>
        <v>78</v>
      </c>
      <c r="AL1194" s="152">
        <f t="shared" si="201"/>
        <v>561.94598089192868</v>
      </c>
    </row>
    <row r="1195" spans="31:38" ht="15.75" hidden="1" thickBot="1">
      <c r="AE1195" s="801"/>
      <c r="AF1195" s="777"/>
      <c r="AH1195" s="101">
        <f t="shared" si="200"/>
        <v>1000000</v>
      </c>
      <c r="AI1195" s="101">
        <f t="shared" si="197"/>
        <v>1000000</v>
      </c>
      <c r="AJ1195" s="155">
        <v>4</v>
      </c>
      <c r="AK1195" s="121">
        <f t="shared" si="202"/>
        <v>79</v>
      </c>
      <c r="AL1195" s="152">
        <f t="shared" si="201"/>
        <v>560.17901037687795</v>
      </c>
    </row>
    <row r="1196" spans="31:38" ht="15.75" hidden="1" thickBot="1">
      <c r="AE1196" s="801"/>
      <c r="AF1196" s="777"/>
      <c r="AH1196" s="101">
        <f t="shared" si="200"/>
        <v>1000000</v>
      </c>
      <c r="AI1196" s="101">
        <f t="shared" si="197"/>
        <v>1000000</v>
      </c>
      <c r="AJ1196" s="155">
        <v>4</v>
      </c>
      <c r="AK1196" s="121">
        <f t="shared" si="202"/>
        <v>80</v>
      </c>
      <c r="AL1196" s="152">
        <f t="shared" si="201"/>
        <v>558.41203986182734</v>
      </c>
    </row>
    <row r="1197" spans="31:38" ht="15.75" hidden="1" thickBot="1">
      <c r="AE1197" s="801"/>
      <c r="AF1197" s="777"/>
      <c r="AH1197" s="101">
        <f t="shared" si="200"/>
        <v>1000000</v>
      </c>
      <c r="AI1197" s="101">
        <f t="shared" ref="AI1197:AI1216" si="203">IF(AL1197&lt;$D$82,0,AH1197)</f>
        <v>1000000</v>
      </c>
      <c r="AJ1197" s="155">
        <v>4</v>
      </c>
      <c r="AK1197" s="121">
        <f t="shared" si="202"/>
        <v>81</v>
      </c>
      <c r="AL1197" s="152">
        <f t="shared" si="201"/>
        <v>556.64506934677661</v>
      </c>
    </row>
    <row r="1198" spans="31:38" ht="15.75" hidden="1" thickBot="1">
      <c r="AE1198" s="801"/>
      <c r="AF1198" s="777"/>
      <c r="AH1198" s="101">
        <f t="shared" si="200"/>
        <v>1000000</v>
      </c>
      <c r="AI1198" s="101">
        <f t="shared" si="203"/>
        <v>1000000</v>
      </c>
      <c r="AJ1198" s="155">
        <v>4</v>
      </c>
      <c r="AK1198" s="121">
        <f t="shared" si="202"/>
        <v>82</v>
      </c>
      <c r="AL1198" s="152">
        <f t="shared" si="201"/>
        <v>554.87809883172588</v>
      </c>
    </row>
    <row r="1199" spans="31:38" ht="15.75" hidden="1" thickBot="1">
      <c r="AE1199" s="801"/>
      <c r="AF1199" s="777"/>
      <c r="AH1199" s="101">
        <f t="shared" si="200"/>
        <v>1000000</v>
      </c>
      <c r="AI1199" s="101">
        <f t="shared" si="203"/>
        <v>1000000</v>
      </c>
      <c r="AJ1199" s="155">
        <v>4</v>
      </c>
      <c r="AK1199" s="121">
        <f t="shared" si="202"/>
        <v>83</v>
      </c>
      <c r="AL1199" s="152">
        <f t="shared" si="201"/>
        <v>553.11112831667515</v>
      </c>
    </row>
    <row r="1200" spans="31:38" ht="15.75" hidden="1" thickBot="1">
      <c r="AE1200" s="801"/>
      <c r="AF1200" s="777"/>
      <c r="AH1200" s="101">
        <f t="shared" si="200"/>
        <v>1000000</v>
      </c>
      <c r="AI1200" s="101">
        <f t="shared" si="203"/>
        <v>1000000</v>
      </c>
      <c r="AJ1200" s="155">
        <v>4</v>
      </c>
      <c r="AK1200" s="121">
        <f t="shared" si="202"/>
        <v>84</v>
      </c>
      <c r="AL1200" s="152">
        <f t="shared" si="201"/>
        <v>551.34415780162431</v>
      </c>
    </row>
    <row r="1201" spans="31:38" ht="15.75" hidden="1" thickBot="1">
      <c r="AE1201" s="801"/>
      <c r="AF1201" s="777"/>
      <c r="AH1201" s="101">
        <f t="shared" si="200"/>
        <v>1000000</v>
      </c>
      <c r="AI1201" s="101">
        <f t="shared" si="203"/>
        <v>1000000</v>
      </c>
      <c r="AJ1201" s="155">
        <v>4</v>
      </c>
      <c r="AK1201" s="121">
        <f t="shared" si="202"/>
        <v>85</v>
      </c>
      <c r="AL1201" s="152">
        <f t="shared" si="201"/>
        <v>549.57718728657358</v>
      </c>
    </row>
    <row r="1202" spans="31:38" ht="15.75" hidden="1" thickBot="1">
      <c r="AE1202" s="801"/>
      <c r="AF1202" s="777"/>
      <c r="AH1202" s="101">
        <f t="shared" si="200"/>
        <v>1000000</v>
      </c>
      <c r="AI1202" s="101">
        <f t="shared" si="203"/>
        <v>1000000</v>
      </c>
      <c r="AJ1202" s="155">
        <v>4</v>
      </c>
      <c r="AK1202" s="121">
        <f t="shared" si="202"/>
        <v>86</v>
      </c>
      <c r="AL1202" s="152">
        <f t="shared" si="201"/>
        <v>547.81021677152296</v>
      </c>
    </row>
    <row r="1203" spans="31:38" ht="15.75" hidden="1" thickBot="1">
      <c r="AE1203" s="801"/>
      <c r="AF1203" s="777"/>
      <c r="AH1203" s="101">
        <f t="shared" si="200"/>
        <v>1000000</v>
      </c>
      <c r="AI1203" s="101">
        <f t="shared" si="203"/>
        <v>1000000</v>
      </c>
      <c r="AJ1203" s="155">
        <v>4</v>
      </c>
      <c r="AK1203" s="121">
        <f t="shared" si="202"/>
        <v>87</v>
      </c>
      <c r="AL1203" s="152">
        <f t="shared" si="201"/>
        <v>546.04324625647223</v>
      </c>
    </row>
    <row r="1204" spans="31:38" ht="15.75" hidden="1" thickBot="1">
      <c r="AE1204" s="801"/>
      <c r="AF1204" s="777"/>
      <c r="AH1204" s="101">
        <f t="shared" si="200"/>
        <v>1000000</v>
      </c>
      <c r="AI1204" s="101">
        <f t="shared" si="203"/>
        <v>1000000</v>
      </c>
      <c r="AJ1204" s="155">
        <v>4</v>
      </c>
      <c r="AK1204" s="121">
        <f t="shared" si="202"/>
        <v>88</v>
      </c>
      <c r="AL1204" s="152">
        <f t="shared" si="201"/>
        <v>544.2762757414215</v>
      </c>
    </row>
    <row r="1205" spans="31:38" ht="15.75" hidden="1" thickBot="1">
      <c r="AE1205" s="801"/>
      <c r="AF1205" s="777"/>
      <c r="AH1205" s="101">
        <f t="shared" si="200"/>
        <v>1000000</v>
      </c>
      <c r="AI1205" s="101">
        <f t="shared" si="203"/>
        <v>1000000</v>
      </c>
      <c r="AJ1205" s="155">
        <v>4</v>
      </c>
      <c r="AK1205" s="121">
        <f t="shared" si="202"/>
        <v>89</v>
      </c>
      <c r="AL1205" s="152">
        <f t="shared" si="201"/>
        <v>542.50930522637077</v>
      </c>
    </row>
    <row r="1206" spans="31:38" ht="15.75" hidden="1" thickBot="1">
      <c r="AE1206" s="801"/>
      <c r="AF1206" s="777"/>
      <c r="AH1206" s="101">
        <f t="shared" si="200"/>
        <v>1000000</v>
      </c>
      <c r="AI1206" s="101">
        <f t="shared" si="203"/>
        <v>1000000</v>
      </c>
      <c r="AJ1206" s="155">
        <v>4</v>
      </c>
      <c r="AK1206" s="121">
        <f t="shared" si="202"/>
        <v>90</v>
      </c>
      <c r="AL1206" s="152">
        <f t="shared" si="201"/>
        <v>540.74233471132004</v>
      </c>
    </row>
    <row r="1207" spans="31:38" ht="15.75" hidden="1" thickBot="1">
      <c r="AE1207" s="801"/>
      <c r="AF1207" s="777"/>
      <c r="AH1207" s="101">
        <f t="shared" si="200"/>
        <v>1000000</v>
      </c>
      <c r="AI1207" s="101">
        <f t="shared" si="203"/>
        <v>1000000</v>
      </c>
      <c r="AJ1207" s="155">
        <v>4</v>
      </c>
      <c r="AK1207" s="121">
        <f t="shared" si="202"/>
        <v>91</v>
      </c>
      <c r="AL1207" s="152">
        <f t="shared" si="201"/>
        <v>538.97536419626931</v>
      </c>
    </row>
    <row r="1208" spans="31:38" ht="15.75" hidden="1" thickBot="1">
      <c r="AE1208" s="801"/>
      <c r="AF1208" s="777"/>
      <c r="AH1208" s="101">
        <f t="shared" si="200"/>
        <v>1000000</v>
      </c>
      <c r="AI1208" s="101">
        <f t="shared" si="203"/>
        <v>1000000</v>
      </c>
      <c r="AJ1208" s="155">
        <v>4</v>
      </c>
      <c r="AK1208" s="121">
        <f t="shared" si="202"/>
        <v>92</v>
      </c>
      <c r="AL1208" s="152">
        <f t="shared" si="201"/>
        <v>537.20839368121858</v>
      </c>
    </row>
    <row r="1209" spans="31:38" ht="15.75" hidden="1" thickBot="1">
      <c r="AE1209" s="801"/>
      <c r="AF1209" s="777"/>
      <c r="AH1209" s="101">
        <f t="shared" si="200"/>
        <v>1000000</v>
      </c>
      <c r="AI1209" s="101">
        <f t="shared" si="203"/>
        <v>1000000</v>
      </c>
      <c r="AJ1209" s="155">
        <v>4</v>
      </c>
      <c r="AK1209" s="121">
        <f t="shared" si="202"/>
        <v>93</v>
      </c>
      <c r="AL1209" s="152">
        <f t="shared" si="201"/>
        <v>535.44142316616797</v>
      </c>
    </row>
    <row r="1210" spans="31:38" ht="15.75" hidden="1" thickBot="1">
      <c r="AE1210" s="801"/>
      <c r="AF1210" s="777"/>
      <c r="AH1210" s="101">
        <f t="shared" si="200"/>
        <v>1000000</v>
      </c>
      <c r="AI1210" s="101">
        <f t="shared" si="203"/>
        <v>1000000</v>
      </c>
      <c r="AJ1210" s="155">
        <v>4</v>
      </c>
      <c r="AK1210" s="121">
        <f t="shared" si="202"/>
        <v>94</v>
      </c>
      <c r="AL1210" s="152">
        <f t="shared" si="201"/>
        <v>533.67445265111712</v>
      </c>
    </row>
    <row r="1211" spans="31:38" ht="15.75" hidden="1" thickBot="1">
      <c r="AE1211" s="801"/>
      <c r="AF1211" s="777"/>
      <c r="AH1211" s="101">
        <f t="shared" si="200"/>
        <v>1000000</v>
      </c>
      <c r="AI1211" s="101">
        <f t="shared" si="203"/>
        <v>1000000</v>
      </c>
      <c r="AJ1211" s="155">
        <v>4</v>
      </c>
      <c r="AK1211" s="121">
        <f t="shared" si="202"/>
        <v>95</v>
      </c>
      <c r="AL1211" s="152">
        <f t="shared" si="201"/>
        <v>531.90748213606639</v>
      </c>
    </row>
    <row r="1212" spans="31:38" ht="15.75" hidden="1" thickBot="1">
      <c r="AE1212" s="801"/>
      <c r="AF1212" s="777"/>
      <c r="AH1212" s="101">
        <f>BL199</f>
        <v>1000000</v>
      </c>
      <c r="AI1212" s="101">
        <f t="shared" si="203"/>
        <v>1000000</v>
      </c>
      <c r="AJ1212" s="155">
        <v>4</v>
      </c>
      <c r="AK1212" s="121">
        <f t="shared" si="202"/>
        <v>96</v>
      </c>
      <c r="AL1212" s="152">
        <f>AC199</f>
        <v>530.14051162101566</v>
      </c>
    </row>
    <row r="1213" spans="31:38" ht="15.75" hidden="1" thickBot="1">
      <c r="AE1213" s="801"/>
      <c r="AF1213" s="777"/>
      <c r="AH1213" s="101">
        <f>BL200</f>
        <v>1000000</v>
      </c>
      <c r="AI1213" s="101">
        <f t="shared" si="203"/>
        <v>1000000</v>
      </c>
      <c r="AJ1213" s="155">
        <v>4</v>
      </c>
      <c r="AK1213" s="121">
        <f t="shared" si="202"/>
        <v>97</v>
      </c>
      <c r="AL1213" s="152">
        <f>AC200</f>
        <v>528.37354110596493</v>
      </c>
    </row>
    <row r="1214" spans="31:38" ht="15.75" hidden="1" thickBot="1">
      <c r="AE1214" s="801"/>
      <c r="AF1214" s="777"/>
      <c r="AH1214" s="101">
        <f>BL201</f>
        <v>1000000</v>
      </c>
      <c r="AI1214" s="101">
        <f t="shared" si="203"/>
        <v>1000000</v>
      </c>
      <c r="AJ1214" s="155">
        <v>4</v>
      </c>
      <c r="AK1214" s="121">
        <f t="shared" si="202"/>
        <v>98</v>
      </c>
      <c r="AL1214" s="152">
        <f>AC201</f>
        <v>526.6065705909142</v>
      </c>
    </row>
    <row r="1215" spans="31:38" ht="15.75" hidden="1" thickBot="1">
      <c r="AE1215" s="801"/>
      <c r="AF1215" s="777"/>
      <c r="AH1215" s="101">
        <f>BL202</f>
        <v>1000000</v>
      </c>
      <c r="AI1215" s="101">
        <f t="shared" si="203"/>
        <v>1000000</v>
      </c>
      <c r="AJ1215" s="155">
        <v>4</v>
      </c>
      <c r="AK1215" s="121">
        <f t="shared" si="202"/>
        <v>99</v>
      </c>
      <c r="AL1215" s="152">
        <f>AC202</f>
        <v>524.83960007586359</v>
      </c>
    </row>
    <row r="1216" spans="31:38" ht="15.75" hidden="1" thickBot="1">
      <c r="AE1216" s="802"/>
      <c r="AF1216" s="778"/>
      <c r="AH1216" s="101">
        <f>BL203</f>
        <v>1000000</v>
      </c>
      <c r="AI1216" s="101">
        <f t="shared" si="203"/>
        <v>1000000</v>
      </c>
      <c r="AJ1216" s="155">
        <v>4</v>
      </c>
      <c r="AK1216" s="156">
        <f t="shared" si="202"/>
        <v>100</v>
      </c>
      <c r="AL1216" s="161">
        <f>AC203</f>
        <v>523.07262956081274</v>
      </c>
    </row>
    <row r="1217" spans="31:38" ht="15.75" hidden="1" thickBot="1">
      <c r="AE1217" s="797" t="s">
        <v>254</v>
      </c>
      <c r="AF1217" s="776" t="s">
        <v>284</v>
      </c>
      <c r="AH1217" s="101">
        <f>AQ204</f>
        <v>153.12345540579446</v>
      </c>
      <c r="AI1217" s="101">
        <f t="shared" ref="AI1217:AI1280" si="204">IF(AL1217&lt;$D$85,0,AH1217)</f>
        <v>153.12345540579446</v>
      </c>
      <c r="AJ1217" s="153">
        <v>1</v>
      </c>
      <c r="AK1217" s="131">
        <v>0</v>
      </c>
      <c r="AL1217" s="157">
        <f t="shared" ref="AL1217:AL1248" si="205">Z204</f>
        <v>366.18010987318075</v>
      </c>
    </row>
    <row r="1218" spans="31:38" ht="15.75" hidden="1" thickBot="1">
      <c r="AE1218" s="798"/>
      <c r="AF1218" s="777"/>
      <c r="AH1218" s="101">
        <f t="shared" ref="AH1218:AH1248" si="206">AQ205</f>
        <v>1000000</v>
      </c>
      <c r="AI1218" s="101">
        <f t="shared" si="204"/>
        <v>1000000</v>
      </c>
      <c r="AJ1218" s="153">
        <v>1</v>
      </c>
      <c r="AK1218" s="121">
        <f t="shared" ref="AK1218:AK1281" si="207">AK1217+1</f>
        <v>1</v>
      </c>
      <c r="AL1218" s="158">
        <f t="shared" si="205"/>
        <v>365.20671331869784</v>
      </c>
    </row>
    <row r="1219" spans="31:38" ht="15.75" hidden="1" thickBot="1">
      <c r="AE1219" s="798"/>
      <c r="AF1219" s="777"/>
      <c r="AH1219" s="101">
        <f t="shared" si="206"/>
        <v>1000000</v>
      </c>
      <c r="AI1219" s="101">
        <f t="shared" si="204"/>
        <v>1000000</v>
      </c>
      <c r="AJ1219" s="153">
        <v>1</v>
      </c>
      <c r="AK1219" s="121">
        <f t="shared" si="207"/>
        <v>2</v>
      </c>
      <c r="AL1219" s="158">
        <f t="shared" si="205"/>
        <v>364.23331676421498</v>
      </c>
    </row>
    <row r="1220" spans="31:38" ht="15.75" hidden="1" thickBot="1">
      <c r="AE1220" s="798"/>
      <c r="AF1220" s="777"/>
      <c r="AH1220" s="101">
        <f t="shared" si="206"/>
        <v>1000000</v>
      </c>
      <c r="AI1220" s="101">
        <f t="shared" si="204"/>
        <v>1000000</v>
      </c>
      <c r="AJ1220" s="153">
        <v>1</v>
      </c>
      <c r="AK1220" s="121">
        <f t="shared" si="207"/>
        <v>3</v>
      </c>
      <c r="AL1220" s="158">
        <f t="shared" si="205"/>
        <v>363.25992020973212</v>
      </c>
    </row>
    <row r="1221" spans="31:38" ht="15.75" hidden="1" thickBot="1">
      <c r="AE1221" s="798"/>
      <c r="AF1221" s="777"/>
      <c r="AH1221" s="101">
        <f t="shared" si="206"/>
        <v>1000000</v>
      </c>
      <c r="AI1221" s="101">
        <f t="shared" si="204"/>
        <v>1000000</v>
      </c>
      <c r="AJ1221" s="153">
        <v>1</v>
      </c>
      <c r="AK1221" s="121">
        <f t="shared" si="207"/>
        <v>4</v>
      </c>
      <c r="AL1221" s="158">
        <f t="shared" si="205"/>
        <v>362.2865236552492</v>
      </c>
    </row>
    <row r="1222" spans="31:38" ht="15.75" hidden="1" thickBot="1">
      <c r="AE1222" s="798"/>
      <c r="AF1222" s="777"/>
      <c r="AH1222" s="101">
        <f t="shared" si="206"/>
        <v>1000000</v>
      </c>
      <c r="AI1222" s="101">
        <f t="shared" si="204"/>
        <v>1000000</v>
      </c>
      <c r="AJ1222" s="153">
        <v>1</v>
      </c>
      <c r="AK1222" s="121">
        <f t="shared" si="207"/>
        <v>5</v>
      </c>
      <c r="AL1222" s="158">
        <f t="shared" si="205"/>
        <v>361.31312710076634</v>
      </c>
    </row>
    <row r="1223" spans="31:38" ht="15.75" hidden="1" thickBot="1">
      <c r="AE1223" s="798"/>
      <c r="AF1223" s="777"/>
      <c r="AH1223" s="101">
        <f t="shared" si="206"/>
        <v>1000000</v>
      </c>
      <c r="AI1223" s="101">
        <f t="shared" si="204"/>
        <v>1000000</v>
      </c>
      <c r="AJ1223" s="153">
        <v>1</v>
      </c>
      <c r="AK1223" s="121">
        <f t="shared" si="207"/>
        <v>6</v>
      </c>
      <c r="AL1223" s="158">
        <f t="shared" si="205"/>
        <v>360.33973054628348</v>
      </c>
    </row>
    <row r="1224" spans="31:38" ht="15.75" hidden="1" thickBot="1">
      <c r="AE1224" s="798"/>
      <c r="AF1224" s="777"/>
      <c r="AH1224" s="101">
        <f t="shared" si="206"/>
        <v>1000000</v>
      </c>
      <c r="AI1224" s="101">
        <f t="shared" si="204"/>
        <v>1000000</v>
      </c>
      <c r="AJ1224" s="153">
        <v>1</v>
      </c>
      <c r="AK1224" s="121">
        <f t="shared" si="207"/>
        <v>7</v>
      </c>
      <c r="AL1224" s="158">
        <f t="shared" si="205"/>
        <v>359.36633399180062</v>
      </c>
    </row>
    <row r="1225" spans="31:38" ht="15.75" hidden="1" thickBot="1">
      <c r="AE1225" s="798"/>
      <c r="AF1225" s="777"/>
      <c r="AH1225" s="101">
        <f t="shared" si="206"/>
        <v>1000000</v>
      </c>
      <c r="AI1225" s="101">
        <f t="shared" si="204"/>
        <v>1000000</v>
      </c>
      <c r="AJ1225" s="153">
        <v>1</v>
      </c>
      <c r="AK1225" s="121">
        <f t="shared" si="207"/>
        <v>8</v>
      </c>
      <c r="AL1225" s="158">
        <f t="shared" si="205"/>
        <v>358.3929374373177</v>
      </c>
    </row>
    <row r="1226" spans="31:38" ht="15.75" hidden="1" thickBot="1">
      <c r="AE1226" s="798"/>
      <c r="AF1226" s="777"/>
      <c r="AH1226" s="101">
        <f t="shared" si="206"/>
        <v>1000000</v>
      </c>
      <c r="AI1226" s="101">
        <f t="shared" si="204"/>
        <v>1000000</v>
      </c>
      <c r="AJ1226" s="153">
        <v>1</v>
      </c>
      <c r="AK1226" s="121">
        <f t="shared" si="207"/>
        <v>9</v>
      </c>
      <c r="AL1226" s="158">
        <f t="shared" si="205"/>
        <v>357.41954088283484</v>
      </c>
    </row>
    <row r="1227" spans="31:38" ht="15.75" hidden="1" thickBot="1">
      <c r="AE1227" s="798"/>
      <c r="AF1227" s="777"/>
      <c r="AH1227" s="101">
        <f t="shared" si="206"/>
        <v>1000000</v>
      </c>
      <c r="AI1227" s="101">
        <f t="shared" si="204"/>
        <v>1000000</v>
      </c>
      <c r="AJ1227" s="153">
        <v>1</v>
      </c>
      <c r="AK1227" s="121">
        <f t="shared" si="207"/>
        <v>10</v>
      </c>
      <c r="AL1227" s="158">
        <f t="shared" si="205"/>
        <v>356.44614432835198</v>
      </c>
    </row>
    <row r="1228" spans="31:38" ht="15.75" hidden="1" thickBot="1">
      <c r="AE1228" s="798"/>
      <c r="AF1228" s="777"/>
      <c r="AH1228" s="101">
        <f t="shared" si="206"/>
        <v>1000000</v>
      </c>
      <c r="AI1228" s="101">
        <f t="shared" si="204"/>
        <v>1000000</v>
      </c>
      <c r="AJ1228" s="153">
        <v>1</v>
      </c>
      <c r="AK1228" s="121">
        <f t="shared" si="207"/>
        <v>11</v>
      </c>
      <c r="AL1228" s="158">
        <f t="shared" si="205"/>
        <v>355.47274777386906</v>
      </c>
    </row>
    <row r="1229" spans="31:38" ht="15.75" hidden="1" thickBot="1">
      <c r="AE1229" s="798"/>
      <c r="AF1229" s="777"/>
      <c r="AH1229" s="101">
        <f t="shared" si="206"/>
        <v>1000000</v>
      </c>
      <c r="AI1229" s="101">
        <f t="shared" si="204"/>
        <v>0</v>
      </c>
      <c r="AJ1229" s="153">
        <v>1</v>
      </c>
      <c r="AK1229" s="121">
        <f t="shared" si="207"/>
        <v>12</v>
      </c>
      <c r="AL1229" s="158">
        <f t="shared" si="205"/>
        <v>354.4993512193862</v>
      </c>
    </row>
    <row r="1230" spans="31:38" ht="15.75" hidden="1" thickBot="1">
      <c r="AE1230" s="798"/>
      <c r="AF1230" s="777"/>
      <c r="AH1230" s="101">
        <f t="shared" si="206"/>
        <v>1000000</v>
      </c>
      <c r="AI1230" s="101">
        <f t="shared" si="204"/>
        <v>0</v>
      </c>
      <c r="AJ1230" s="153">
        <v>1</v>
      </c>
      <c r="AK1230" s="121">
        <f t="shared" si="207"/>
        <v>13</v>
      </c>
      <c r="AL1230" s="158">
        <f t="shared" si="205"/>
        <v>353.52595466490334</v>
      </c>
    </row>
    <row r="1231" spans="31:38" ht="15.75" hidden="1" thickBot="1">
      <c r="AE1231" s="798"/>
      <c r="AF1231" s="777"/>
      <c r="AH1231" s="101">
        <f t="shared" si="206"/>
        <v>1000000</v>
      </c>
      <c r="AI1231" s="101">
        <f t="shared" si="204"/>
        <v>0</v>
      </c>
      <c r="AJ1231" s="153">
        <v>1</v>
      </c>
      <c r="AK1231" s="121">
        <f t="shared" si="207"/>
        <v>14</v>
      </c>
      <c r="AL1231" s="158">
        <f t="shared" si="205"/>
        <v>352.55255811042048</v>
      </c>
    </row>
    <row r="1232" spans="31:38" ht="15.75" hidden="1" thickBot="1">
      <c r="AE1232" s="798"/>
      <c r="AF1232" s="777"/>
      <c r="AH1232" s="101">
        <f t="shared" si="206"/>
        <v>1000000</v>
      </c>
      <c r="AI1232" s="101">
        <f t="shared" si="204"/>
        <v>0</v>
      </c>
      <c r="AJ1232" s="153">
        <v>1</v>
      </c>
      <c r="AK1232" s="121">
        <f t="shared" si="207"/>
        <v>15</v>
      </c>
      <c r="AL1232" s="158">
        <f t="shared" si="205"/>
        <v>351.57916155593756</v>
      </c>
    </row>
    <row r="1233" spans="31:38" ht="15.75" hidden="1" thickBot="1">
      <c r="AE1233" s="798"/>
      <c r="AF1233" s="777"/>
      <c r="AH1233" s="101">
        <f t="shared" si="206"/>
        <v>1000000</v>
      </c>
      <c r="AI1233" s="101">
        <f t="shared" si="204"/>
        <v>0</v>
      </c>
      <c r="AJ1233" s="153">
        <v>1</v>
      </c>
      <c r="AK1233" s="121">
        <f t="shared" si="207"/>
        <v>16</v>
      </c>
      <c r="AL1233" s="158">
        <f t="shared" si="205"/>
        <v>350.6057650014547</v>
      </c>
    </row>
    <row r="1234" spans="31:38" ht="15.75" hidden="1" thickBot="1">
      <c r="AE1234" s="798"/>
      <c r="AF1234" s="777"/>
      <c r="AH1234" s="101">
        <f t="shared" si="206"/>
        <v>1000000</v>
      </c>
      <c r="AI1234" s="101">
        <f t="shared" si="204"/>
        <v>0</v>
      </c>
      <c r="AJ1234" s="153">
        <v>1</v>
      </c>
      <c r="AK1234" s="121">
        <f t="shared" si="207"/>
        <v>17</v>
      </c>
      <c r="AL1234" s="158">
        <f t="shared" si="205"/>
        <v>349.63236844697178</v>
      </c>
    </row>
    <row r="1235" spans="31:38" ht="15.75" hidden="1" thickBot="1">
      <c r="AE1235" s="798"/>
      <c r="AF1235" s="777"/>
      <c r="AH1235" s="101">
        <f t="shared" si="206"/>
        <v>1000000</v>
      </c>
      <c r="AI1235" s="101">
        <f t="shared" si="204"/>
        <v>0</v>
      </c>
      <c r="AJ1235" s="153">
        <v>1</v>
      </c>
      <c r="AK1235" s="121">
        <f t="shared" si="207"/>
        <v>18</v>
      </c>
      <c r="AL1235" s="158">
        <f t="shared" si="205"/>
        <v>348.65897189248892</v>
      </c>
    </row>
    <row r="1236" spans="31:38" ht="15.75" hidden="1" thickBot="1">
      <c r="AE1236" s="798"/>
      <c r="AF1236" s="777"/>
      <c r="AH1236" s="101">
        <f t="shared" si="206"/>
        <v>1000000</v>
      </c>
      <c r="AI1236" s="101">
        <f t="shared" si="204"/>
        <v>0</v>
      </c>
      <c r="AJ1236" s="153">
        <v>1</v>
      </c>
      <c r="AK1236" s="121">
        <f t="shared" si="207"/>
        <v>19</v>
      </c>
      <c r="AL1236" s="158">
        <f t="shared" si="205"/>
        <v>347.68557533800606</v>
      </c>
    </row>
    <row r="1237" spans="31:38" ht="15.75" hidden="1" thickBot="1">
      <c r="AE1237" s="798"/>
      <c r="AF1237" s="777"/>
      <c r="AH1237" s="101">
        <f t="shared" si="206"/>
        <v>1000000</v>
      </c>
      <c r="AI1237" s="101">
        <f t="shared" si="204"/>
        <v>0</v>
      </c>
      <c r="AJ1237" s="153">
        <v>1</v>
      </c>
      <c r="AK1237" s="121">
        <f t="shared" si="207"/>
        <v>20</v>
      </c>
      <c r="AL1237" s="158">
        <f t="shared" si="205"/>
        <v>346.7121787835232</v>
      </c>
    </row>
    <row r="1238" spans="31:38" ht="15.75" hidden="1" thickBot="1">
      <c r="AE1238" s="798"/>
      <c r="AF1238" s="777"/>
      <c r="AH1238" s="101">
        <f t="shared" si="206"/>
        <v>1000000</v>
      </c>
      <c r="AI1238" s="101">
        <f t="shared" si="204"/>
        <v>0</v>
      </c>
      <c r="AJ1238" s="153">
        <v>1</v>
      </c>
      <c r="AK1238" s="121">
        <f t="shared" si="207"/>
        <v>21</v>
      </c>
      <c r="AL1238" s="158">
        <f t="shared" si="205"/>
        <v>345.73878222904034</v>
      </c>
    </row>
    <row r="1239" spans="31:38" ht="15.75" hidden="1" thickBot="1">
      <c r="AE1239" s="798"/>
      <c r="AF1239" s="777"/>
      <c r="AH1239" s="101">
        <f t="shared" si="206"/>
        <v>1000000</v>
      </c>
      <c r="AI1239" s="101">
        <f t="shared" si="204"/>
        <v>0</v>
      </c>
      <c r="AJ1239" s="153">
        <v>1</v>
      </c>
      <c r="AK1239" s="121">
        <f t="shared" si="207"/>
        <v>22</v>
      </c>
      <c r="AL1239" s="158">
        <f t="shared" si="205"/>
        <v>344.76538567455742</v>
      </c>
    </row>
    <row r="1240" spans="31:38" ht="15.75" hidden="1" thickBot="1">
      <c r="AE1240" s="798"/>
      <c r="AF1240" s="777"/>
      <c r="AH1240" s="101">
        <f t="shared" si="206"/>
        <v>1000000</v>
      </c>
      <c r="AI1240" s="101">
        <f t="shared" si="204"/>
        <v>0</v>
      </c>
      <c r="AJ1240" s="153">
        <v>1</v>
      </c>
      <c r="AK1240" s="121">
        <f t="shared" si="207"/>
        <v>23</v>
      </c>
      <c r="AL1240" s="158">
        <f t="shared" si="205"/>
        <v>343.79198912007456</v>
      </c>
    </row>
    <row r="1241" spans="31:38" ht="15.75" hidden="1" thickBot="1">
      <c r="AE1241" s="798"/>
      <c r="AF1241" s="777"/>
      <c r="AH1241" s="101">
        <f t="shared" si="206"/>
        <v>1000000</v>
      </c>
      <c r="AI1241" s="101">
        <f t="shared" si="204"/>
        <v>0</v>
      </c>
      <c r="AJ1241" s="153">
        <v>1</v>
      </c>
      <c r="AK1241" s="121">
        <f t="shared" si="207"/>
        <v>24</v>
      </c>
      <c r="AL1241" s="158">
        <f t="shared" si="205"/>
        <v>342.8185925655917</v>
      </c>
    </row>
    <row r="1242" spans="31:38" ht="15.75" hidden="1" thickBot="1">
      <c r="AE1242" s="798"/>
      <c r="AF1242" s="777"/>
      <c r="AH1242" s="101">
        <f t="shared" si="206"/>
        <v>1000000</v>
      </c>
      <c r="AI1242" s="101">
        <f t="shared" si="204"/>
        <v>0</v>
      </c>
      <c r="AJ1242" s="153">
        <v>1</v>
      </c>
      <c r="AK1242" s="121">
        <f t="shared" si="207"/>
        <v>25</v>
      </c>
      <c r="AL1242" s="158">
        <f t="shared" si="205"/>
        <v>341.84519601110878</v>
      </c>
    </row>
    <row r="1243" spans="31:38" ht="15.75" hidden="1" thickBot="1">
      <c r="AE1243" s="798"/>
      <c r="AF1243" s="777"/>
      <c r="AH1243" s="101">
        <f t="shared" si="206"/>
        <v>1000000</v>
      </c>
      <c r="AI1243" s="101">
        <f t="shared" si="204"/>
        <v>0</v>
      </c>
      <c r="AJ1243" s="153">
        <v>1</v>
      </c>
      <c r="AK1243" s="121">
        <f t="shared" si="207"/>
        <v>26</v>
      </c>
      <c r="AL1243" s="158">
        <f t="shared" si="205"/>
        <v>340.87179945662592</v>
      </c>
    </row>
    <row r="1244" spans="31:38" ht="15.75" hidden="1" thickBot="1">
      <c r="AE1244" s="798"/>
      <c r="AF1244" s="777"/>
      <c r="AH1244" s="101">
        <f t="shared" si="206"/>
        <v>1000000</v>
      </c>
      <c r="AI1244" s="101">
        <f t="shared" si="204"/>
        <v>0</v>
      </c>
      <c r="AJ1244" s="153">
        <v>1</v>
      </c>
      <c r="AK1244" s="121">
        <f t="shared" si="207"/>
        <v>27</v>
      </c>
      <c r="AL1244" s="158">
        <f t="shared" si="205"/>
        <v>339.89840290214306</v>
      </c>
    </row>
    <row r="1245" spans="31:38" ht="15.75" hidden="1" thickBot="1">
      <c r="AE1245" s="798"/>
      <c r="AF1245" s="777"/>
      <c r="AH1245" s="101">
        <f t="shared" si="206"/>
        <v>1000000</v>
      </c>
      <c r="AI1245" s="101">
        <f t="shared" si="204"/>
        <v>0</v>
      </c>
      <c r="AJ1245" s="153">
        <v>1</v>
      </c>
      <c r="AK1245" s="121">
        <f t="shared" si="207"/>
        <v>28</v>
      </c>
      <c r="AL1245" s="158">
        <f t="shared" si="205"/>
        <v>338.9250063476602</v>
      </c>
    </row>
    <row r="1246" spans="31:38" ht="15.75" hidden="1" thickBot="1">
      <c r="AE1246" s="798"/>
      <c r="AF1246" s="777"/>
      <c r="AH1246" s="101">
        <f t="shared" si="206"/>
        <v>1000000</v>
      </c>
      <c r="AI1246" s="101">
        <f t="shared" si="204"/>
        <v>0</v>
      </c>
      <c r="AJ1246" s="153">
        <v>1</v>
      </c>
      <c r="AK1246" s="121">
        <f t="shared" si="207"/>
        <v>29</v>
      </c>
      <c r="AL1246" s="158">
        <f t="shared" si="205"/>
        <v>337.95160979317728</v>
      </c>
    </row>
    <row r="1247" spans="31:38" ht="15.75" hidden="1" thickBot="1">
      <c r="AE1247" s="798"/>
      <c r="AF1247" s="777"/>
      <c r="AH1247" s="101">
        <f t="shared" si="206"/>
        <v>1000000</v>
      </c>
      <c r="AI1247" s="101">
        <f t="shared" si="204"/>
        <v>0</v>
      </c>
      <c r="AJ1247" s="153">
        <v>1</v>
      </c>
      <c r="AK1247" s="121">
        <f t="shared" si="207"/>
        <v>30</v>
      </c>
      <c r="AL1247" s="158">
        <f t="shared" si="205"/>
        <v>336.97821323869437</v>
      </c>
    </row>
    <row r="1248" spans="31:38" ht="15.75" hidden="1" thickBot="1">
      <c r="AE1248" s="798"/>
      <c r="AF1248" s="777"/>
      <c r="AH1248" s="101">
        <f t="shared" si="206"/>
        <v>1000000</v>
      </c>
      <c r="AI1248" s="101">
        <f t="shared" si="204"/>
        <v>0</v>
      </c>
      <c r="AJ1248" s="153">
        <v>1</v>
      </c>
      <c r="AK1248" s="121">
        <f t="shared" si="207"/>
        <v>31</v>
      </c>
      <c r="AL1248" s="158">
        <f t="shared" si="205"/>
        <v>336.00481668421151</v>
      </c>
    </row>
    <row r="1249" spans="31:38" ht="15.75" hidden="1" thickBot="1">
      <c r="AE1249" s="798"/>
      <c r="AF1249" s="777"/>
      <c r="AH1249" s="101">
        <f t="shared" ref="AH1249:AH1280" si="208">AQ236</f>
        <v>1000000</v>
      </c>
      <c r="AI1249" s="101">
        <f t="shared" si="204"/>
        <v>0</v>
      </c>
      <c r="AJ1249" s="153">
        <v>1</v>
      </c>
      <c r="AK1249" s="121">
        <f t="shared" si="207"/>
        <v>32</v>
      </c>
      <c r="AL1249" s="158">
        <f t="shared" ref="AL1249:AL1280" si="209">Z236</f>
        <v>335.03142012972864</v>
      </c>
    </row>
    <row r="1250" spans="31:38" ht="15.75" hidden="1" thickBot="1">
      <c r="AE1250" s="798"/>
      <c r="AF1250" s="777"/>
      <c r="AH1250" s="101">
        <f t="shared" si="208"/>
        <v>1000000</v>
      </c>
      <c r="AI1250" s="101">
        <f t="shared" si="204"/>
        <v>0</v>
      </c>
      <c r="AJ1250" s="153">
        <v>1</v>
      </c>
      <c r="AK1250" s="121">
        <f t="shared" si="207"/>
        <v>33</v>
      </c>
      <c r="AL1250" s="158">
        <f t="shared" si="209"/>
        <v>334.05802357524578</v>
      </c>
    </row>
    <row r="1251" spans="31:38" ht="15.75" hidden="1" thickBot="1">
      <c r="AE1251" s="798"/>
      <c r="AF1251" s="777"/>
      <c r="AH1251" s="101">
        <f t="shared" si="208"/>
        <v>1000000</v>
      </c>
      <c r="AI1251" s="101">
        <f t="shared" si="204"/>
        <v>0</v>
      </c>
      <c r="AJ1251" s="153">
        <v>1</v>
      </c>
      <c r="AK1251" s="121">
        <f t="shared" si="207"/>
        <v>34</v>
      </c>
      <c r="AL1251" s="158">
        <f t="shared" si="209"/>
        <v>333.08462702076292</v>
      </c>
    </row>
    <row r="1252" spans="31:38" ht="15.75" hidden="1" thickBot="1">
      <c r="AE1252" s="798"/>
      <c r="AF1252" s="777"/>
      <c r="AH1252" s="101">
        <f t="shared" si="208"/>
        <v>1000000</v>
      </c>
      <c r="AI1252" s="101">
        <f t="shared" si="204"/>
        <v>0</v>
      </c>
      <c r="AJ1252" s="153">
        <v>1</v>
      </c>
      <c r="AK1252" s="121">
        <f t="shared" si="207"/>
        <v>35</v>
      </c>
      <c r="AL1252" s="158">
        <f t="shared" si="209"/>
        <v>332.11123046628001</v>
      </c>
    </row>
    <row r="1253" spans="31:38" ht="15.75" hidden="1" thickBot="1">
      <c r="AE1253" s="798"/>
      <c r="AF1253" s="777"/>
      <c r="AH1253" s="101">
        <f t="shared" si="208"/>
        <v>1000000</v>
      </c>
      <c r="AI1253" s="101">
        <f t="shared" si="204"/>
        <v>0</v>
      </c>
      <c r="AJ1253" s="153">
        <v>1</v>
      </c>
      <c r="AK1253" s="121">
        <f t="shared" si="207"/>
        <v>36</v>
      </c>
      <c r="AL1253" s="158">
        <f t="shared" si="209"/>
        <v>331.13783391179714</v>
      </c>
    </row>
    <row r="1254" spans="31:38" ht="15.75" hidden="1" thickBot="1">
      <c r="AE1254" s="798"/>
      <c r="AF1254" s="777"/>
      <c r="AH1254" s="101">
        <f t="shared" si="208"/>
        <v>1000000</v>
      </c>
      <c r="AI1254" s="101">
        <f t="shared" si="204"/>
        <v>0</v>
      </c>
      <c r="AJ1254" s="153">
        <v>1</v>
      </c>
      <c r="AK1254" s="121">
        <f t="shared" si="207"/>
        <v>37</v>
      </c>
      <c r="AL1254" s="158">
        <f t="shared" si="209"/>
        <v>330.16443735731428</v>
      </c>
    </row>
    <row r="1255" spans="31:38" ht="15.75" hidden="1" thickBot="1">
      <c r="AE1255" s="798"/>
      <c r="AF1255" s="777"/>
      <c r="AH1255" s="101">
        <f t="shared" si="208"/>
        <v>1000000</v>
      </c>
      <c r="AI1255" s="101">
        <f t="shared" si="204"/>
        <v>0</v>
      </c>
      <c r="AJ1255" s="153">
        <v>1</v>
      </c>
      <c r="AK1255" s="121">
        <f t="shared" si="207"/>
        <v>38</v>
      </c>
      <c r="AL1255" s="158">
        <f t="shared" si="209"/>
        <v>329.19104080283137</v>
      </c>
    </row>
    <row r="1256" spans="31:38" ht="15.75" hidden="1" thickBot="1">
      <c r="AE1256" s="798"/>
      <c r="AF1256" s="777"/>
      <c r="AH1256" s="101">
        <f t="shared" si="208"/>
        <v>1000000</v>
      </c>
      <c r="AI1256" s="101">
        <f t="shared" si="204"/>
        <v>0</v>
      </c>
      <c r="AJ1256" s="153">
        <v>1</v>
      </c>
      <c r="AK1256" s="121">
        <f t="shared" si="207"/>
        <v>39</v>
      </c>
      <c r="AL1256" s="158">
        <f t="shared" si="209"/>
        <v>328.21764424834851</v>
      </c>
    </row>
    <row r="1257" spans="31:38" ht="15.75" hidden="1" thickBot="1">
      <c r="AE1257" s="798"/>
      <c r="AF1257" s="777"/>
      <c r="AH1257" s="101">
        <f t="shared" si="208"/>
        <v>1000000</v>
      </c>
      <c r="AI1257" s="101">
        <f t="shared" si="204"/>
        <v>0</v>
      </c>
      <c r="AJ1257" s="153">
        <v>1</v>
      </c>
      <c r="AK1257" s="121">
        <f t="shared" si="207"/>
        <v>40</v>
      </c>
      <c r="AL1257" s="158">
        <f t="shared" si="209"/>
        <v>327.24424769386565</v>
      </c>
    </row>
    <row r="1258" spans="31:38" ht="15.75" hidden="1" thickBot="1">
      <c r="AE1258" s="798"/>
      <c r="AF1258" s="777"/>
      <c r="AH1258" s="101">
        <f t="shared" si="208"/>
        <v>1000000</v>
      </c>
      <c r="AI1258" s="101">
        <f t="shared" si="204"/>
        <v>0</v>
      </c>
      <c r="AJ1258" s="153">
        <v>1</v>
      </c>
      <c r="AK1258" s="121">
        <f t="shared" si="207"/>
        <v>41</v>
      </c>
      <c r="AL1258" s="158">
        <f t="shared" si="209"/>
        <v>326.27085113938278</v>
      </c>
    </row>
    <row r="1259" spans="31:38" ht="15.75" hidden="1" thickBot="1">
      <c r="AE1259" s="798"/>
      <c r="AF1259" s="777"/>
      <c r="AH1259" s="101">
        <f t="shared" si="208"/>
        <v>1000000</v>
      </c>
      <c r="AI1259" s="101">
        <f t="shared" si="204"/>
        <v>0</v>
      </c>
      <c r="AJ1259" s="153">
        <v>1</v>
      </c>
      <c r="AK1259" s="121">
        <f t="shared" si="207"/>
        <v>42</v>
      </c>
      <c r="AL1259" s="158">
        <f t="shared" si="209"/>
        <v>325.29745458489987</v>
      </c>
    </row>
    <row r="1260" spans="31:38" ht="15.75" hidden="1" thickBot="1">
      <c r="AE1260" s="798"/>
      <c r="AF1260" s="777"/>
      <c r="AH1260" s="101">
        <f t="shared" si="208"/>
        <v>1000000</v>
      </c>
      <c r="AI1260" s="101">
        <f t="shared" si="204"/>
        <v>0</v>
      </c>
      <c r="AJ1260" s="153">
        <v>1</v>
      </c>
      <c r="AK1260" s="121">
        <f t="shared" si="207"/>
        <v>43</v>
      </c>
      <c r="AL1260" s="158">
        <f t="shared" si="209"/>
        <v>324.32405803041701</v>
      </c>
    </row>
    <row r="1261" spans="31:38" ht="15.75" hidden="1" thickBot="1">
      <c r="AE1261" s="798"/>
      <c r="AF1261" s="777"/>
      <c r="AH1261" s="101">
        <f t="shared" si="208"/>
        <v>1000000</v>
      </c>
      <c r="AI1261" s="101">
        <f t="shared" si="204"/>
        <v>0</v>
      </c>
      <c r="AJ1261" s="153">
        <v>1</v>
      </c>
      <c r="AK1261" s="121">
        <f t="shared" si="207"/>
        <v>44</v>
      </c>
      <c r="AL1261" s="158">
        <f t="shared" si="209"/>
        <v>323.35066147593415</v>
      </c>
    </row>
    <row r="1262" spans="31:38" ht="15.75" hidden="1" thickBot="1">
      <c r="AE1262" s="798"/>
      <c r="AF1262" s="777"/>
      <c r="AH1262" s="101">
        <f t="shared" si="208"/>
        <v>1000000</v>
      </c>
      <c r="AI1262" s="101">
        <f t="shared" si="204"/>
        <v>0</v>
      </c>
      <c r="AJ1262" s="153">
        <v>1</v>
      </c>
      <c r="AK1262" s="121">
        <f t="shared" si="207"/>
        <v>45</v>
      </c>
      <c r="AL1262" s="158">
        <f t="shared" si="209"/>
        <v>322.37726492145123</v>
      </c>
    </row>
    <row r="1263" spans="31:38" ht="15.75" hidden="1" thickBot="1">
      <c r="AE1263" s="798"/>
      <c r="AF1263" s="777"/>
      <c r="AH1263" s="101">
        <f t="shared" si="208"/>
        <v>1000000</v>
      </c>
      <c r="AI1263" s="101">
        <f t="shared" si="204"/>
        <v>0</v>
      </c>
      <c r="AJ1263" s="153">
        <v>1</v>
      </c>
      <c r="AK1263" s="121">
        <f t="shared" si="207"/>
        <v>46</v>
      </c>
      <c r="AL1263" s="158">
        <f t="shared" si="209"/>
        <v>321.40386836696837</v>
      </c>
    </row>
    <row r="1264" spans="31:38" ht="15.75" hidden="1" thickBot="1">
      <c r="AE1264" s="798"/>
      <c r="AF1264" s="777"/>
      <c r="AH1264" s="101">
        <f t="shared" si="208"/>
        <v>1000000</v>
      </c>
      <c r="AI1264" s="101">
        <f t="shared" si="204"/>
        <v>0</v>
      </c>
      <c r="AJ1264" s="153">
        <v>1</v>
      </c>
      <c r="AK1264" s="121">
        <f t="shared" si="207"/>
        <v>47</v>
      </c>
      <c r="AL1264" s="158">
        <f t="shared" si="209"/>
        <v>320.43047181248551</v>
      </c>
    </row>
    <row r="1265" spans="31:38" ht="15.75" hidden="1" thickBot="1">
      <c r="AE1265" s="798"/>
      <c r="AF1265" s="777"/>
      <c r="AH1265" s="101">
        <f t="shared" si="208"/>
        <v>1000000</v>
      </c>
      <c r="AI1265" s="101">
        <f t="shared" si="204"/>
        <v>0</v>
      </c>
      <c r="AJ1265" s="153">
        <v>1</v>
      </c>
      <c r="AK1265" s="121">
        <f t="shared" si="207"/>
        <v>48</v>
      </c>
      <c r="AL1265" s="158">
        <f t="shared" si="209"/>
        <v>319.45707525800265</v>
      </c>
    </row>
    <row r="1266" spans="31:38" ht="15.75" hidden="1" thickBot="1">
      <c r="AE1266" s="798"/>
      <c r="AF1266" s="777"/>
      <c r="AH1266" s="101">
        <f t="shared" si="208"/>
        <v>1000000</v>
      </c>
      <c r="AI1266" s="101">
        <f t="shared" si="204"/>
        <v>0</v>
      </c>
      <c r="AJ1266" s="153">
        <v>1</v>
      </c>
      <c r="AK1266" s="121">
        <f t="shared" si="207"/>
        <v>49</v>
      </c>
      <c r="AL1266" s="158">
        <f t="shared" si="209"/>
        <v>318.48367870351979</v>
      </c>
    </row>
    <row r="1267" spans="31:38" ht="15.75" hidden="1" thickBot="1">
      <c r="AE1267" s="798"/>
      <c r="AF1267" s="777"/>
      <c r="AH1267" s="101">
        <f t="shared" si="208"/>
        <v>1000000</v>
      </c>
      <c r="AI1267" s="101">
        <f t="shared" si="204"/>
        <v>0</v>
      </c>
      <c r="AJ1267" s="153">
        <v>1</v>
      </c>
      <c r="AK1267" s="121">
        <f t="shared" si="207"/>
        <v>50</v>
      </c>
      <c r="AL1267" s="158">
        <f t="shared" si="209"/>
        <v>317.51028214903687</v>
      </c>
    </row>
    <row r="1268" spans="31:38" ht="15.75" hidden="1" thickBot="1">
      <c r="AE1268" s="798"/>
      <c r="AF1268" s="777"/>
      <c r="AH1268" s="101">
        <f t="shared" si="208"/>
        <v>1000000</v>
      </c>
      <c r="AI1268" s="101">
        <f t="shared" si="204"/>
        <v>0</v>
      </c>
      <c r="AJ1268" s="153">
        <v>1</v>
      </c>
      <c r="AK1268" s="121">
        <f t="shared" si="207"/>
        <v>51</v>
      </c>
      <c r="AL1268" s="158">
        <f t="shared" si="209"/>
        <v>316.53688559455395</v>
      </c>
    </row>
    <row r="1269" spans="31:38" ht="15.75" hidden="1" thickBot="1">
      <c r="AE1269" s="798"/>
      <c r="AF1269" s="777"/>
      <c r="AH1269" s="101">
        <f t="shared" si="208"/>
        <v>1000000</v>
      </c>
      <c r="AI1269" s="101">
        <f t="shared" si="204"/>
        <v>0</v>
      </c>
      <c r="AJ1269" s="153">
        <v>1</v>
      </c>
      <c r="AK1269" s="121">
        <f t="shared" si="207"/>
        <v>52</v>
      </c>
      <c r="AL1269" s="158">
        <f t="shared" si="209"/>
        <v>315.56348904007109</v>
      </c>
    </row>
    <row r="1270" spans="31:38" ht="15.75" hidden="1" thickBot="1">
      <c r="AE1270" s="798"/>
      <c r="AF1270" s="777"/>
      <c r="AH1270" s="101">
        <f t="shared" si="208"/>
        <v>1000000</v>
      </c>
      <c r="AI1270" s="101">
        <f t="shared" si="204"/>
        <v>0</v>
      </c>
      <c r="AJ1270" s="153">
        <v>1</v>
      </c>
      <c r="AK1270" s="121">
        <f t="shared" si="207"/>
        <v>53</v>
      </c>
      <c r="AL1270" s="158">
        <f t="shared" si="209"/>
        <v>314.59009248558823</v>
      </c>
    </row>
    <row r="1271" spans="31:38" ht="15.75" hidden="1" thickBot="1">
      <c r="AE1271" s="798"/>
      <c r="AF1271" s="777"/>
      <c r="AH1271" s="101">
        <f t="shared" si="208"/>
        <v>1000000</v>
      </c>
      <c r="AI1271" s="101">
        <f t="shared" si="204"/>
        <v>0</v>
      </c>
      <c r="AJ1271" s="153">
        <v>1</v>
      </c>
      <c r="AK1271" s="121">
        <f t="shared" si="207"/>
        <v>54</v>
      </c>
      <c r="AL1271" s="158">
        <f t="shared" si="209"/>
        <v>313.61669593110537</v>
      </c>
    </row>
    <row r="1272" spans="31:38" ht="15.75" hidden="1" thickBot="1">
      <c r="AE1272" s="798"/>
      <c r="AF1272" s="777"/>
      <c r="AH1272" s="101">
        <f t="shared" si="208"/>
        <v>1000000</v>
      </c>
      <c r="AI1272" s="101">
        <f t="shared" si="204"/>
        <v>0</v>
      </c>
      <c r="AJ1272" s="153">
        <v>1</v>
      </c>
      <c r="AK1272" s="121">
        <f t="shared" si="207"/>
        <v>55</v>
      </c>
      <c r="AL1272" s="158">
        <f t="shared" si="209"/>
        <v>312.64329937662245</v>
      </c>
    </row>
    <row r="1273" spans="31:38" ht="15.75" hidden="1" thickBot="1">
      <c r="AE1273" s="798"/>
      <c r="AF1273" s="777"/>
      <c r="AH1273" s="101">
        <f t="shared" si="208"/>
        <v>1000000</v>
      </c>
      <c r="AI1273" s="101">
        <f t="shared" si="204"/>
        <v>0</v>
      </c>
      <c r="AJ1273" s="153">
        <v>1</v>
      </c>
      <c r="AK1273" s="121">
        <f t="shared" si="207"/>
        <v>56</v>
      </c>
      <c r="AL1273" s="158">
        <f t="shared" si="209"/>
        <v>311.66990282213959</v>
      </c>
    </row>
    <row r="1274" spans="31:38" ht="15.75" hidden="1" thickBot="1">
      <c r="AE1274" s="798"/>
      <c r="AF1274" s="777"/>
      <c r="AH1274" s="101">
        <f t="shared" si="208"/>
        <v>1000000</v>
      </c>
      <c r="AI1274" s="101">
        <f t="shared" si="204"/>
        <v>0</v>
      </c>
      <c r="AJ1274" s="153">
        <v>1</v>
      </c>
      <c r="AK1274" s="121">
        <f t="shared" si="207"/>
        <v>57</v>
      </c>
      <c r="AL1274" s="158">
        <f t="shared" si="209"/>
        <v>310.69650626765673</v>
      </c>
    </row>
    <row r="1275" spans="31:38" ht="15.75" hidden="1" thickBot="1">
      <c r="AE1275" s="798"/>
      <c r="AF1275" s="777"/>
      <c r="AH1275" s="101">
        <f t="shared" si="208"/>
        <v>1000000</v>
      </c>
      <c r="AI1275" s="101">
        <f t="shared" si="204"/>
        <v>0</v>
      </c>
      <c r="AJ1275" s="153">
        <v>1</v>
      </c>
      <c r="AK1275" s="121">
        <f t="shared" si="207"/>
        <v>58</v>
      </c>
      <c r="AL1275" s="158">
        <f t="shared" si="209"/>
        <v>309.72310971317381</v>
      </c>
    </row>
    <row r="1276" spans="31:38" ht="15.75" hidden="1" thickBot="1">
      <c r="AE1276" s="798"/>
      <c r="AF1276" s="777"/>
      <c r="AH1276" s="101">
        <f t="shared" si="208"/>
        <v>1000000</v>
      </c>
      <c r="AI1276" s="101">
        <f t="shared" si="204"/>
        <v>0</v>
      </c>
      <c r="AJ1276" s="153">
        <v>1</v>
      </c>
      <c r="AK1276" s="121">
        <f t="shared" si="207"/>
        <v>59</v>
      </c>
      <c r="AL1276" s="158">
        <f t="shared" si="209"/>
        <v>308.74971315869095</v>
      </c>
    </row>
    <row r="1277" spans="31:38" ht="15.75" hidden="1" thickBot="1">
      <c r="AE1277" s="798"/>
      <c r="AF1277" s="777"/>
      <c r="AH1277" s="101">
        <f t="shared" si="208"/>
        <v>1000000</v>
      </c>
      <c r="AI1277" s="101">
        <f t="shared" si="204"/>
        <v>0</v>
      </c>
      <c r="AJ1277" s="153">
        <v>1</v>
      </c>
      <c r="AK1277" s="121">
        <f t="shared" si="207"/>
        <v>60</v>
      </c>
      <c r="AL1277" s="158">
        <f t="shared" si="209"/>
        <v>307.77631660420809</v>
      </c>
    </row>
    <row r="1278" spans="31:38" ht="15.75" hidden="1" thickBot="1">
      <c r="AE1278" s="798"/>
      <c r="AF1278" s="777"/>
      <c r="AH1278" s="101">
        <f t="shared" si="208"/>
        <v>1000000</v>
      </c>
      <c r="AI1278" s="101">
        <f t="shared" si="204"/>
        <v>0</v>
      </c>
      <c r="AJ1278" s="153">
        <v>1</v>
      </c>
      <c r="AK1278" s="121">
        <f t="shared" si="207"/>
        <v>61</v>
      </c>
      <c r="AL1278" s="158">
        <f t="shared" si="209"/>
        <v>306.80292004972523</v>
      </c>
    </row>
    <row r="1279" spans="31:38" ht="15.75" hidden="1" thickBot="1">
      <c r="AE1279" s="798"/>
      <c r="AF1279" s="777"/>
      <c r="AH1279" s="101">
        <f t="shared" si="208"/>
        <v>1000000</v>
      </c>
      <c r="AI1279" s="101">
        <f t="shared" si="204"/>
        <v>0</v>
      </c>
      <c r="AJ1279" s="153">
        <v>1</v>
      </c>
      <c r="AK1279" s="121">
        <f t="shared" si="207"/>
        <v>62</v>
      </c>
      <c r="AL1279" s="158">
        <f t="shared" si="209"/>
        <v>305.82952349524237</v>
      </c>
    </row>
    <row r="1280" spans="31:38" ht="15.75" hidden="1" thickBot="1">
      <c r="AE1280" s="798"/>
      <c r="AF1280" s="777"/>
      <c r="AH1280" s="101">
        <f t="shared" si="208"/>
        <v>1000000</v>
      </c>
      <c r="AI1280" s="101">
        <f t="shared" si="204"/>
        <v>0</v>
      </c>
      <c r="AJ1280" s="153">
        <v>1</v>
      </c>
      <c r="AK1280" s="121">
        <f t="shared" si="207"/>
        <v>63</v>
      </c>
      <c r="AL1280" s="158">
        <f t="shared" si="209"/>
        <v>304.85612694075945</v>
      </c>
    </row>
    <row r="1281" spans="31:38" ht="15.75" hidden="1" thickBot="1">
      <c r="AE1281" s="798"/>
      <c r="AF1281" s="777"/>
      <c r="AH1281" s="101">
        <f t="shared" ref="AH1281:AH1312" si="210">AQ268</f>
        <v>1000000</v>
      </c>
      <c r="AI1281" s="101">
        <f t="shared" ref="AI1281:AI1344" si="211">IF(AL1281&lt;$D$85,0,AH1281)</f>
        <v>0</v>
      </c>
      <c r="AJ1281" s="153">
        <v>1</v>
      </c>
      <c r="AK1281" s="121">
        <f t="shared" si="207"/>
        <v>64</v>
      </c>
      <c r="AL1281" s="158">
        <f t="shared" ref="AL1281:AL1312" si="212">Z268</f>
        <v>303.88273038627659</v>
      </c>
    </row>
    <row r="1282" spans="31:38" ht="15.75" hidden="1" thickBot="1">
      <c r="AE1282" s="798"/>
      <c r="AF1282" s="777"/>
      <c r="AH1282" s="101">
        <f t="shared" si="210"/>
        <v>1000000</v>
      </c>
      <c r="AI1282" s="101">
        <f t="shared" si="211"/>
        <v>0</v>
      </c>
      <c r="AJ1282" s="153">
        <v>1</v>
      </c>
      <c r="AK1282" s="121">
        <f t="shared" ref="AK1282:AK1317" si="213">AK1281+1</f>
        <v>65</v>
      </c>
      <c r="AL1282" s="158">
        <f t="shared" si="212"/>
        <v>302.90933383179367</v>
      </c>
    </row>
    <row r="1283" spans="31:38" ht="15.75" hidden="1" thickBot="1">
      <c r="AE1283" s="798"/>
      <c r="AF1283" s="777"/>
      <c r="AH1283" s="101">
        <f t="shared" si="210"/>
        <v>1000000</v>
      </c>
      <c r="AI1283" s="101">
        <f t="shared" si="211"/>
        <v>0</v>
      </c>
      <c r="AJ1283" s="153">
        <v>1</v>
      </c>
      <c r="AK1283" s="121">
        <f t="shared" si="213"/>
        <v>66</v>
      </c>
      <c r="AL1283" s="158">
        <f t="shared" si="212"/>
        <v>301.93593727731081</v>
      </c>
    </row>
    <row r="1284" spans="31:38" ht="15.75" hidden="1" thickBot="1">
      <c r="AE1284" s="798"/>
      <c r="AF1284" s="777"/>
      <c r="AH1284" s="101">
        <f t="shared" si="210"/>
        <v>1000000</v>
      </c>
      <c r="AI1284" s="101">
        <f t="shared" si="211"/>
        <v>0</v>
      </c>
      <c r="AJ1284" s="153">
        <v>1</v>
      </c>
      <c r="AK1284" s="121">
        <f t="shared" si="213"/>
        <v>67</v>
      </c>
      <c r="AL1284" s="158">
        <f t="shared" si="212"/>
        <v>300.96254072282795</v>
      </c>
    </row>
    <row r="1285" spans="31:38" ht="15.75" hidden="1" thickBot="1">
      <c r="AE1285" s="798"/>
      <c r="AF1285" s="777"/>
      <c r="AH1285" s="101">
        <f t="shared" si="210"/>
        <v>1000000</v>
      </c>
      <c r="AI1285" s="101">
        <f t="shared" si="211"/>
        <v>0</v>
      </c>
      <c r="AJ1285" s="153">
        <v>1</v>
      </c>
      <c r="AK1285" s="121">
        <f t="shared" si="213"/>
        <v>68</v>
      </c>
      <c r="AL1285" s="158">
        <f t="shared" si="212"/>
        <v>299.98914416834504</v>
      </c>
    </row>
    <row r="1286" spans="31:38" ht="15.75" hidden="1" thickBot="1">
      <c r="AE1286" s="798"/>
      <c r="AF1286" s="777"/>
      <c r="AH1286" s="101">
        <f t="shared" si="210"/>
        <v>1000000</v>
      </c>
      <c r="AI1286" s="101">
        <f t="shared" si="211"/>
        <v>0</v>
      </c>
      <c r="AJ1286" s="153">
        <v>1</v>
      </c>
      <c r="AK1286" s="121">
        <f t="shared" si="213"/>
        <v>69</v>
      </c>
      <c r="AL1286" s="158">
        <f t="shared" si="212"/>
        <v>299.01574761386217</v>
      </c>
    </row>
    <row r="1287" spans="31:38" ht="15.75" hidden="1" thickBot="1">
      <c r="AE1287" s="798"/>
      <c r="AF1287" s="777"/>
      <c r="AH1287" s="101">
        <f t="shared" si="210"/>
        <v>1000000</v>
      </c>
      <c r="AI1287" s="101">
        <f t="shared" si="211"/>
        <v>0</v>
      </c>
      <c r="AJ1287" s="153">
        <v>1</v>
      </c>
      <c r="AK1287" s="121">
        <f t="shared" si="213"/>
        <v>70</v>
      </c>
      <c r="AL1287" s="158">
        <f t="shared" si="212"/>
        <v>298.04235105937931</v>
      </c>
    </row>
    <row r="1288" spans="31:38" ht="15.75" hidden="1" thickBot="1">
      <c r="AE1288" s="798"/>
      <c r="AF1288" s="777"/>
      <c r="AH1288" s="101">
        <f t="shared" si="210"/>
        <v>1000000</v>
      </c>
      <c r="AI1288" s="101">
        <f t="shared" si="211"/>
        <v>0</v>
      </c>
      <c r="AJ1288" s="153">
        <v>1</v>
      </c>
      <c r="AK1288" s="121">
        <f t="shared" si="213"/>
        <v>71</v>
      </c>
      <c r="AL1288" s="158">
        <f t="shared" si="212"/>
        <v>297.06895450489645</v>
      </c>
    </row>
    <row r="1289" spans="31:38" ht="15.75" hidden="1" thickBot="1">
      <c r="AE1289" s="798"/>
      <c r="AF1289" s="777"/>
      <c r="AH1289" s="101">
        <f t="shared" si="210"/>
        <v>1000000</v>
      </c>
      <c r="AI1289" s="101">
        <f t="shared" si="211"/>
        <v>0</v>
      </c>
      <c r="AJ1289" s="153">
        <v>1</v>
      </c>
      <c r="AK1289" s="121">
        <f t="shared" si="213"/>
        <v>72</v>
      </c>
      <c r="AL1289" s="158">
        <f t="shared" si="212"/>
        <v>296.09555795041354</v>
      </c>
    </row>
    <row r="1290" spans="31:38" ht="15.75" hidden="1" thickBot="1">
      <c r="AE1290" s="798"/>
      <c r="AF1290" s="777"/>
      <c r="AH1290" s="101">
        <f t="shared" si="210"/>
        <v>1000000</v>
      </c>
      <c r="AI1290" s="101">
        <f t="shared" si="211"/>
        <v>0</v>
      </c>
      <c r="AJ1290" s="153">
        <v>1</v>
      </c>
      <c r="AK1290" s="121">
        <f t="shared" si="213"/>
        <v>73</v>
      </c>
      <c r="AL1290" s="158">
        <f t="shared" si="212"/>
        <v>295.12216139593068</v>
      </c>
    </row>
    <row r="1291" spans="31:38" ht="15.75" hidden="1" thickBot="1">
      <c r="AE1291" s="798"/>
      <c r="AF1291" s="777"/>
      <c r="AH1291" s="101">
        <f t="shared" si="210"/>
        <v>1000000</v>
      </c>
      <c r="AI1291" s="101">
        <f t="shared" si="211"/>
        <v>0</v>
      </c>
      <c r="AJ1291" s="153">
        <v>1</v>
      </c>
      <c r="AK1291" s="121">
        <f t="shared" si="213"/>
        <v>74</v>
      </c>
      <c r="AL1291" s="158">
        <f t="shared" si="212"/>
        <v>294.14876484144781</v>
      </c>
    </row>
    <row r="1292" spans="31:38" ht="15.75" hidden="1" thickBot="1">
      <c r="AE1292" s="798"/>
      <c r="AF1292" s="777"/>
      <c r="AH1292" s="101">
        <f t="shared" si="210"/>
        <v>1000000</v>
      </c>
      <c r="AI1292" s="101">
        <f t="shared" si="211"/>
        <v>0</v>
      </c>
      <c r="AJ1292" s="153">
        <v>1</v>
      </c>
      <c r="AK1292" s="121">
        <f t="shared" si="213"/>
        <v>75</v>
      </c>
      <c r="AL1292" s="158">
        <f t="shared" si="212"/>
        <v>293.17536828696495</v>
      </c>
    </row>
    <row r="1293" spans="31:38" ht="15.75" hidden="1" thickBot="1">
      <c r="AE1293" s="798"/>
      <c r="AF1293" s="777"/>
      <c r="AH1293" s="101">
        <f t="shared" si="210"/>
        <v>1000000</v>
      </c>
      <c r="AI1293" s="101">
        <f t="shared" si="211"/>
        <v>0</v>
      </c>
      <c r="AJ1293" s="153">
        <v>1</v>
      </c>
      <c r="AK1293" s="121">
        <f t="shared" si="213"/>
        <v>76</v>
      </c>
      <c r="AL1293" s="158">
        <f t="shared" si="212"/>
        <v>292.20197173248204</v>
      </c>
    </row>
    <row r="1294" spans="31:38" ht="15.75" hidden="1" thickBot="1">
      <c r="AE1294" s="798"/>
      <c r="AF1294" s="777"/>
      <c r="AH1294" s="101">
        <f t="shared" si="210"/>
        <v>1000000</v>
      </c>
      <c r="AI1294" s="101">
        <f t="shared" si="211"/>
        <v>0</v>
      </c>
      <c r="AJ1294" s="153">
        <v>1</v>
      </c>
      <c r="AK1294" s="121">
        <f t="shared" si="213"/>
        <v>77</v>
      </c>
      <c r="AL1294" s="158">
        <f t="shared" si="212"/>
        <v>291.22857517799918</v>
      </c>
    </row>
    <row r="1295" spans="31:38" ht="15.75" hidden="1" thickBot="1">
      <c r="AE1295" s="798"/>
      <c r="AF1295" s="777"/>
      <c r="AH1295" s="101">
        <f t="shared" si="210"/>
        <v>1000000</v>
      </c>
      <c r="AI1295" s="101">
        <f t="shared" si="211"/>
        <v>0</v>
      </c>
      <c r="AJ1295" s="153">
        <v>1</v>
      </c>
      <c r="AK1295" s="121">
        <f t="shared" si="213"/>
        <v>78</v>
      </c>
      <c r="AL1295" s="158">
        <f t="shared" si="212"/>
        <v>290.25517862351631</v>
      </c>
    </row>
    <row r="1296" spans="31:38" ht="15.75" hidden="1" thickBot="1">
      <c r="AE1296" s="798"/>
      <c r="AF1296" s="777"/>
      <c r="AH1296" s="101">
        <f t="shared" si="210"/>
        <v>1000000</v>
      </c>
      <c r="AI1296" s="101">
        <f t="shared" si="211"/>
        <v>0</v>
      </c>
      <c r="AJ1296" s="153">
        <v>1</v>
      </c>
      <c r="AK1296" s="121">
        <f t="shared" si="213"/>
        <v>79</v>
      </c>
      <c r="AL1296" s="158">
        <f t="shared" si="212"/>
        <v>289.2817820690334</v>
      </c>
    </row>
    <row r="1297" spans="31:38" ht="15.75" hidden="1" thickBot="1">
      <c r="AE1297" s="798"/>
      <c r="AF1297" s="777"/>
      <c r="AH1297" s="101">
        <f t="shared" si="210"/>
        <v>1000000</v>
      </c>
      <c r="AI1297" s="101">
        <f t="shared" si="211"/>
        <v>0</v>
      </c>
      <c r="AJ1297" s="153">
        <v>1</v>
      </c>
      <c r="AK1297" s="121">
        <f t="shared" si="213"/>
        <v>80</v>
      </c>
      <c r="AL1297" s="158">
        <f t="shared" si="212"/>
        <v>288.30838551455054</v>
      </c>
    </row>
    <row r="1298" spans="31:38" ht="15.75" hidden="1" thickBot="1">
      <c r="AE1298" s="798"/>
      <c r="AF1298" s="777"/>
      <c r="AH1298" s="101">
        <f t="shared" si="210"/>
        <v>1000000</v>
      </c>
      <c r="AI1298" s="101">
        <f t="shared" si="211"/>
        <v>0</v>
      </c>
      <c r="AJ1298" s="153">
        <v>1</v>
      </c>
      <c r="AK1298" s="121">
        <f t="shared" si="213"/>
        <v>81</v>
      </c>
      <c r="AL1298" s="158">
        <f t="shared" si="212"/>
        <v>287.33498896006768</v>
      </c>
    </row>
    <row r="1299" spans="31:38" ht="15.75" hidden="1" thickBot="1">
      <c r="AE1299" s="798"/>
      <c r="AF1299" s="777"/>
      <c r="AH1299" s="101">
        <f t="shared" si="210"/>
        <v>1000000</v>
      </c>
      <c r="AI1299" s="101">
        <f t="shared" si="211"/>
        <v>0</v>
      </c>
      <c r="AJ1299" s="153">
        <v>1</v>
      </c>
      <c r="AK1299" s="121">
        <f t="shared" si="213"/>
        <v>82</v>
      </c>
      <c r="AL1299" s="158">
        <f t="shared" si="212"/>
        <v>286.36159240558476</v>
      </c>
    </row>
    <row r="1300" spans="31:38" ht="15.75" hidden="1" thickBot="1">
      <c r="AE1300" s="798"/>
      <c r="AF1300" s="777"/>
      <c r="AH1300" s="101">
        <f t="shared" si="210"/>
        <v>1000000</v>
      </c>
      <c r="AI1300" s="101">
        <f t="shared" si="211"/>
        <v>0</v>
      </c>
      <c r="AJ1300" s="153">
        <v>1</v>
      </c>
      <c r="AK1300" s="121">
        <f t="shared" si="213"/>
        <v>83</v>
      </c>
      <c r="AL1300" s="158">
        <f t="shared" si="212"/>
        <v>285.3881958511019</v>
      </c>
    </row>
    <row r="1301" spans="31:38" ht="15.75" hidden="1" thickBot="1">
      <c r="AE1301" s="798"/>
      <c r="AF1301" s="777"/>
      <c r="AH1301" s="101">
        <f t="shared" si="210"/>
        <v>1000000</v>
      </c>
      <c r="AI1301" s="101">
        <f t="shared" si="211"/>
        <v>0</v>
      </c>
      <c r="AJ1301" s="153">
        <v>1</v>
      </c>
      <c r="AK1301" s="121">
        <f t="shared" si="213"/>
        <v>84</v>
      </c>
      <c r="AL1301" s="158">
        <f t="shared" si="212"/>
        <v>284.41479929661904</v>
      </c>
    </row>
    <row r="1302" spans="31:38" ht="15.75" hidden="1" thickBot="1">
      <c r="AE1302" s="798"/>
      <c r="AF1302" s="777"/>
      <c r="AH1302" s="101">
        <f t="shared" si="210"/>
        <v>1000000</v>
      </c>
      <c r="AI1302" s="101">
        <f t="shared" si="211"/>
        <v>0</v>
      </c>
      <c r="AJ1302" s="153">
        <v>1</v>
      </c>
      <c r="AK1302" s="121">
        <f t="shared" si="213"/>
        <v>85</v>
      </c>
      <c r="AL1302" s="158">
        <f t="shared" si="212"/>
        <v>283.44140274213612</v>
      </c>
    </row>
    <row r="1303" spans="31:38" ht="15.75" hidden="1" thickBot="1">
      <c r="AE1303" s="798"/>
      <c r="AF1303" s="777"/>
      <c r="AH1303" s="101">
        <f t="shared" si="210"/>
        <v>1000000</v>
      </c>
      <c r="AI1303" s="101">
        <f t="shared" si="211"/>
        <v>0</v>
      </c>
      <c r="AJ1303" s="153">
        <v>1</v>
      </c>
      <c r="AK1303" s="121">
        <f t="shared" si="213"/>
        <v>86</v>
      </c>
      <c r="AL1303" s="158">
        <f t="shared" si="212"/>
        <v>282.46800618765326</v>
      </c>
    </row>
    <row r="1304" spans="31:38" ht="15.75" hidden="1" thickBot="1">
      <c r="AE1304" s="798"/>
      <c r="AF1304" s="777"/>
      <c r="AH1304" s="101">
        <f t="shared" si="210"/>
        <v>1000000</v>
      </c>
      <c r="AI1304" s="101">
        <f t="shared" si="211"/>
        <v>0</v>
      </c>
      <c r="AJ1304" s="153">
        <v>1</v>
      </c>
      <c r="AK1304" s="121">
        <f t="shared" si="213"/>
        <v>87</v>
      </c>
      <c r="AL1304" s="158">
        <f t="shared" si="212"/>
        <v>281.4946096331704</v>
      </c>
    </row>
    <row r="1305" spans="31:38" ht="15.75" hidden="1" thickBot="1">
      <c r="AE1305" s="798"/>
      <c r="AF1305" s="777"/>
      <c r="AH1305" s="101">
        <f t="shared" si="210"/>
        <v>1000000</v>
      </c>
      <c r="AI1305" s="101">
        <f t="shared" si="211"/>
        <v>0</v>
      </c>
      <c r="AJ1305" s="153">
        <v>1</v>
      </c>
      <c r="AK1305" s="121">
        <f t="shared" si="213"/>
        <v>88</v>
      </c>
      <c r="AL1305" s="158">
        <f t="shared" si="212"/>
        <v>280.52121307868754</v>
      </c>
    </row>
    <row r="1306" spans="31:38" ht="15.75" hidden="1" thickBot="1">
      <c r="AE1306" s="798"/>
      <c r="AF1306" s="777"/>
      <c r="AH1306" s="101">
        <f t="shared" si="210"/>
        <v>1000000</v>
      </c>
      <c r="AI1306" s="101">
        <f t="shared" si="211"/>
        <v>0</v>
      </c>
      <c r="AJ1306" s="153">
        <v>1</v>
      </c>
      <c r="AK1306" s="121">
        <f t="shared" si="213"/>
        <v>89</v>
      </c>
      <c r="AL1306" s="158">
        <f t="shared" si="212"/>
        <v>279.54781652420468</v>
      </c>
    </row>
    <row r="1307" spans="31:38" ht="15.75" hidden="1" thickBot="1">
      <c r="AE1307" s="798"/>
      <c r="AF1307" s="777"/>
      <c r="AH1307" s="101">
        <f t="shared" si="210"/>
        <v>1000000</v>
      </c>
      <c r="AI1307" s="101">
        <f t="shared" si="211"/>
        <v>0</v>
      </c>
      <c r="AJ1307" s="153">
        <v>1</v>
      </c>
      <c r="AK1307" s="121">
        <f t="shared" si="213"/>
        <v>90</v>
      </c>
      <c r="AL1307" s="158">
        <f t="shared" si="212"/>
        <v>278.57441996972176</v>
      </c>
    </row>
    <row r="1308" spans="31:38" ht="15.75" hidden="1" thickBot="1">
      <c r="AE1308" s="798"/>
      <c r="AF1308" s="777"/>
      <c r="AH1308" s="101">
        <f t="shared" si="210"/>
        <v>1000000</v>
      </c>
      <c r="AI1308" s="101">
        <f t="shared" si="211"/>
        <v>0</v>
      </c>
      <c r="AJ1308" s="153">
        <v>1</v>
      </c>
      <c r="AK1308" s="121">
        <f t="shared" si="213"/>
        <v>91</v>
      </c>
      <c r="AL1308" s="158">
        <f t="shared" si="212"/>
        <v>277.6010234152389</v>
      </c>
    </row>
    <row r="1309" spans="31:38" ht="15.75" hidden="1" thickBot="1">
      <c r="AE1309" s="798"/>
      <c r="AF1309" s="777"/>
      <c r="AH1309" s="101">
        <f t="shared" si="210"/>
        <v>1000000</v>
      </c>
      <c r="AI1309" s="101">
        <f t="shared" si="211"/>
        <v>0</v>
      </c>
      <c r="AJ1309" s="153">
        <v>1</v>
      </c>
      <c r="AK1309" s="121">
        <f t="shared" si="213"/>
        <v>92</v>
      </c>
      <c r="AL1309" s="158">
        <f t="shared" si="212"/>
        <v>276.62762686075598</v>
      </c>
    </row>
    <row r="1310" spans="31:38" ht="15.75" hidden="1" thickBot="1">
      <c r="AE1310" s="798"/>
      <c r="AF1310" s="777"/>
      <c r="AH1310" s="101">
        <f t="shared" si="210"/>
        <v>1000000</v>
      </c>
      <c r="AI1310" s="101">
        <f t="shared" si="211"/>
        <v>0</v>
      </c>
      <c r="AJ1310" s="153">
        <v>1</v>
      </c>
      <c r="AK1310" s="121">
        <f t="shared" si="213"/>
        <v>93</v>
      </c>
      <c r="AL1310" s="158">
        <f t="shared" si="212"/>
        <v>275.65423030627312</v>
      </c>
    </row>
    <row r="1311" spans="31:38" ht="15.75" hidden="1" thickBot="1">
      <c r="AE1311" s="798"/>
      <c r="AF1311" s="777"/>
      <c r="AH1311" s="101">
        <f t="shared" si="210"/>
        <v>1000000</v>
      </c>
      <c r="AI1311" s="101">
        <f t="shared" si="211"/>
        <v>0</v>
      </c>
      <c r="AJ1311" s="153">
        <v>1</v>
      </c>
      <c r="AK1311" s="121">
        <f t="shared" si="213"/>
        <v>94</v>
      </c>
      <c r="AL1311" s="158">
        <f t="shared" si="212"/>
        <v>274.68083375179026</v>
      </c>
    </row>
    <row r="1312" spans="31:38" ht="15.75" hidden="1" thickBot="1">
      <c r="AE1312" s="798"/>
      <c r="AF1312" s="777"/>
      <c r="AH1312" s="101">
        <f t="shared" si="210"/>
        <v>1000000</v>
      </c>
      <c r="AI1312" s="101">
        <f t="shared" si="211"/>
        <v>0</v>
      </c>
      <c r="AJ1312" s="153">
        <v>1</v>
      </c>
      <c r="AK1312" s="121">
        <f t="shared" si="213"/>
        <v>95</v>
      </c>
      <c r="AL1312" s="158">
        <f t="shared" si="212"/>
        <v>273.7074371973074</v>
      </c>
    </row>
    <row r="1313" spans="31:38" ht="15.75" hidden="1" thickBot="1">
      <c r="AE1313" s="798"/>
      <c r="AF1313" s="777"/>
      <c r="AH1313" s="101">
        <f>AQ300</f>
        <v>1000000</v>
      </c>
      <c r="AI1313" s="101">
        <f t="shared" si="211"/>
        <v>0</v>
      </c>
      <c r="AJ1313" s="153">
        <v>1</v>
      </c>
      <c r="AK1313" s="121">
        <f t="shared" si="213"/>
        <v>96</v>
      </c>
      <c r="AL1313" s="158">
        <f>Z300</f>
        <v>272.73404064282454</v>
      </c>
    </row>
    <row r="1314" spans="31:38" ht="15.75" hidden="1" thickBot="1">
      <c r="AE1314" s="798"/>
      <c r="AF1314" s="777"/>
      <c r="AH1314" s="101">
        <f>AQ301</f>
        <v>1000000</v>
      </c>
      <c r="AI1314" s="101">
        <f t="shared" si="211"/>
        <v>0</v>
      </c>
      <c r="AJ1314" s="153">
        <v>1</v>
      </c>
      <c r="AK1314" s="121">
        <f t="shared" si="213"/>
        <v>97</v>
      </c>
      <c r="AL1314" s="158">
        <f>Z301</f>
        <v>271.76064408834162</v>
      </c>
    </row>
    <row r="1315" spans="31:38" ht="15.75" hidden="1" thickBot="1">
      <c r="AE1315" s="798"/>
      <c r="AF1315" s="777"/>
      <c r="AH1315" s="101">
        <f>AQ302</f>
        <v>1000000</v>
      </c>
      <c r="AI1315" s="101">
        <f t="shared" si="211"/>
        <v>0</v>
      </c>
      <c r="AJ1315" s="153">
        <v>1</v>
      </c>
      <c r="AK1315" s="121">
        <f t="shared" si="213"/>
        <v>98</v>
      </c>
      <c r="AL1315" s="158">
        <f>Z302</f>
        <v>270.7872475338587</v>
      </c>
    </row>
    <row r="1316" spans="31:38" ht="15.75" hidden="1" thickBot="1">
      <c r="AE1316" s="798"/>
      <c r="AF1316" s="777"/>
      <c r="AH1316" s="101">
        <f>AQ303</f>
        <v>1000000</v>
      </c>
      <c r="AI1316" s="101">
        <f t="shared" si="211"/>
        <v>0</v>
      </c>
      <c r="AJ1316" s="153">
        <v>1</v>
      </c>
      <c r="AK1316" s="121">
        <f t="shared" si="213"/>
        <v>99</v>
      </c>
      <c r="AL1316" s="158">
        <f>Z303</f>
        <v>269.81385097937584</v>
      </c>
    </row>
    <row r="1317" spans="31:38" ht="15.75" hidden="1" thickBot="1">
      <c r="AE1317" s="798"/>
      <c r="AF1317" s="778"/>
      <c r="AH1317" s="101">
        <f>AQ304</f>
        <v>1000000</v>
      </c>
      <c r="AI1317" s="101">
        <f t="shared" si="211"/>
        <v>0</v>
      </c>
      <c r="AJ1317" s="155">
        <v>1</v>
      </c>
      <c r="AK1317" s="121">
        <f t="shared" si="213"/>
        <v>100</v>
      </c>
      <c r="AL1317" s="158">
        <f>Z304</f>
        <v>268.84045442489298</v>
      </c>
    </row>
    <row r="1318" spans="31:38" ht="15.75" hidden="1" thickBot="1">
      <c r="AE1318" s="798"/>
      <c r="AF1318" s="776" t="s">
        <v>285</v>
      </c>
      <c r="AH1318" s="101">
        <f>AX204</f>
        <v>171.97499912191631</v>
      </c>
      <c r="AI1318" s="101">
        <f t="shared" si="211"/>
        <v>171.97499912191631</v>
      </c>
      <c r="AJ1318" s="155">
        <v>2</v>
      </c>
      <c r="AK1318" s="121">
        <v>0</v>
      </c>
      <c r="AL1318" s="152">
        <f t="shared" ref="AL1318:AL1349" si="214">AA204</f>
        <v>549.27016480977113</v>
      </c>
    </row>
    <row r="1319" spans="31:38" ht="15.75" hidden="1" thickBot="1">
      <c r="AE1319" s="798"/>
      <c r="AF1319" s="777"/>
      <c r="AH1319" s="101">
        <f t="shared" ref="AH1319:AH1349" si="215">AX205</f>
        <v>1000000</v>
      </c>
      <c r="AI1319" s="101">
        <f t="shared" si="211"/>
        <v>1000000</v>
      </c>
      <c r="AJ1319" s="155">
        <v>2</v>
      </c>
      <c r="AK1319" s="121">
        <f t="shared" ref="AK1319:AK1382" si="216">AK1318+1</f>
        <v>1</v>
      </c>
      <c r="AL1319" s="152">
        <f t="shared" si="214"/>
        <v>547.81006997804673</v>
      </c>
    </row>
    <row r="1320" spans="31:38" ht="15.75" hidden="1" thickBot="1">
      <c r="AE1320" s="798"/>
      <c r="AF1320" s="777"/>
      <c r="AH1320" s="101">
        <f t="shared" si="215"/>
        <v>1000000</v>
      </c>
      <c r="AI1320" s="101">
        <f t="shared" si="211"/>
        <v>1000000</v>
      </c>
      <c r="AJ1320" s="155">
        <v>2</v>
      </c>
      <c r="AK1320" s="121">
        <f t="shared" si="216"/>
        <v>2</v>
      </c>
      <c r="AL1320" s="152">
        <f t="shared" si="214"/>
        <v>546.34997514632244</v>
      </c>
    </row>
    <row r="1321" spans="31:38" ht="15.75" hidden="1" thickBot="1">
      <c r="AE1321" s="798"/>
      <c r="AF1321" s="777"/>
      <c r="AH1321" s="101">
        <f t="shared" si="215"/>
        <v>1000000</v>
      </c>
      <c r="AI1321" s="101">
        <f t="shared" si="211"/>
        <v>1000000</v>
      </c>
      <c r="AJ1321" s="155">
        <v>2</v>
      </c>
      <c r="AK1321" s="121">
        <f t="shared" si="216"/>
        <v>3</v>
      </c>
      <c r="AL1321" s="152">
        <f t="shared" si="214"/>
        <v>544.88988031459814</v>
      </c>
    </row>
    <row r="1322" spans="31:38" ht="15.75" hidden="1" thickBot="1">
      <c r="AE1322" s="798"/>
      <c r="AF1322" s="777"/>
      <c r="AH1322" s="101">
        <f t="shared" si="215"/>
        <v>1000000</v>
      </c>
      <c r="AI1322" s="101">
        <f t="shared" si="211"/>
        <v>1000000</v>
      </c>
      <c r="AJ1322" s="155">
        <v>2</v>
      </c>
      <c r="AK1322" s="121">
        <f t="shared" si="216"/>
        <v>4</v>
      </c>
      <c r="AL1322" s="152">
        <f t="shared" si="214"/>
        <v>543.42978548287374</v>
      </c>
    </row>
    <row r="1323" spans="31:38" ht="15.75" hidden="1" thickBot="1">
      <c r="AE1323" s="798"/>
      <c r="AF1323" s="777"/>
      <c r="AH1323" s="101">
        <f t="shared" si="215"/>
        <v>1000000</v>
      </c>
      <c r="AI1323" s="101">
        <f t="shared" si="211"/>
        <v>1000000</v>
      </c>
      <c r="AJ1323" s="155">
        <v>2</v>
      </c>
      <c r="AK1323" s="121">
        <f t="shared" si="216"/>
        <v>5</v>
      </c>
      <c r="AL1323" s="152">
        <f t="shared" si="214"/>
        <v>541.96969065114945</v>
      </c>
    </row>
    <row r="1324" spans="31:38" ht="15.75" hidden="1" thickBot="1">
      <c r="AE1324" s="798"/>
      <c r="AF1324" s="777"/>
      <c r="AH1324" s="101">
        <f t="shared" si="215"/>
        <v>1000000</v>
      </c>
      <c r="AI1324" s="101">
        <f t="shared" si="211"/>
        <v>1000000</v>
      </c>
      <c r="AJ1324" s="155">
        <v>2</v>
      </c>
      <c r="AK1324" s="121">
        <f t="shared" si="216"/>
        <v>6</v>
      </c>
      <c r="AL1324" s="152">
        <f t="shared" si="214"/>
        <v>540.50959581942516</v>
      </c>
    </row>
    <row r="1325" spans="31:38" ht="15.75" hidden="1" thickBot="1">
      <c r="AE1325" s="798"/>
      <c r="AF1325" s="777"/>
      <c r="AH1325" s="101">
        <f t="shared" si="215"/>
        <v>1000000</v>
      </c>
      <c r="AI1325" s="101">
        <f t="shared" si="211"/>
        <v>1000000</v>
      </c>
      <c r="AJ1325" s="155">
        <v>2</v>
      </c>
      <c r="AK1325" s="121">
        <f t="shared" si="216"/>
        <v>7</v>
      </c>
      <c r="AL1325" s="152">
        <f t="shared" si="214"/>
        <v>539.04950098770087</v>
      </c>
    </row>
    <row r="1326" spans="31:38" ht="15.75" hidden="1" thickBot="1">
      <c r="AE1326" s="798"/>
      <c r="AF1326" s="777"/>
      <c r="AH1326" s="101">
        <f t="shared" si="215"/>
        <v>1000000</v>
      </c>
      <c r="AI1326" s="101">
        <f t="shared" si="211"/>
        <v>1000000</v>
      </c>
      <c r="AJ1326" s="155">
        <v>2</v>
      </c>
      <c r="AK1326" s="121">
        <f t="shared" si="216"/>
        <v>8</v>
      </c>
      <c r="AL1326" s="152">
        <f t="shared" si="214"/>
        <v>537.58940615597658</v>
      </c>
    </row>
    <row r="1327" spans="31:38" ht="15.75" hidden="1" thickBot="1">
      <c r="AE1327" s="798"/>
      <c r="AF1327" s="777"/>
      <c r="AH1327" s="101">
        <f t="shared" si="215"/>
        <v>1000000</v>
      </c>
      <c r="AI1327" s="101">
        <f t="shared" si="211"/>
        <v>1000000</v>
      </c>
      <c r="AJ1327" s="155">
        <v>2</v>
      </c>
      <c r="AK1327" s="121">
        <f t="shared" si="216"/>
        <v>9</v>
      </c>
      <c r="AL1327" s="152">
        <f t="shared" si="214"/>
        <v>536.12931132425228</v>
      </c>
    </row>
    <row r="1328" spans="31:38" ht="15.75" hidden="1" thickBot="1">
      <c r="AE1328" s="798"/>
      <c r="AF1328" s="777"/>
      <c r="AH1328" s="101">
        <f t="shared" si="215"/>
        <v>1000000</v>
      </c>
      <c r="AI1328" s="101">
        <f t="shared" si="211"/>
        <v>1000000</v>
      </c>
      <c r="AJ1328" s="155">
        <v>2</v>
      </c>
      <c r="AK1328" s="121">
        <f t="shared" si="216"/>
        <v>10</v>
      </c>
      <c r="AL1328" s="152">
        <f t="shared" si="214"/>
        <v>534.66921649252799</v>
      </c>
    </row>
    <row r="1329" spans="31:38" ht="15.75" hidden="1" thickBot="1">
      <c r="AE1329" s="798"/>
      <c r="AF1329" s="777"/>
      <c r="AH1329" s="101">
        <f t="shared" si="215"/>
        <v>1000000</v>
      </c>
      <c r="AI1329" s="101">
        <f t="shared" si="211"/>
        <v>1000000</v>
      </c>
      <c r="AJ1329" s="155">
        <v>2</v>
      </c>
      <c r="AK1329" s="121">
        <f t="shared" si="216"/>
        <v>11</v>
      </c>
      <c r="AL1329" s="152">
        <f t="shared" si="214"/>
        <v>533.20912166080359</v>
      </c>
    </row>
    <row r="1330" spans="31:38" ht="15.75" hidden="1" thickBot="1">
      <c r="AE1330" s="798"/>
      <c r="AF1330" s="777"/>
      <c r="AH1330" s="101">
        <f t="shared" si="215"/>
        <v>1000000</v>
      </c>
      <c r="AI1330" s="101">
        <f t="shared" si="211"/>
        <v>1000000</v>
      </c>
      <c r="AJ1330" s="155">
        <v>2</v>
      </c>
      <c r="AK1330" s="121">
        <f t="shared" si="216"/>
        <v>12</v>
      </c>
      <c r="AL1330" s="152">
        <f t="shared" si="214"/>
        <v>531.7490268290793</v>
      </c>
    </row>
    <row r="1331" spans="31:38" ht="15.75" hidden="1" thickBot="1">
      <c r="AE1331" s="798"/>
      <c r="AF1331" s="777"/>
      <c r="AH1331" s="101">
        <f t="shared" si="215"/>
        <v>1000000</v>
      </c>
      <c r="AI1331" s="101">
        <f t="shared" si="211"/>
        <v>1000000</v>
      </c>
      <c r="AJ1331" s="155">
        <v>2</v>
      </c>
      <c r="AK1331" s="121">
        <f t="shared" si="216"/>
        <v>13</v>
      </c>
      <c r="AL1331" s="152">
        <f t="shared" si="214"/>
        <v>530.28893199735501</v>
      </c>
    </row>
    <row r="1332" spans="31:38" ht="15.75" hidden="1" thickBot="1">
      <c r="AE1332" s="798"/>
      <c r="AF1332" s="777"/>
      <c r="AH1332" s="101">
        <f t="shared" si="215"/>
        <v>1000000</v>
      </c>
      <c r="AI1332" s="101">
        <f t="shared" si="211"/>
        <v>1000000</v>
      </c>
      <c r="AJ1332" s="155">
        <v>2</v>
      </c>
      <c r="AK1332" s="121">
        <f t="shared" si="216"/>
        <v>14</v>
      </c>
      <c r="AL1332" s="152">
        <f t="shared" si="214"/>
        <v>528.82883716563072</v>
      </c>
    </row>
    <row r="1333" spans="31:38" ht="15.75" hidden="1" thickBot="1">
      <c r="AE1333" s="798"/>
      <c r="AF1333" s="777"/>
      <c r="AH1333" s="101">
        <f t="shared" si="215"/>
        <v>1000000</v>
      </c>
      <c r="AI1333" s="101">
        <f t="shared" si="211"/>
        <v>1000000</v>
      </c>
      <c r="AJ1333" s="155">
        <v>2</v>
      </c>
      <c r="AK1333" s="121">
        <f t="shared" si="216"/>
        <v>15</v>
      </c>
      <c r="AL1333" s="152">
        <f t="shared" si="214"/>
        <v>527.36874233390631</v>
      </c>
    </row>
    <row r="1334" spans="31:38" ht="15.75" hidden="1" thickBot="1">
      <c r="AE1334" s="798"/>
      <c r="AF1334" s="777"/>
      <c r="AH1334" s="101">
        <f t="shared" si="215"/>
        <v>1000000</v>
      </c>
      <c r="AI1334" s="101">
        <f t="shared" si="211"/>
        <v>1000000</v>
      </c>
      <c r="AJ1334" s="155">
        <v>2</v>
      </c>
      <c r="AK1334" s="121">
        <f t="shared" si="216"/>
        <v>16</v>
      </c>
      <c r="AL1334" s="152">
        <f t="shared" si="214"/>
        <v>525.90864750218202</v>
      </c>
    </row>
    <row r="1335" spans="31:38" ht="15.75" hidden="1" thickBot="1">
      <c r="AE1335" s="798"/>
      <c r="AF1335" s="777"/>
      <c r="AH1335" s="101">
        <f t="shared" si="215"/>
        <v>1000000</v>
      </c>
      <c r="AI1335" s="101">
        <f t="shared" si="211"/>
        <v>1000000</v>
      </c>
      <c r="AJ1335" s="155">
        <v>2</v>
      </c>
      <c r="AK1335" s="121">
        <f t="shared" si="216"/>
        <v>17</v>
      </c>
      <c r="AL1335" s="152">
        <f t="shared" si="214"/>
        <v>524.44855267045773</v>
      </c>
    </row>
    <row r="1336" spans="31:38" ht="15.75" hidden="1" thickBot="1">
      <c r="AE1336" s="798"/>
      <c r="AF1336" s="777"/>
      <c r="AH1336" s="101">
        <f t="shared" si="215"/>
        <v>1000000</v>
      </c>
      <c r="AI1336" s="101">
        <f t="shared" si="211"/>
        <v>1000000</v>
      </c>
      <c r="AJ1336" s="155">
        <v>2</v>
      </c>
      <c r="AK1336" s="121">
        <f t="shared" si="216"/>
        <v>18</v>
      </c>
      <c r="AL1336" s="152">
        <f t="shared" si="214"/>
        <v>522.98845783873344</v>
      </c>
    </row>
    <row r="1337" spans="31:38" ht="15.75" hidden="1" thickBot="1">
      <c r="AE1337" s="798"/>
      <c r="AF1337" s="777"/>
      <c r="AH1337" s="101">
        <f t="shared" si="215"/>
        <v>1000000</v>
      </c>
      <c r="AI1337" s="101">
        <f t="shared" si="211"/>
        <v>1000000</v>
      </c>
      <c r="AJ1337" s="155">
        <v>2</v>
      </c>
      <c r="AK1337" s="121">
        <f t="shared" si="216"/>
        <v>19</v>
      </c>
      <c r="AL1337" s="152">
        <f t="shared" si="214"/>
        <v>521.52836300700915</v>
      </c>
    </row>
    <row r="1338" spans="31:38" ht="15.75" hidden="1" thickBot="1">
      <c r="AE1338" s="798"/>
      <c r="AF1338" s="777"/>
      <c r="AH1338" s="101">
        <f t="shared" si="215"/>
        <v>1000000</v>
      </c>
      <c r="AI1338" s="101">
        <f t="shared" si="211"/>
        <v>1000000</v>
      </c>
      <c r="AJ1338" s="155">
        <v>2</v>
      </c>
      <c r="AK1338" s="121">
        <f t="shared" si="216"/>
        <v>20</v>
      </c>
      <c r="AL1338" s="152">
        <f t="shared" si="214"/>
        <v>520.06826817528486</v>
      </c>
    </row>
    <row r="1339" spans="31:38" ht="15.75" hidden="1" thickBot="1">
      <c r="AE1339" s="798"/>
      <c r="AF1339" s="777"/>
      <c r="AH1339" s="101">
        <f t="shared" si="215"/>
        <v>1000000</v>
      </c>
      <c r="AI1339" s="101">
        <f t="shared" si="211"/>
        <v>1000000</v>
      </c>
      <c r="AJ1339" s="155">
        <v>2</v>
      </c>
      <c r="AK1339" s="121">
        <f t="shared" si="216"/>
        <v>21</v>
      </c>
      <c r="AL1339" s="152">
        <f t="shared" si="214"/>
        <v>518.60817334356057</v>
      </c>
    </row>
    <row r="1340" spans="31:38" ht="15.75" hidden="1" thickBot="1">
      <c r="AE1340" s="798"/>
      <c r="AF1340" s="777"/>
      <c r="AH1340" s="101">
        <f t="shared" si="215"/>
        <v>1000000</v>
      </c>
      <c r="AI1340" s="101">
        <f t="shared" si="211"/>
        <v>1000000</v>
      </c>
      <c r="AJ1340" s="155">
        <v>2</v>
      </c>
      <c r="AK1340" s="121">
        <f t="shared" si="216"/>
        <v>22</v>
      </c>
      <c r="AL1340" s="152">
        <f t="shared" si="214"/>
        <v>517.14807851183616</v>
      </c>
    </row>
    <row r="1341" spans="31:38" ht="15.75" hidden="1" thickBot="1">
      <c r="AE1341" s="798"/>
      <c r="AF1341" s="777"/>
      <c r="AH1341" s="101">
        <f t="shared" si="215"/>
        <v>1000000</v>
      </c>
      <c r="AI1341" s="101">
        <f t="shared" si="211"/>
        <v>1000000</v>
      </c>
      <c r="AJ1341" s="155">
        <v>2</v>
      </c>
      <c r="AK1341" s="121">
        <f t="shared" si="216"/>
        <v>23</v>
      </c>
      <c r="AL1341" s="152">
        <f t="shared" si="214"/>
        <v>515.68798368011187</v>
      </c>
    </row>
    <row r="1342" spans="31:38" ht="15.75" hidden="1" thickBot="1">
      <c r="AE1342" s="798"/>
      <c r="AF1342" s="777"/>
      <c r="AH1342" s="101">
        <f t="shared" si="215"/>
        <v>1000000</v>
      </c>
      <c r="AI1342" s="101">
        <f t="shared" si="211"/>
        <v>1000000</v>
      </c>
      <c r="AJ1342" s="155">
        <v>2</v>
      </c>
      <c r="AK1342" s="121">
        <f t="shared" si="216"/>
        <v>24</v>
      </c>
      <c r="AL1342" s="152">
        <f t="shared" si="214"/>
        <v>514.22788884838758</v>
      </c>
    </row>
    <row r="1343" spans="31:38" ht="15.75" hidden="1" thickBot="1">
      <c r="AE1343" s="798"/>
      <c r="AF1343" s="777"/>
      <c r="AH1343" s="101">
        <f t="shared" si="215"/>
        <v>1000000</v>
      </c>
      <c r="AI1343" s="101">
        <f t="shared" si="211"/>
        <v>1000000</v>
      </c>
      <c r="AJ1343" s="155">
        <v>2</v>
      </c>
      <c r="AK1343" s="121">
        <f t="shared" si="216"/>
        <v>25</v>
      </c>
      <c r="AL1343" s="152">
        <f t="shared" si="214"/>
        <v>512.76779401666317</v>
      </c>
    </row>
    <row r="1344" spans="31:38" ht="15.75" hidden="1" thickBot="1">
      <c r="AE1344" s="798"/>
      <c r="AF1344" s="777"/>
      <c r="AH1344" s="101">
        <f t="shared" si="215"/>
        <v>1000000</v>
      </c>
      <c r="AI1344" s="101">
        <f t="shared" si="211"/>
        <v>1000000</v>
      </c>
      <c r="AJ1344" s="155">
        <v>2</v>
      </c>
      <c r="AK1344" s="121">
        <f t="shared" si="216"/>
        <v>26</v>
      </c>
      <c r="AL1344" s="152">
        <f t="shared" si="214"/>
        <v>511.30769918493888</v>
      </c>
    </row>
    <row r="1345" spans="31:38" ht="15.75" hidden="1" thickBot="1">
      <c r="AE1345" s="798"/>
      <c r="AF1345" s="777"/>
      <c r="AH1345" s="101">
        <f t="shared" si="215"/>
        <v>1000000</v>
      </c>
      <c r="AI1345" s="101">
        <f t="shared" ref="AI1345:AI1408" si="217">IF(AL1345&lt;$D$85,0,AH1345)</f>
        <v>1000000</v>
      </c>
      <c r="AJ1345" s="155">
        <v>2</v>
      </c>
      <c r="AK1345" s="121">
        <f t="shared" si="216"/>
        <v>27</v>
      </c>
      <c r="AL1345" s="152">
        <f t="shared" si="214"/>
        <v>509.84760435321459</v>
      </c>
    </row>
    <row r="1346" spans="31:38" ht="15.75" hidden="1" thickBot="1">
      <c r="AE1346" s="798"/>
      <c r="AF1346" s="777"/>
      <c r="AH1346" s="101">
        <f t="shared" si="215"/>
        <v>1000000</v>
      </c>
      <c r="AI1346" s="101">
        <f t="shared" si="217"/>
        <v>1000000</v>
      </c>
      <c r="AJ1346" s="155">
        <v>2</v>
      </c>
      <c r="AK1346" s="121">
        <f t="shared" si="216"/>
        <v>28</v>
      </c>
      <c r="AL1346" s="152">
        <f t="shared" si="214"/>
        <v>508.3875095214903</v>
      </c>
    </row>
    <row r="1347" spans="31:38" ht="15.75" hidden="1" thickBot="1">
      <c r="AE1347" s="798"/>
      <c r="AF1347" s="777"/>
      <c r="AH1347" s="101">
        <f t="shared" si="215"/>
        <v>1000000</v>
      </c>
      <c r="AI1347" s="101">
        <f t="shared" si="217"/>
        <v>1000000</v>
      </c>
      <c r="AJ1347" s="155">
        <v>2</v>
      </c>
      <c r="AK1347" s="121">
        <f t="shared" si="216"/>
        <v>29</v>
      </c>
      <c r="AL1347" s="152">
        <f t="shared" si="214"/>
        <v>506.9274146897659</v>
      </c>
    </row>
    <row r="1348" spans="31:38" ht="15.75" hidden="1" thickBot="1">
      <c r="AE1348" s="798"/>
      <c r="AF1348" s="777"/>
      <c r="AH1348" s="101">
        <f t="shared" si="215"/>
        <v>1000000</v>
      </c>
      <c r="AI1348" s="101">
        <f t="shared" si="217"/>
        <v>1000000</v>
      </c>
      <c r="AJ1348" s="155">
        <v>2</v>
      </c>
      <c r="AK1348" s="121">
        <f t="shared" si="216"/>
        <v>30</v>
      </c>
      <c r="AL1348" s="152">
        <f t="shared" si="214"/>
        <v>505.46731985804155</v>
      </c>
    </row>
    <row r="1349" spans="31:38" ht="15.75" hidden="1" thickBot="1">
      <c r="AE1349" s="798"/>
      <c r="AF1349" s="777"/>
      <c r="AH1349" s="101">
        <f t="shared" si="215"/>
        <v>1000000</v>
      </c>
      <c r="AI1349" s="101">
        <f t="shared" si="217"/>
        <v>1000000</v>
      </c>
      <c r="AJ1349" s="155">
        <v>2</v>
      </c>
      <c r="AK1349" s="121">
        <f t="shared" si="216"/>
        <v>31</v>
      </c>
      <c r="AL1349" s="152">
        <f t="shared" si="214"/>
        <v>504.00722502631726</v>
      </c>
    </row>
    <row r="1350" spans="31:38" ht="15.75" hidden="1" thickBot="1">
      <c r="AE1350" s="798"/>
      <c r="AF1350" s="777"/>
      <c r="AH1350" s="101">
        <f t="shared" ref="AH1350:AH1381" si="218">AX236</f>
        <v>1000000</v>
      </c>
      <c r="AI1350" s="101">
        <f t="shared" si="217"/>
        <v>1000000</v>
      </c>
      <c r="AJ1350" s="155">
        <v>2</v>
      </c>
      <c r="AK1350" s="121">
        <f t="shared" si="216"/>
        <v>32</v>
      </c>
      <c r="AL1350" s="152">
        <f t="shared" ref="AL1350:AL1381" si="219">AA236</f>
        <v>502.54713019459297</v>
      </c>
    </row>
    <row r="1351" spans="31:38" ht="15.75" hidden="1" thickBot="1">
      <c r="AE1351" s="798"/>
      <c r="AF1351" s="777"/>
      <c r="AH1351" s="101">
        <f t="shared" si="218"/>
        <v>1000000</v>
      </c>
      <c r="AI1351" s="101">
        <f t="shared" si="217"/>
        <v>1000000</v>
      </c>
      <c r="AJ1351" s="155">
        <v>2</v>
      </c>
      <c r="AK1351" s="121">
        <f t="shared" si="216"/>
        <v>33</v>
      </c>
      <c r="AL1351" s="152">
        <f t="shared" si="219"/>
        <v>501.08703536286868</v>
      </c>
    </row>
    <row r="1352" spans="31:38" ht="15.75" hidden="1" thickBot="1">
      <c r="AE1352" s="798"/>
      <c r="AF1352" s="777"/>
      <c r="AH1352" s="101">
        <f t="shared" si="218"/>
        <v>1000000</v>
      </c>
      <c r="AI1352" s="101">
        <f t="shared" si="217"/>
        <v>1000000</v>
      </c>
      <c r="AJ1352" s="155">
        <v>2</v>
      </c>
      <c r="AK1352" s="121">
        <f t="shared" si="216"/>
        <v>34</v>
      </c>
      <c r="AL1352" s="152">
        <f t="shared" si="219"/>
        <v>499.62694053114438</v>
      </c>
    </row>
    <row r="1353" spans="31:38" ht="15.75" hidden="1" thickBot="1">
      <c r="AE1353" s="798"/>
      <c r="AF1353" s="777"/>
      <c r="AH1353" s="101">
        <f t="shared" si="218"/>
        <v>1000000</v>
      </c>
      <c r="AI1353" s="101">
        <f t="shared" si="217"/>
        <v>1000000</v>
      </c>
      <c r="AJ1353" s="155">
        <v>2</v>
      </c>
      <c r="AK1353" s="121">
        <f t="shared" si="216"/>
        <v>35</v>
      </c>
      <c r="AL1353" s="152">
        <f t="shared" si="219"/>
        <v>498.16684569942004</v>
      </c>
    </row>
    <row r="1354" spans="31:38" ht="15.75" hidden="1" thickBot="1">
      <c r="AE1354" s="798"/>
      <c r="AF1354" s="777"/>
      <c r="AH1354" s="101">
        <f t="shared" si="218"/>
        <v>1000000</v>
      </c>
      <c r="AI1354" s="101">
        <f t="shared" si="217"/>
        <v>1000000</v>
      </c>
      <c r="AJ1354" s="155">
        <v>2</v>
      </c>
      <c r="AK1354" s="121">
        <f t="shared" si="216"/>
        <v>36</v>
      </c>
      <c r="AL1354" s="152">
        <f t="shared" si="219"/>
        <v>496.70675086769575</v>
      </c>
    </row>
    <row r="1355" spans="31:38" ht="15.75" hidden="1" thickBot="1">
      <c r="AE1355" s="798"/>
      <c r="AF1355" s="777"/>
      <c r="AH1355" s="101">
        <f t="shared" si="218"/>
        <v>1000000</v>
      </c>
      <c r="AI1355" s="101">
        <f t="shared" si="217"/>
        <v>1000000</v>
      </c>
      <c r="AJ1355" s="155">
        <v>2</v>
      </c>
      <c r="AK1355" s="121">
        <f t="shared" si="216"/>
        <v>37</v>
      </c>
      <c r="AL1355" s="152">
        <f t="shared" si="219"/>
        <v>495.24665603597145</v>
      </c>
    </row>
    <row r="1356" spans="31:38" ht="15.75" hidden="1" thickBot="1">
      <c r="AE1356" s="798"/>
      <c r="AF1356" s="777"/>
      <c r="AH1356" s="101">
        <f t="shared" si="218"/>
        <v>1000000</v>
      </c>
      <c r="AI1356" s="101">
        <f t="shared" si="217"/>
        <v>1000000</v>
      </c>
      <c r="AJ1356" s="155">
        <v>2</v>
      </c>
      <c r="AK1356" s="121">
        <f t="shared" si="216"/>
        <v>38</v>
      </c>
      <c r="AL1356" s="152">
        <f t="shared" si="219"/>
        <v>493.78656120424705</v>
      </c>
    </row>
    <row r="1357" spans="31:38" ht="15.75" hidden="1" thickBot="1">
      <c r="AE1357" s="798"/>
      <c r="AF1357" s="777"/>
      <c r="AH1357" s="101">
        <f t="shared" si="218"/>
        <v>1000000</v>
      </c>
      <c r="AI1357" s="101">
        <f t="shared" si="217"/>
        <v>1000000</v>
      </c>
      <c r="AJ1357" s="155">
        <v>2</v>
      </c>
      <c r="AK1357" s="121">
        <f t="shared" si="216"/>
        <v>39</v>
      </c>
      <c r="AL1357" s="152">
        <f t="shared" si="219"/>
        <v>492.32646637252276</v>
      </c>
    </row>
    <row r="1358" spans="31:38" ht="15.75" hidden="1" thickBot="1">
      <c r="AE1358" s="798"/>
      <c r="AF1358" s="777"/>
      <c r="AH1358" s="101">
        <f t="shared" si="218"/>
        <v>1000000</v>
      </c>
      <c r="AI1358" s="101">
        <f t="shared" si="217"/>
        <v>1000000</v>
      </c>
      <c r="AJ1358" s="155">
        <v>2</v>
      </c>
      <c r="AK1358" s="121">
        <f t="shared" si="216"/>
        <v>40</v>
      </c>
      <c r="AL1358" s="152">
        <f t="shared" si="219"/>
        <v>490.86637154079847</v>
      </c>
    </row>
    <row r="1359" spans="31:38" ht="15.75" hidden="1" thickBot="1">
      <c r="AE1359" s="798"/>
      <c r="AF1359" s="777"/>
      <c r="AH1359" s="101">
        <f t="shared" si="218"/>
        <v>1000000</v>
      </c>
      <c r="AI1359" s="101">
        <f t="shared" si="217"/>
        <v>1000000</v>
      </c>
      <c r="AJ1359" s="155">
        <v>2</v>
      </c>
      <c r="AK1359" s="121">
        <f t="shared" si="216"/>
        <v>41</v>
      </c>
      <c r="AL1359" s="152">
        <f t="shared" si="219"/>
        <v>489.40627670907418</v>
      </c>
    </row>
    <row r="1360" spans="31:38" ht="15.75" hidden="1" thickBot="1">
      <c r="AE1360" s="798"/>
      <c r="AF1360" s="777"/>
      <c r="AH1360" s="101">
        <f t="shared" si="218"/>
        <v>1000000</v>
      </c>
      <c r="AI1360" s="101">
        <f t="shared" si="217"/>
        <v>1000000</v>
      </c>
      <c r="AJ1360" s="155">
        <v>2</v>
      </c>
      <c r="AK1360" s="121">
        <f t="shared" si="216"/>
        <v>42</v>
      </c>
      <c r="AL1360" s="152">
        <f t="shared" si="219"/>
        <v>487.94618187734977</v>
      </c>
    </row>
    <row r="1361" spans="31:38" ht="15.75" hidden="1" thickBot="1">
      <c r="AE1361" s="798"/>
      <c r="AF1361" s="777"/>
      <c r="AH1361" s="101">
        <f t="shared" si="218"/>
        <v>1000000</v>
      </c>
      <c r="AI1361" s="101">
        <f t="shared" si="217"/>
        <v>1000000</v>
      </c>
      <c r="AJ1361" s="155">
        <v>2</v>
      </c>
      <c r="AK1361" s="121">
        <f t="shared" si="216"/>
        <v>43</v>
      </c>
      <c r="AL1361" s="152">
        <f t="shared" si="219"/>
        <v>486.48608704562548</v>
      </c>
    </row>
    <row r="1362" spans="31:38" ht="15.75" hidden="1" thickBot="1">
      <c r="AE1362" s="798"/>
      <c r="AF1362" s="777"/>
      <c r="AH1362" s="101">
        <f t="shared" si="218"/>
        <v>1000000</v>
      </c>
      <c r="AI1362" s="101">
        <f t="shared" si="217"/>
        <v>1000000</v>
      </c>
      <c r="AJ1362" s="155">
        <v>2</v>
      </c>
      <c r="AK1362" s="121">
        <f t="shared" si="216"/>
        <v>44</v>
      </c>
      <c r="AL1362" s="152">
        <f t="shared" si="219"/>
        <v>485.02599221390119</v>
      </c>
    </row>
    <row r="1363" spans="31:38" ht="15.75" hidden="1" thickBot="1">
      <c r="AE1363" s="798"/>
      <c r="AF1363" s="777"/>
      <c r="AH1363" s="101">
        <f t="shared" si="218"/>
        <v>1000000</v>
      </c>
      <c r="AI1363" s="101">
        <f t="shared" si="217"/>
        <v>1000000</v>
      </c>
      <c r="AJ1363" s="155">
        <v>2</v>
      </c>
      <c r="AK1363" s="121">
        <f t="shared" si="216"/>
        <v>45</v>
      </c>
      <c r="AL1363" s="152">
        <f t="shared" si="219"/>
        <v>483.56589738217684</v>
      </c>
    </row>
    <row r="1364" spans="31:38" ht="15.75" hidden="1" thickBot="1">
      <c r="AE1364" s="798"/>
      <c r="AF1364" s="777"/>
      <c r="AH1364" s="101">
        <f t="shared" si="218"/>
        <v>1000000</v>
      </c>
      <c r="AI1364" s="101">
        <f t="shared" si="217"/>
        <v>1000000</v>
      </c>
      <c r="AJ1364" s="155">
        <v>2</v>
      </c>
      <c r="AK1364" s="121">
        <f t="shared" si="216"/>
        <v>46</v>
      </c>
      <c r="AL1364" s="152">
        <f t="shared" si="219"/>
        <v>482.10580255045255</v>
      </c>
    </row>
    <row r="1365" spans="31:38" ht="15.75" hidden="1" thickBot="1">
      <c r="AE1365" s="798"/>
      <c r="AF1365" s="777"/>
      <c r="AH1365" s="101">
        <f t="shared" si="218"/>
        <v>1000000</v>
      </c>
      <c r="AI1365" s="101">
        <f t="shared" si="217"/>
        <v>1000000</v>
      </c>
      <c r="AJ1365" s="155">
        <v>2</v>
      </c>
      <c r="AK1365" s="121">
        <f t="shared" si="216"/>
        <v>47</v>
      </c>
      <c r="AL1365" s="152">
        <f t="shared" si="219"/>
        <v>480.64570771872826</v>
      </c>
    </row>
    <row r="1366" spans="31:38" ht="15.75" hidden="1" thickBot="1">
      <c r="AE1366" s="798"/>
      <c r="AF1366" s="777"/>
      <c r="AH1366" s="101">
        <f t="shared" si="218"/>
        <v>1000000</v>
      </c>
      <c r="AI1366" s="101">
        <f t="shared" si="217"/>
        <v>1000000</v>
      </c>
      <c r="AJ1366" s="155">
        <v>2</v>
      </c>
      <c r="AK1366" s="121">
        <f t="shared" si="216"/>
        <v>48</v>
      </c>
      <c r="AL1366" s="152">
        <f t="shared" si="219"/>
        <v>479.18561288700397</v>
      </c>
    </row>
    <row r="1367" spans="31:38" ht="15.75" hidden="1" thickBot="1">
      <c r="AE1367" s="798"/>
      <c r="AF1367" s="777"/>
      <c r="AH1367" s="101">
        <f t="shared" si="218"/>
        <v>1000000</v>
      </c>
      <c r="AI1367" s="101">
        <f t="shared" si="217"/>
        <v>1000000</v>
      </c>
      <c r="AJ1367" s="155">
        <v>2</v>
      </c>
      <c r="AK1367" s="121">
        <f t="shared" si="216"/>
        <v>49</v>
      </c>
      <c r="AL1367" s="152">
        <f t="shared" si="219"/>
        <v>477.72551805527968</v>
      </c>
    </row>
    <row r="1368" spans="31:38" ht="15.75" hidden="1" thickBot="1">
      <c r="AE1368" s="798"/>
      <c r="AF1368" s="777"/>
      <c r="AH1368" s="101">
        <f t="shared" si="218"/>
        <v>1000000</v>
      </c>
      <c r="AI1368" s="101">
        <f t="shared" si="217"/>
        <v>1000000</v>
      </c>
      <c r="AJ1368" s="155">
        <v>2</v>
      </c>
      <c r="AK1368" s="121">
        <f t="shared" si="216"/>
        <v>50</v>
      </c>
      <c r="AL1368" s="152">
        <f t="shared" si="219"/>
        <v>476.26542322355533</v>
      </c>
    </row>
    <row r="1369" spans="31:38" ht="15.75" hidden="1" thickBot="1">
      <c r="AE1369" s="798"/>
      <c r="AF1369" s="777"/>
      <c r="AH1369" s="101">
        <f t="shared" si="218"/>
        <v>1000000</v>
      </c>
      <c r="AI1369" s="101">
        <f t="shared" si="217"/>
        <v>1000000</v>
      </c>
      <c r="AJ1369" s="155">
        <v>2</v>
      </c>
      <c r="AK1369" s="121">
        <f t="shared" si="216"/>
        <v>51</v>
      </c>
      <c r="AL1369" s="152">
        <f t="shared" si="219"/>
        <v>474.80532839183093</v>
      </c>
    </row>
    <row r="1370" spans="31:38" ht="15.75" hidden="1" thickBot="1">
      <c r="AE1370" s="798"/>
      <c r="AF1370" s="777"/>
      <c r="AH1370" s="101">
        <f t="shared" si="218"/>
        <v>1000000</v>
      </c>
      <c r="AI1370" s="101">
        <f t="shared" si="217"/>
        <v>1000000</v>
      </c>
      <c r="AJ1370" s="155">
        <v>2</v>
      </c>
      <c r="AK1370" s="121">
        <f t="shared" si="216"/>
        <v>52</v>
      </c>
      <c r="AL1370" s="152">
        <f t="shared" si="219"/>
        <v>473.34523356010664</v>
      </c>
    </row>
    <row r="1371" spans="31:38" ht="15.75" hidden="1" thickBot="1">
      <c r="AE1371" s="798"/>
      <c r="AF1371" s="777"/>
      <c r="AH1371" s="101">
        <f t="shared" si="218"/>
        <v>1000000</v>
      </c>
      <c r="AI1371" s="101">
        <f t="shared" si="217"/>
        <v>1000000</v>
      </c>
      <c r="AJ1371" s="155">
        <v>2</v>
      </c>
      <c r="AK1371" s="121">
        <f t="shared" si="216"/>
        <v>53</v>
      </c>
      <c r="AL1371" s="152">
        <f t="shared" si="219"/>
        <v>471.88513872838234</v>
      </c>
    </row>
    <row r="1372" spans="31:38" ht="15.75" hidden="1" thickBot="1">
      <c r="AE1372" s="798"/>
      <c r="AF1372" s="777"/>
      <c r="AH1372" s="101">
        <f t="shared" si="218"/>
        <v>1000000</v>
      </c>
      <c r="AI1372" s="101">
        <f t="shared" si="217"/>
        <v>1000000</v>
      </c>
      <c r="AJ1372" s="155">
        <v>2</v>
      </c>
      <c r="AK1372" s="121">
        <f t="shared" si="216"/>
        <v>54</v>
      </c>
      <c r="AL1372" s="152">
        <f t="shared" si="219"/>
        <v>470.42504389665805</v>
      </c>
    </row>
    <row r="1373" spans="31:38" ht="15.75" hidden="1" thickBot="1">
      <c r="AE1373" s="798"/>
      <c r="AF1373" s="777"/>
      <c r="AH1373" s="101">
        <f t="shared" si="218"/>
        <v>1000000</v>
      </c>
      <c r="AI1373" s="101">
        <f t="shared" si="217"/>
        <v>1000000</v>
      </c>
      <c r="AJ1373" s="155">
        <v>2</v>
      </c>
      <c r="AK1373" s="121">
        <f t="shared" si="216"/>
        <v>55</v>
      </c>
      <c r="AL1373" s="152">
        <f t="shared" si="219"/>
        <v>468.96494906493365</v>
      </c>
    </row>
    <row r="1374" spans="31:38" ht="15.75" hidden="1" thickBot="1">
      <c r="AE1374" s="798"/>
      <c r="AF1374" s="777"/>
      <c r="AH1374" s="101">
        <f t="shared" si="218"/>
        <v>1000000</v>
      </c>
      <c r="AI1374" s="101">
        <f t="shared" si="217"/>
        <v>1000000</v>
      </c>
      <c r="AJ1374" s="155">
        <v>2</v>
      </c>
      <c r="AK1374" s="121">
        <f t="shared" si="216"/>
        <v>56</v>
      </c>
      <c r="AL1374" s="152">
        <f t="shared" si="219"/>
        <v>467.50485423320936</v>
      </c>
    </row>
    <row r="1375" spans="31:38" ht="15.75" hidden="1" thickBot="1">
      <c r="AE1375" s="798"/>
      <c r="AF1375" s="777"/>
      <c r="AH1375" s="101">
        <f t="shared" si="218"/>
        <v>1000000</v>
      </c>
      <c r="AI1375" s="101">
        <f t="shared" si="217"/>
        <v>1000000</v>
      </c>
      <c r="AJ1375" s="155">
        <v>2</v>
      </c>
      <c r="AK1375" s="121">
        <f t="shared" si="216"/>
        <v>57</v>
      </c>
      <c r="AL1375" s="152">
        <f t="shared" si="219"/>
        <v>466.04475940148507</v>
      </c>
    </row>
    <row r="1376" spans="31:38" ht="15.75" hidden="1" thickBot="1">
      <c r="AE1376" s="798"/>
      <c r="AF1376" s="777"/>
      <c r="AH1376" s="101">
        <f t="shared" si="218"/>
        <v>1000000</v>
      </c>
      <c r="AI1376" s="101">
        <f t="shared" si="217"/>
        <v>1000000</v>
      </c>
      <c r="AJ1376" s="155">
        <v>2</v>
      </c>
      <c r="AK1376" s="121">
        <f t="shared" si="216"/>
        <v>58</v>
      </c>
      <c r="AL1376" s="152">
        <f t="shared" si="219"/>
        <v>464.58466456976072</v>
      </c>
    </row>
    <row r="1377" spans="31:38" ht="15.75" hidden="1" thickBot="1">
      <c r="AE1377" s="798"/>
      <c r="AF1377" s="777"/>
      <c r="AH1377" s="101">
        <f t="shared" si="218"/>
        <v>1000000</v>
      </c>
      <c r="AI1377" s="101">
        <f t="shared" si="217"/>
        <v>1000000</v>
      </c>
      <c r="AJ1377" s="155">
        <v>2</v>
      </c>
      <c r="AK1377" s="121">
        <f t="shared" si="216"/>
        <v>59</v>
      </c>
      <c r="AL1377" s="152">
        <f t="shared" si="219"/>
        <v>463.12456973803643</v>
      </c>
    </row>
    <row r="1378" spans="31:38" ht="15.75" hidden="1" thickBot="1">
      <c r="AE1378" s="798"/>
      <c r="AF1378" s="777"/>
      <c r="AH1378" s="101">
        <f t="shared" si="218"/>
        <v>1000000</v>
      </c>
      <c r="AI1378" s="101">
        <f t="shared" si="217"/>
        <v>1000000</v>
      </c>
      <c r="AJ1378" s="155">
        <v>2</v>
      </c>
      <c r="AK1378" s="121">
        <f t="shared" si="216"/>
        <v>60</v>
      </c>
      <c r="AL1378" s="152">
        <f t="shared" si="219"/>
        <v>461.66447490631214</v>
      </c>
    </row>
    <row r="1379" spans="31:38" ht="15.75" hidden="1" thickBot="1">
      <c r="AE1379" s="798"/>
      <c r="AF1379" s="777"/>
      <c r="AH1379" s="101">
        <f t="shared" si="218"/>
        <v>1000000</v>
      </c>
      <c r="AI1379" s="101">
        <f t="shared" si="217"/>
        <v>1000000</v>
      </c>
      <c r="AJ1379" s="155">
        <v>2</v>
      </c>
      <c r="AK1379" s="121">
        <f t="shared" si="216"/>
        <v>61</v>
      </c>
      <c r="AL1379" s="152">
        <f t="shared" si="219"/>
        <v>460.20438007458785</v>
      </c>
    </row>
    <row r="1380" spans="31:38" ht="15.75" hidden="1" thickBot="1">
      <c r="AE1380" s="798"/>
      <c r="AF1380" s="777"/>
      <c r="AH1380" s="101">
        <f t="shared" si="218"/>
        <v>1000000</v>
      </c>
      <c r="AI1380" s="101">
        <f t="shared" si="217"/>
        <v>1000000</v>
      </c>
      <c r="AJ1380" s="155">
        <v>2</v>
      </c>
      <c r="AK1380" s="121">
        <f t="shared" si="216"/>
        <v>62</v>
      </c>
      <c r="AL1380" s="152">
        <f t="shared" si="219"/>
        <v>458.74428524286355</v>
      </c>
    </row>
    <row r="1381" spans="31:38" ht="15.75" hidden="1" thickBot="1">
      <c r="AE1381" s="798"/>
      <c r="AF1381" s="777"/>
      <c r="AH1381" s="101">
        <f t="shared" si="218"/>
        <v>1000000</v>
      </c>
      <c r="AI1381" s="101">
        <f t="shared" si="217"/>
        <v>1000000</v>
      </c>
      <c r="AJ1381" s="155">
        <v>2</v>
      </c>
      <c r="AK1381" s="121">
        <f t="shared" si="216"/>
        <v>63</v>
      </c>
      <c r="AL1381" s="152">
        <f t="shared" si="219"/>
        <v>457.28419041113921</v>
      </c>
    </row>
    <row r="1382" spans="31:38" ht="15.75" hidden="1" thickBot="1">
      <c r="AE1382" s="798"/>
      <c r="AF1382" s="777"/>
      <c r="AH1382" s="101">
        <f t="shared" ref="AH1382:AH1413" si="220">AX268</f>
        <v>1000000</v>
      </c>
      <c r="AI1382" s="101">
        <f t="shared" si="217"/>
        <v>1000000</v>
      </c>
      <c r="AJ1382" s="155">
        <v>2</v>
      </c>
      <c r="AK1382" s="121">
        <f t="shared" si="216"/>
        <v>64</v>
      </c>
      <c r="AL1382" s="152">
        <f t="shared" ref="AL1382:AL1413" si="221">AA268</f>
        <v>455.82409557941492</v>
      </c>
    </row>
    <row r="1383" spans="31:38" ht="15.75" hidden="1" thickBot="1">
      <c r="AE1383" s="798"/>
      <c r="AF1383" s="777"/>
      <c r="AH1383" s="101">
        <f t="shared" si="220"/>
        <v>1000000</v>
      </c>
      <c r="AI1383" s="101">
        <f t="shared" si="217"/>
        <v>1000000</v>
      </c>
      <c r="AJ1383" s="155">
        <v>2</v>
      </c>
      <c r="AK1383" s="121">
        <f t="shared" ref="AK1383:AK1418" si="222">AK1382+1</f>
        <v>65</v>
      </c>
      <c r="AL1383" s="152">
        <f t="shared" si="221"/>
        <v>454.36400074769051</v>
      </c>
    </row>
    <row r="1384" spans="31:38" ht="15.75" hidden="1" thickBot="1">
      <c r="AE1384" s="798"/>
      <c r="AF1384" s="777"/>
      <c r="AH1384" s="101">
        <f t="shared" si="220"/>
        <v>1000000</v>
      </c>
      <c r="AI1384" s="101">
        <f t="shared" si="217"/>
        <v>1000000</v>
      </c>
      <c r="AJ1384" s="155">
        <v>2</v>
      </c>
      <c r="AK1384" s="121">
        <f t="shared" si="222"/>
        <v>66</v>
      </c>
      <c r="AL1384" s="152">
        <f t="shared" si="221"/>
        <v>452.90390591596622</v>
      </c>
    </row>
    <row r="1385" spans="31:38" ht="15.75" hidden="1" thickBot="1">
      <c r="AE1385" s="798"/>
      <c r="AF1385" s="777"/>
      <c r="AH1385" s="101">
        <f t="shared" si="220"/>
        <v>1000000</v>
      </c>
      <c r="AI1385" s="101">
        <f t="shared" si="217"/>
        <v>1000000</v>
      </c>
      <c r="AJ1385" s="155">
        <v>2</v>
      </c>
      <c r="AK1385" s="121">
        <f t="shared" si="222"/>
        <v>67</v>
      </c>
      <c r="AL1385" s="152">
        <f t="shared" si="221"/>
        <v>451.44381108424193</v>
      </c>
    </row>
    <row r="1386" spans="31:38" ht="15.75" hidden="1" thickBot="1">
      <c r="AE1386" s="798"/>
      <c r="AF1386" s="777"/>
      <c r="AH1386" s="101">
        <f t="shared" si="220"/>
        <v>1000000</v>
      </c>
      <c r="AI1386" s="101">
        <f t="shared" si="217"/>
        <v>1000000</v>
      </c>
      <c r="AJ1386" s="155">
        <v>2</v>
      </c>
      <c r="AK1386" s="121">
        <f t="shared" si="222"/>
        <v>68</v>
      </c>
      <c r="AL1386" s="152">
        <f t="shared" si="221"/>
        <v>449.98371625251752</v>
      </c>
    </row>
    <row r="1387" spans="31:38" ht="15.75" hidden="1" thickBot="1">
      <c r="AE1387" s="798"/>
      <c r="AF1387" s="777"/>
      <c r="AH1387" s="101">
        <f t="shared" si="220"/>
        <v>1000000</v>
      </c>
      <c r="AI1387" s="101">
        <f t="shared" si="217"/>
        <v>1000000</v>
      </c>
      <c r="AJ1387" s="155">
        <v>2</v>
      </c>
      <c r="AK1387" s="121">
        <f t="shared" si="222"/>
        <v>69</v>
      </c>
      <c r="AL1387" s="152">
        <f t="shared" si="221"/>
        <v>448.52362142079323</v>
      </c>
    </row>
    <row r="1388" spans="31:38" ht="15.75" hidden="1" thickBot="1">
      <c r="AE1388" s="798"/>
      <c r="AF1388" s="777"/>
      <c r="AH1388" s="101">
        <f t="shared" si="220"/>
        <v>1000000</v>
      </c>
      <c r="AI1388" s="101">
        <f t="shared" si="217"/>
        <v>1000000</v>
      </c>
      <c r="AJ1388" s="155">
        <v>2</v>
      </c>
      <c r="AK1388" s="121">
        <f t="shared" si="222"/>
        <v>70</v>
      </c>
      <c r="AL1388" s="152">
        <f t="shared" si="221"/>
        <v>447.06352658906894</v>
      </c>
    </row>
    <row r="1389" spans="31:38" ht="15.75" hidden="1" thickBot="1">
      <c r="AE1389" s="798"/>
      <c r="AF1389" s="777"/>
      <c r="AH1389" s="101">
        <f t="shared" si="220"/>
        <v>1000000</v>
      </c>
      <c r="AI1389" s="101">
        <f t="shared" si="217"/>
        <v>1000000</v>
      </c>
      <c r="AJ1389" s="155">
        <v>2</v>
      </c>
      <c r="AK1389" s="121">
        <f t="shared" si="222"/>
        <v>71</v>
      </c>
      <c r="AL1389" s="152">
        <f t="shared" si="221"/>
        <v>445.60343175734465</v>
      </c>
    </row>
    <row r="1390" spans="31:38" ht="15.75" hidden="1" thickBot="1">
      <c r="AE1390" s="798"/>
      <c r="AF1390" s="777"/>
      <c r="AH1390" s="101">
        <f t="shared" si="220"/>
        <v>1000000</v>
      </c>
      <c r="AI1390" s="101">
        <f t="shared" si="217"/>
        <v>1000000</v>
      </c>
      <c r="AJ1390" s="155">
        <v>2</v>
      </c>
      <c r="AK1390" s="121">
        <f t="shared" si="222"/>
        <v>72</v>
      </c>
      <c r="AL1390" s="152">
        <f t="shared" si="221"/>
        <v>444.1433369256203</v>
      </c>
    </row>
    <row r="1391" spans="31:38" ht="15.75" hidden="1" thickBot="1">
      <c r="AE1391" s="798"/>
      <c r="AF1391" s="777"/>
      <c r="AH1391" s="101">
        <f t="shared" si="220"/>
        <v>1000000</v>
      </c>
      <c r="AI1391" s="101">
        <f t="shared" si="217"/>
        <v>1000000</v>
      </c>
      <c r="AJ1391" s="155">
        <v>2</v>
      </c>
      <c r="AK1391" s="121">
        <f t="shared" si="222"/>
        <v>73</v>
      </c>
      <c r="AL1391" s="152">
        <f t="shared" si="221"/>
        <v>442.68324209389601</v>
      </c>
    </row>
    <row r="1392" spans="31:38" ht="15.75" hidden="1" thickBot="1">
      <c r="AE1392" s="798"/>
      <c r="AF1392" s="777"/>
      <c r="AH1392" s="101">
        <f t="shared" si="220"/>
        <v>1000000</v>
      </c>
      <c r="AI1392" s="101">
        <f t="shared" si="217"/>
        <v>1000000</v>
      </c>
      <c r="AJ1392" s="155">
        <v>2</v>
      </c>
      <c r="AK1392" s="121">
        <f t="shared" si="222"/>
        <v>74</v>
      </c>
      <c r="AL1392" s="152">
        <f t="shared" si="221"/>
        <v>441.22314726217172</v>
      </c>
    </row>
    <row r="1393" spans="31:38" ht="15.75" hidden="1" thickBot="1">
      <c r="AE1393" s="798"/>
      <c r="AF1393" s="777"/>
      <c r="AH1393" s="101">
        <f t="shared" si="220"/>
        <v>1000000</v>
      </c>
      <c r="AI1393" s="101">
        <f t="shared" si="217"/>
        <v>1000000</v>
      </c>
      <c r="AJ1393" s="155">
        <v>2</v>
      </c>
      <c r="AK1393" s="121">
        <f t="shared" si="222"/>
        <v>75</v>
      </c>
      <c r="AL1393" s="152">
        <f t="shared" si="221"/>
        <v>439.76305243044743</v>
      </c>
    </row>
    <row r="1394" spans="31:38" ht="15.75" hidden="1" thickBot="1">
      <c r="AE1394" s="798"/>
      <c r="AF1394" s="777"/>
      <c r="AH1394" s="101">
        <f t="shared" si="220"/>
        <v>1000000</v>
      </c>
      <c r="AI1394" s="101">
        <f t="shared" si="217"/>
        <v>1000000</v>
      </c>
      <c r="AJ1394" s="155">
        <v>2</v>
      </c>
      <c r="AK1394" s="121">
        <f t="shared" si="222"/>
        <v>76</v>
      </c>
      <c r="AL1394" s="152">
        <f t="shared" si="221"/>
        <v>438.30295759872308</v>
      </c>
    </row>
    <row r="1395" spans="31:38" ht="15.75" hidden="1" thickBot="1">
      <c r="AE1395" s="798"/>
      <c r="AF1395" s="777"/>
      <c r="AH1395" s="101">
        <f t="shared" si="220"/>
        <v>1000000</v>
      </c>
      <c r="AI1395" s="101">
        <f t="shared" si="217"/>
        <v>1000000</v>
      </c>
      <c r="AJ1395" s="155">
        <v>2</v>
      </c>
      <c r="AK1395" s="121">
        <f t="shared" si="222"/>
        <v>77</v>
      </c>
      <c r="AL1395" s="152">
        <f t="shared" si="221"/>
        <v>436.84286276699879</v>
      </c>
    </row>
    <row r="1396" spans="31:38" ht="15.75" hidden="1" thickBot="1">
      <c r="AE1396" s="798"/>
      <c r="AF1396" s="777"/>
      <c r="AH1396" s="101">
        <f t="shared" si="220"/>
        <v>1000000</v>
      </c>
      <c r="AI1396" s="101">
        <f t="shared" si="217"/>
        <v>1000000</v>
      </c>
      <c r="AJ1396" s="155">
        <v>2</v>
      </c>
      <c r="AK1396" s="121">
        <f t="shared" si="222"/>
        <v>78</v>
      </c>
      <c r="AL1396" s="152">
        <f t="shared" si="221"/>
        <v>435.3827679352745</v>
      </c>
    </row>
    <row r="1397" spans="31:38" ht="15.75" hidden="1" thickBot="1">
      <c r="AE1397" s="798"/>
      <c r="AF1397" s="777"/>
      <c r="AH1397" s="101">
        <f t="shared" si="220"/>
        <v>1000000</v>
      </c>
      <c r="AI1397" s="101">
        <f t="shared" si="217"/>
        <v>1000000</v>
      </c>
      <c r="AJ1397" s="155">
        <v>2</v>
      </c>
      <c r="AK1397" s="121">
        <f t="shared" si="222"/>
        <v>79</v>
      </c>
      <c r="AL1397" s="152">
        <f t="shared" si="221"/>
        <v>433.9226731035501</v>
      </c>
    </row>
    <row r="1398" spans="31:38" ht="15.75" hidden="1" thickBot="1">
      <c r="AE1398" s="798"/>
      <c r="AF1398" s="777"/>
      <c r="AH1398" s="101">
        <f t="shared" si="220"/>
        <v>1000000</v>
      </c>
      <c r="AI1398" s="101">
        <f t="shared" si="217"/>
        <v>1000000</v>
      </c>
      <c r="AJ1398" s="155">
        <v>2</v>
      </c>
      <c r="AK1398" s="121">
        <f t="shared" si="222"/>
        <v>80</v>
      </c>
      <c r="AL1398" s="152">
        <f t="shared" si="221"/>
        <v>432.46257827182581</v>
      </c>
    </row>
    <row r="1399" spans="31:38" ht="15.75" hidden="1" thickBot="1">
      <c r="AE1399" s="798"/>
      <c r="AF1399" s="777"/>
      <c r="AH1399" s="101">
        <f t="shared" si="220"/>
        <v>1000000</v>
      </c>
      <c r="AI1399" s="101">
        <f t="shared" si="217"/>
        <v>1000000</v>
      </c>
      <c r="AJ1399" s="155">
        <v>2</v>
      </c>
      <c r="AK1399" s="121">
        <f t="shared" si="222"/>
        <v>81</v>
      </c>
      <c r="AL1399" s="152">
        <f t="shared" si="221"/>
        <v>431.00248344010151</v>
      </c>
    </row>
    <row r="1400" spans="31:38" ht="15.75" hidden="1" thickBot="1">
      <c r="AE1400" s="798"/>
      <c r="AF1400" s="777"/>
      <c r="AH1400" s="101">
        <f t="shared" si="220"/>
        <v>1000000</v>
      </c>
      <c r="AI1400" s="101">
        <f t="shared" si="217"/>
        <v>1000000</v>
      </c>
      <c r="AJ1400" s="155">
        <v>2</v>
      </c>
      <c r="AK1400" s="121">
        <f t="shared" si="222"/>
        <v>82</v>
      </c>
      <c r="AL1400" s="152">
        <f t="shared" si="221"/>
        <v>429.54238860837711</v>
      </c>
    </row>
    <row r="1401" spans="31:38" ht="15.75" hidden="1" thickBot="1">
      <c r="AE1401" s="798"/>
      <c r="AF1401" s="777"/>
      <c r="AH1401" s="101">
        <f t="shared" si="220"/>
        <v>1000000</v>
      </c>
      <c r="AI1401" s="101">
        <f t="shared" si="217"/>
        <v>1000000</v>
      </c>
      <c r="AJ1401" s="155">
        <v>2</v>
      </c>
      <c r="AK1401" s="121">
        <f t="shared" si="222"/>
        <v>83</v>
      </c>
      <c r="AL1401" s="152">
        <f t="shared" si="221"/>
        <v>428.08229377665282</v>
      </c>
    </row>
    <row r="1402" spans="31:38" ht="15.75" hidden="1" thickBot="1">
      <c r="AE1402" s="798"/>
      <c r="AF1402" s="777"/>
      <c r="AH1402" s="101">
        <f t="shared" si="220"/>
        <v>1000000</v>
      </c>
      <c r="AI1402" s="101">
        <f t="shared" si="217"/>
        <v>1000000</v>
      </c>
      <c r="AJ1402" s="155">
        <v>2</v>
      </c>
      <c r="AK1402" s="121">
        <f t="shared" si="222"/>
        <v>84</v>
      </c>
      <c r="AL1402" s="152">
        <f t="shared" si="221"/>
        <v>426.62219894492853</v>
      </c>
    </row>
    <row r="1403" spans="31:38" ht="15.75" hidden="1" thickBot="1">
      <c r="AE1403" s="798"/>
      <c r="AF1403" s="777"/>
      <c r="AH1403" s="101">
        <f t="shared" si="220"/>
        <v>1000000</v>
      </c>
      <c r="AI1403" s="101">
        <f t="shared" si="217"/>
        <v>1000000</v>
      </c>
      <c r="AJ1403" s="155">
        <v>2</v>
      </c>
      <c r="AK1403" s="121">
        <f t="shared" si="222"/>
        <v>85</v>
      </c>
      <c r="AL1403" s="152">
        <f t="shared" si="221"/>
        <v>425.16210411320418</v>
      </c>
    </row>
    <row r="1404" spans="31:38" ht="15.75" hidden="1" thickBot="1">
      <c r="AE1404" s="798"/>
      <c r="AF1404" s="777"/>
      <c r="AH1404" s="101">
        <f t="shared" si="220"/>
        <v>1000000</v>
      </c>
      <c r="AI1404" s="101">
        <f t="shared" si="217"/>
        <v>1000000</v>
      </c>
      <c r="AJ1404" s="155">
        <v>2</v>
      </c>
      <c r="AK1404" s="121">
        <f t="shared" si="222"/>
        <v>86</v>
      </c>
      <c r="AL1404" s="152">
        <f t="shared" si="221"/>
        <v>423.70200928147989</v>
      </c>
    </row>
    <row r="1405" spans="31:38" ht="15.75" hidden="1" thickBot="1">
      <c r="AE1405" s="798"/>
      <c r="AF1405" s="777"/>
      <c r="AH1405" s="101">
        <f t="shared" si="220"/>
        <v>1000000</v>
      </c>
      <c r="AI1405" s="101">
        <f t="shared" si="217"/>
        <v>1000000</v>
      </c>
      <c r="AJ1405" s="155">
        <v>2</v>
      </c>
      <c r="AK1405" s="121">
        <f t="shared" si="222"/>
        <v>87</v>
      </c>
      <c r="AL1405" s="152">
        <f t="shared" si="221"/>
        <v>422.2419144497556</v>
      </c>
    </row>
    <row r="1406" spans="31:38" ht="15.75" hidden="1" thickBot="1">
      <c r="AE1406" s="798"/>
      <c r="AF1406" s="777"/>
      <c r="AH1406" s="101">
        <f t="shared" si="220"/>
        <v>1000000</v>
      </c>
      <c r="AI1406" s="101">
        <f t="shared" si="217"/>
        <v>1000000</v>
      </c>
      <c r="AJ1406" s="155">
        <v>2</v>
      </c>
      <c r="AK1406" s="121">
        <f t="shared" si="222"/>
        <v>88</v>
      </c>
      <c r="AL1406" s="152">
        <f t="shared" si="221"/>
        <v>420.78181961803131</v>
      </c>
    </row>
    <row r="1407" spans="31:38" ht="15.75" hidden="1" thickBot="1">
      <c r="AE1407" s="798"/>
      <c r="AF1407" s="777"/>
      <c r="AH1407" s="101">
        <f t="shared" si="220"/>
        <v>1000000</v>
      </c>
      <c r="AI1407" s="101">
        <f t="shared" si="217"/>
        <v>1000000</v>
      </c>
      <c r="AJ1407" s="155">
        <v>2</v>
      </c>
      <c r="AK1407" s="121">
        <f t="shared" si="222"/>
        <v>89</v>
      </c>
      <c r="AL1407" s="152">
        <f t="shared" si="221"/>
        <v>419.32172478630702</v>
      </c>
    </row>
    <row r="1408" spans="31:38" ht="15.75" hidden="1" thickBot="1">
      <c r="AE1408" s="798"/>
      <c r="AF1408" s="777"/>
      <c r="AH1408" s="101">
        <f t="shared" si="220"/>
        <v>1000000</v>
      </c>
      <c r="AI1408" s="101">
        <f t="shared" si="217"/>
        <v>1000000</v>
      </c>
      <c r="AJ1408" s="155">
        <v>2</v>
      </c>
      <c r="AK1408" s="121">
        <f t="shared" si="222"/>
        <v>90</v>
      </c>
      <c r="AL1408" s="152">
        <f t="shared" si="221"/>
        <v>417.86162995458267</v>
      </c>
    </row>
    <row r="1409" spans="31:38" ht="15.75" hidden="1" thickBot="1">
      <c r="AE1409" s="798"/>
      <c r="AF1409" s="777"/>
      <c r="AH1409" s="101">
        <f t="shared" si="220"/>
        <v>1000000</v>
      </c>
      <c r="AI1409" s="101">
        <f t="shared" ref="AI1409:AI1472" si="223">IF(AL1409&lt;$D$85,0,AH1409)</f>
        <v>1000000</v>
      </c>
      <c r="AJ1409" s="155">
        <v>2</v>
      </c>
      <c r="AK1409" s="121">
        <f t="shared" si="222"/>
        <v>91</v>
      </c>
      <c r="AL1409" s="152">
        <f t="shared" si="221"/>
        <v>416.40153512285838</v>
      </c>
    </row>
    <row r="1410" spans="31:38" ht="15.75" hidden="1" thickBot="1">
      <c r="AE1410" s="798"/>
      <c r="AF1410" s="777"/>
      <c r="AH1410" s="101">
        <f t="shared" si="220"/>
        <v>1000000</v>
      </c>
      <c r="AI1410" s="101">
        <f t="shared" si="223"/>
        <v>1000000</v>
      </c>
      <c r="AJ1410" s="155">
        <v>2</v>
      </c>
      <c r="AK1410" s="121">
        <f t="shared" si="222"/>
        <v>92</v>
      </c>
      <c r="AL1410" s="152">
        <f t="shared" si="221"/>
        <v>414.94144029113397</v>
      </c>
    </row>
    <row r="1411" spans="31:38" ht="15.75" hidden="1" thickBot="1">
      <c r="AE1411" s="798"/>
      <c r="AF1411" s="777"/>
      <c r="AH1411" s="101">
        <f t="shared" si="220"/>
        <v>1000000</v>
      </c>
      <c r="AI1411" s="101">
        <f t="shared" si="223"/>
        <v>1000000</v>
      </c>
      <c r="AJ1411" s="155">
        <v>2</v>
      </c>
      <c r="AK1411" s="121">
        <f t="shared" si="222"/>
        <v>93</v>
      </c>
      <c r="AL1411" s="152">
        <f t="shared" si="221"/>
        <v>413.48134545940968</v>
      </c>
    </row>
    <row r="1412" spans="31:38" ht="15.75" hidden="1" thickBot="1">
      <c r="AE1412" s="798"/>
      <c r="AF1412" s="777"/>
      <c r="AH1412" s="101">
        <f t="shared" si="220"/>
        <v>1000000</v>
      </c>
      <c r="AI1412" s="101">
        <f t="shared" si="223"/>
        <v>1000000</v>
      </c>
      <c r="AJ1412" s="155">
        <v>2</v>
      </c>
      <c r="AK1412" s="121">
        <f t="shared" si="222"/>
        <v>94</v>
      </c>
      <c r="AL1412" s="152">
        <f t="shared" si="221"/>
        <v>412.02125062768539</v>
      </c>
    </row>
    <row r="1413" spans="31:38" ht="15.75" hidden="1" thickBot="1">
      <c r="AE1413" s="798"/>
      <c r="AF1413" s="777"/>
      <c r="AH1413" s="101">
        <f t="shared" si="220"/>
        <v>1000000</v>
      </c>
      <c r="AI1413" s="101">
        <f t="shared" si="223"/>
        <v>1000000</v>
      </c>
      <c r="AJ1413" s="155">
        <v>2</v>
      </c>
      <c r="AK1413" s="121">
        <f t="shared" si="222"/>
        <v>95</v>
      </c>
      <c r="AL1413" s="152">
        <f t="shared" si="221"/>
        <v>410.5611557959611</v>
      </c>
    </row>
    <row r="1414" spans="31:38" ht="15.75" hidden="1" thickBot="1">
      <c r="AE1414" s="798"/>
      <c r="AF1414" s="777"/>
      <c r="AH1414" s="101">
        <f>AX300</f>
        <v>1000000</v>
      </c>
      <c r="AI1414" s="101">
        <f t="shared" si="223"/>
        <v>1000000</v>
      </c>
      <c r="AJ1414" s="155">
        <v>2</v>
      </c>
      <c r="AK1414" s="121">
        <f t="shared" si="222"/>
        <v>96</v>
      </c>
      <c r="AL1414" s="152">
        <f>AA300</f>
        <v>409.10106096423681</v>
      </c>
    </row>
    <row r="1415" spans="31:38" ht="15.75" hidden="1" thickBot="1">
      <c r="AE1415" s="798"/>
      <c r="AF1415" s="777"/>
      <c r="AH1415" s="101">
        <f>AX301</f>
        <v>1000000</v>
      </c>
      <c r="AI1415" s="101">
        <f t="shared" si="223"/>
        <v>1000000</v>
      </c>
      <c r="AJ1415" s="155">
        <v>2</v>
      </c>
      <c r="AK1415" s="121">
        <f t="shared" si="222"/>
        <v>97</v>
      </c>
      <c r="AL1415" s="152">
        <f>AA301</f>
        <v>407.6409661325124</v>
      </c>
    </row>
    <row r="1416" spans="31:38" ht="15.75" hidden="1" thickBot="1">
      <c r="AE1416" s="798"/>
      <c r="AF1416" s="777"/>
      <c r="AH1416" s="101">
        <f>AX302</f>
        <v>1000000</v>
      </c>
      <c r="AI1416" s="101">
        <f t="shared" si="223"/>
        <v>1000000</v>
      </c>
      <c r="AJ1416" s="155">
        <v>2</v>
      </c>
      <c r="AK1416" s="121">
        <f t="shared" si="222"/>
        <v>98</v>
      </c>
      <c r="AL1416" s="152">
        <f>AA302</f>
        <v>406.18087130078806</v>
      </c>
    </row>
    <row r="1417" spans="31:38" ht="15.75" hidden="1" thickBot="1">
      <c r="AE1417" s="798"/>
      <c r="AF1417" s="777"/>
      <c r="AH1417" s="101">
        <f>AX303</f>
        <v>1000000</v>
      </c>
      <c r="AI1417" s="101">
        <f t="shared" si="223"/>
        <v>1000000</v>
      </c>
      <c r="AJ1417" s="155">
        <v>2</v>
      </c>
      <c r="AK1417" s="121">
        <f t="shared" si="222"/>
        <v>99</v>
      </c>
      <c r="AL1417" s="152">
        <f>AA303</f>
        <v>404.72077646906376</v>
      </c>
    </row>
    <row r="1418" spans="31:38" ht="15.75" hidden="1" thickBot="1">
      <c r="AE1418" s="798"/>
      <c r="AF1418" s="778"/>
      <c r="AH1418" s="101">
        <f>AX304</f>
        <v>1000000</v>
      </c>
      <c r="AI1418" s="101">
        <f t="shared" si="223"/>
        <v>1000000</v>
      </c>
      <c r="AJ1418" s="155">
        <v>2</v>
      </c>
      <c r="AK1418" s="121">
        <f t="shared" si="222"/>
        <v>100</v>
      </c>
      <c r="AL1418" s="152">
        <f>AA304</f>
        <v>403.26068163733947</v>
      </c>
    </row>
    <row r="1419" spans="31:38" ht="15.75" hidden="1" thickBot="1">
      <c r="AE1419" s="798"/>
      <c r="AF1419" s="776" t="s">
        <v>286</v>
      </c>
      <c r="AH1419" s="101">
        <f>BE204</f>
        <v>206.65077097997724</v>
      </c>
      <c r="AI1419" s="101">
        <f t="shared" si="223"/>
        <v>206.65077097997724</v>
      </c>
      <c r="AJ1419" s="155">
        <v>3</v>
      </c>
      <c r="AK1419" s="121">
        <v>0</v>
      </c>
      <c r="AL1419" s="152">
        <f t="shared" ref="AL1419:AL1450" si="224">AB204</f>
        <v>732.36021974636151</v>
      </c>
    </row>
    <row r="1420" spans="31:38" ht="15.75" hidden="1" thickBot="1">
      <c r="AE1420" s="798"/>
      <c r="AF1420" s="777"/>
      <c r="AH1420" s="101">
        <f t="shared" ref="AH1420:AH1450" si="225">BE205</f>
        <v>1000000</v>
      </c>
      <c r="AI1420" s="101">
        <f t="shared" si="223"/>
        <v>1000000</v>
      </c>
      <c r="AJ1420" s="155">
        <v>3</v>
      </c>
      <c r="AK1420" s="121">
        <f t="shared" ref="AK1420:AK1483" si="226">AK1419+1</f>
        <v>1</v>
      </c>
      <c r="AL1420" s="152">
        <f t="shared" si="224"/>
        <v>730.41342663739567</v>
      </c>
    </row>
    <row r="1421" spans="31:38" ht="15.75" hidden="1" thickBot="1">
      <c r="AE1421" s="798"/>
      <c r="AF1421" s="777"/>
      <c r="AH1421" s="101">
        <f t="shared" si="225"/>
        <v>1000000</v>
      </c>
      <c r="AI1421" s="101">
        <f t="shared" si="223"/>
        <v>1000000</v>
      </c>
      <c r="AJ1421" s="155">
        <v>3</v>
      </c>
      <c r="AK1421" s="121">
        <f t="shared" si="226"/>
        <v>2</v>
      </c>
      <c r="AL1421" s="152">
        <f t="shared" si="224"/>
        <v>728.46663352842995</v>
      </c>
    </row>
    <row r="1422" spans="31:38" ht="15.75" hidden="1" thickBot="1">
      <c r="AE1422" s="798"/>
      <c r="AF1422" s="777"/>
      <c r="AH1422" s="101">
        <f t="shared" si="225"/>
        <v>1000000</v>
      </c>
      <c r="AI1422" s="101">
        <f t="shared" si="223"/>
        <v>1000000</v>
      </c>
      <c r="AJ1422" s="155">
        <v>3</v>
      </c>
      <c r="AK1422" s="121">
        <f t="shared" si="226"/>
        <v>3</v>
      </c>
      <c r="AL1422" s="152">
        <f t="shared" si="224"/>
        <v>726.51984041946423</v>
      </c>
    </row>
    <row r="1423" spans="31:38" ht="15.75" hidden="1" thickBot="1">
      <c r="AE1423" s="798"/>
      <c r="AF1423" s="777"/>
      <c r="AH1423" s="101">
        <f t="shared" si="225"/>
        <v>1000000</v>
      </c>
      <c r="AI1423" s="101">
        <f t="shared" si="223"/>
        <v>1000000</v>
      </c>
      <c r="AJ1423" s="155">
        <v>3</v>
      </c>
      <c r="AK1423" s="121">
        <f t="shared" si="226"/>
        <v>4</v>
      </c>
      <c r="AL1423" s="152">
        <f t="shared" si="224"/>
        <v>724.5730473104984</v>
      </c>
    </row>
    <row r="1424" spans="31:38" ht="15.75" hidden="1" thickBot="1">
      <c r="AE1424" s="798"/>
      <c r="AF1424" s="777"/>
      <c r="AH1424" s="101">
        <f t="shared" si="225"/>
        <v>1000000</v>
      </c>
      <c r="AI1424" s="101">
        <f t="shared" si="223"/>
        <v>1000000</v>
      </c>
      <c r="AJ1424" s="155">
        <v>3</v>
      </c>
      <c r="AK1424" s="121">
        <f t="shared" si="226"/>
        <v>5</v>
      </c>
      <c r="AL1424" s="152">
        <f t="shared" si="224"/>
        <v>722.62625420153267</v>
      </c>
    </row>
    <row r="1425" spans="31:38" ht="15.75" hidden="1" thickBot="1">
      <c r="AE1425" s="798"/>
      <c r="AF1425" s="777"/>
      <c r="AH1425" s="101">
        <f t="shared" si="225"/>
        <v>1000000</v>
      </c>
      <c r="AI1425" s="101">
        <f t="shared" si="223"/>
        <v>1000000</v>
      </c>
      <c r="AJ1425" s="155">
        <v>3</v>
      </c>
      <c r="AK1425" s="121">
        <f t="shared" si="226"/>
        <v>6</v>
      </c>
      <c r="AL1425" s="152">
        <f t="shared" si="224"/>
        <v>720.67946109256695</v>
      </c>
    </row>
    <row r="1426" spans="31:38" ht="15.75" hidden="1" thickBot="1">
      <c r="AE1426" s="798"/>
      <c r="AF1426" s="777"/>
      <c r="AH1426" s="101">
        <f t="shared" si="225"/>
        <v>1000000</v>
      </c>
      <c r="AI1426" s="101">
        <f t="shared" si="223"/>
        <v>1000000</v>
      </c>
      <c r="AJ1426" s="155">
        <v>3</v>
      </c>
      <c r="AK1426" s="121">
        <f t="shared" si="226"/>
        <v>7</v>
      </c>
      <c r="AL1426" s="152">
        <f t="shared" si="224"/>
        <v>718.73266798360123</v>
      </c>
    </row>
    <row r="1427" spans="31:38" ht="15.75" hidden="1" thickBot="1">
      <c r="AE1427" s="798"/>
      <c r="AF1427" s="777"/>
      <c r="AH1427" s="101">
        <f t="shared" si="225"/>
        <v>1000000</v>
      </c>
      <c r="AI1427" s="101">
        <f t="shared" si="223"/>
        <v>1000000</v>
      </c>
      <c r="AJ1427" s="155">
        <v>3</v>
      </c>
      <c r="AK1427" s="121">
        <f t="shared" si="226"/>
        <v>8</v>
      </c>
      <c r="AL1427" s="152">
        <f t="shared" si="224"/>
        <v>716.7858748746354</v>
      </c>
    </row>
    <row r="1428" spans="31:38" ht="15.75" hidden="1" thickBot="1">
      <c r="AE1428" s="798"/>
      <c r="AF1428" s="777"/>
      <c r="AH1428" s="101">
        <f t="shared" si="225"/>
        <v>1000000</v>
      </c>
      <c r="AI1428" s="101">
        <f t="shared" si="223"/>
        <v>1000000</v>
      </c>
      <c r="AJ1428" s="155">
        <v>3</v>
      </c>
      <c r="AK1428" s="121">
        <f t="shared" si="226"/>
        <v>9</v>
      </c>
      <c r="AL1428" s="152">
        <f t="shared" si="224"/>
        <v>714.83908176566968</v>
      </c>
    </row>
    <row r="1429" spans="31:38" ht="15.75" hidden="1" thickBot="1">
      <c r="AE1429" s="798"/>
      <c r="AF1429" s="777"/>
      <c r="AH1429" s="101">
        <f t="shared" si="225"/>
        <v>1000000</v>
      </c>
      <c r="AI1429" s="101">
        <f t="shared" si="223"/>
        <v>1000000</v>
      </c>
      <c r="AJ1429" s="155">
        <v>3</v>
      </c>
      <c r="AK1429" s="121">
        <f t="shared" si="226"/>
        <v>10</v>
      </c>
      <c r="AL1429" s="152">
        <f t="shared" si="224"/>
        <v>712.89228865670395</v>
      </c>
    </row>
    <row r="1430" spans="31:38" ht="15.75" hidden="1" thickBot="1">
      <c r="AE1430" s="798"/>
      <c r="AF1430" s="777"/>
      <c r="AH1430" s="101">
        <f t="shared" si="225"/>
        <v>1000000</v>
      </c>
      <c r="AI1430" s="101">
        <f t="shared" si="223"/>
        <v>1000000</v>
      </c>
      <c r="AJ1430" s="155">
        <v>3</v>
      </c>
      <c r="AK1430" s="121">
        <f t="shared" si="226"/>
        <v>11</v>
      </c>
      <c r="AL1430" s="152">
        <f t="shared" si="224"/>
        <v>710.94549554773812</v>
      </c>
    </row>
    <row r="1431" spans="31:38" ht="15.75" hidden="1" thickBot="1">
      <c r="AE1431" s="798"/>
      <c r="AF1431" s="777"/>
      <c r="AH1431" s="101">
        <f t="shared" si="225"/>
        <v>1000000</v>
      </c>
      <c r="AI1431" s="101">
        <f t="shared" si="223"/>
        <v>1000000</v>
      </c>
      <c r="AJ1431" s="155">
        <v>3</v>
      </c>
      <c r="AK1431" s="121">
        <f t="shared" si="226"/>
        <v>12</v>
      </c>
      <c r="AL1431" s="152">
        <f t="shared" si="224"/>
        <v>708.9987024387724</v>
      </c>
    </row>
    <row r="1432" spans="31:38" ht="15.75" hidden="1" thickBot="1">
      <c r="AE1432" s="798"/>
      <c r="AF1432" s="777"/>
      <c r="AH1432" s="101">
        <f t="shared" si="225"/>
        <v>1000000</v>
      </c>
      <c r="AI1432" s="101">
        <f t="shared" si="223"/>
        <v>1000000</v>
      </c>
      <c r="AJ1432" s="155">
        <v>3</v>
      </c>
      <c r="AK1432" s="121">
        <f t="shared" si="226"/>
        <v>13</v>
      </c>
      <c r="AL1432" s="152">
        <f t="shared" si="224"/>
        <v>707.05190932980668</v>
      </c>
    </row>
    <row r="1433" spans="31:38" ht="15.75" hidden="1" thickBot="1">
      <c r="AE1433" s="798"/>
      <c r="AF1433" s="777"/>
      <c r="AH1433" s="101">
        <f t="shared" si="225"/>
        <v>1000000</v>
      </c>
      <c r="AI1433" s="101">
        <f t="shared" si="223"/>
        <v>1000000</v>
      </c>
      <c r="AJ1433" s="155">
        <v>3</v>
      </c>
      <c r="AK1433" s="121">
        <f t="shared" si="226"/>
        <v>14</v>
      </c>
      <c r="AL1433" s="152">
        <f t="shared" si="224"/>
        <v>705.10511622084096</v>
      </c>
    </row>
    <row r="1434" spans="31:38" ht="15.75" hidden="1" thickBot="1">
      <c r="AE1434" s="798"/>
      <c r="AF1434" s="777"/>
      <c r="AH1434" s="101">
        <f t="shared" si="225"/>
        <v>1000000</v>
      </c>
      <c r="AI1434" s="101">
        <f t="shared" si="223"/>
        <v>1000000</v>
      </c>
      <c r="AJ1434" s="155">
        <v>3</v>
      </c>
      <c r="AK1434" s="121">
        <f t="shared" si="226"/>
        <v>15</v>
      </c>
      <c r="AL1434" s="152">
        <f t="shared" si="224"/>
        <v>703.15832311187512</v>
      </c>
    </row>
    <row r="1435" spans="31:38" ht="15.75" hidden="1" thickBot="1">
      <c r="AE1435" s="798"/>
      <c r="AF1435" s="777"/>
      <c r="AH1435" s="101">
        <f t="shared" si="225"/>
        <v>1000000</v>
      </c>
      <c r="AI1435" s="101">
        <f t="shared" si="223"/>
        <v>1000000</v>
      </c>
      <c r="AJ1435" s="155">
        <v>3</v>
      </c>
      <c r="AK1435" s="121">
        <f t="shared" si="226"/>
        <v>16</v>
      </c>
      <c r="AL1435" s="152">
        <f t="shared" si="224"/>
        <v>701.2115300029094</v>
      </c>
    </row>
    <row r="1436" spans="31:38" ht="15.75" hidden="1" thickBot="1">
      <c r="AE1436" s="798"/>
      <c r="AF1436" s="777"/>
      <c r="AH1436" s="101">
        <f t="shared" si="225"/>
        <v>1000000</v>
      </c>
      <c r="AI1436" s="101">
        <f t="shared" si="223"/>
        <v>1000000</v>
      </c>
      <c r="AJ1436" s="155">
        <v>3</v>
      </c>
      <c r="AK1436" s="121">
        <f t="shared" si="226"/>
        <v>17</v>
      </c>
      <c r="AL1436" s="152">
        <f t="shared" si="224"/>
        <v>699.26473689394356</v>
      </c>
    </row>
    <row r="1437" spans="31:38" ht="15.75" hidden="1" thickBot="1">
      <c r="AE1437" s="798"/>
      <c r="AF1437" s="777"/>
      <c r="AH1437" s="101">
        <f t="shared" si="225"/>
        <v>1000000</v>
      </c>
      <c r="AI1437" s="101">
        <f t="shared" si="223"/>
        <v>1000000</v>
      </c>
      <c r="AJ1437" s="155">
        <v>3</v>
      </c>
      <c r="AK1437" s="121">
        <f t="shared" si="226"/>
        <v>18</v>
      </c>
      <c r="AL1437" s="152">
        <f t="shared" si="224"/>
        <v>697.31794378497784</v>
      </c>
    </row>
    <row r="1438" spans="31:38" ht="15.75" hidden="1" thickBot="1">
      <c r="AE1438" s="798"/>
      <c r="AF1438" s="777"/>
      <c r="AH1438" s="101">
        <f t="shared" si="225"/>
        <v>1000000</v>
      </c>
      <c r="AI1438" s="101">
        <f t="shared" si="223"/>
        <v>1000000</v>
      </c>
      <c r="AJ1438" s="155">
        <v>3</v>
      </c>
      <c r="AK1438" s="121">
        <f t="shared" si="226"/>
        <v>19</v>
      </c>
      <c r="AL1438" s="152">
        <f t="shared" si="224"/>
        <v>695.37115067601212</v>
      </c>
    </row>
    <row r="1439" spans="31:38" ht="15.75" hidden="1" thickBot="1">
      <c r="AE1439" s="798"/>
      <c r="AF1439" s="777"/>
      <c r="AH1439" s="101">
        <f t="shared" si="225"/>
        <v>1000000</v>
      </c>
      <c r="AI1439" s="101">
        <f t="shared" si="223"/>
        <v>1000000</v>
      </c>
      <c r="AJ1439" s="155">
        <v>3</v>
      </c>
      <c r="AK1439" s="121">
        <f t="shared" si="226"/>
        <v>20</v>
      </c>
      <c r="AL1439" s="152">
        <f t="shared" si="224"/>
        <v>693.4243575670464</v>
      </c>
    </row>
    <row r="1440" spans="31:38" ht="15.75" hidden="1" thickBot="1">
      <c r="AE1440" s="798"/>
      <c r="AF1440" s="777"/>
      <c r="AH1440" s="101">
        <f t="shared" si="225"/>
        <v>1000000</v>
      </c>
      <c r="AI1440" s="101">
        <f t="shared" si="223"/>
        <v>1000000</v>
      </c>
      <c r="AJ1440" s="155">
        <v>3</v>
      </c>
      <c r="AK1440" s="121">
        <f t="shared" si="226"/>
        <v>21</v>
      </c>
      <c r="AL1440" s="152">
        <f t="shared" si="224"/>
        <v>691.47756445808068</v>
      </c>
    </row>
    <row r="1441" spans="31:38" ht="15.75" hidden="1" thickBot="1">
      <c r="AE1441" s="798"/>
      <c r="AF1441" s="777"/>
      <c r="AH1441" s="101">
        <f t="shared" si="225"/>
        <v>1000000</v>
      </c>
      <c r="AI1441" s="101">
        <f t="shared" si="223"/>
        <v>1000000</v>
      </c>
      <c r="AJ1441" s="155">
        <v>3</v>
      </c>
      <c r="AK1441" s="121">
        <f t="shared" si="226"/>
        <v>22</v>
      </c>
      <c r="AL1441" s="152">
        <f t="shared" si="224"/>
        <v>689.53077134911484</v>
      </c>
    </row>
    <row r="1442" spans="31:38" ht="15.75" hidden="1" thickBot="1">
      <c r="AE1442" s="798"/>
      <c r="AF1442" s="777"/>
      <c r="AH1442" s="101">
        <f t="shared" si="225"/>
        <v>1000000</v>
      </c>
      <c r="AI1442" s="101">
        <f t="shared" si="223"/>
        <v>1000000</v>
      </c>
      <c r="AJ1442" s="155">
        <v>3</v>
      </c>
      <c r="AK1442" s="121">
        <f t="shared" si="226"/>
        <v>23</v>
      </c>
      <c r="AL1442" s="152">
        <f t="shared" si="224"/>
        <v>687.58397824014912</v>
      </c>
    </row>
    <row r="1443" spans="31:38" ht="15.75" hidden="1" thickBot="1">
      <c r="AE1443" s="798"/>
      <c r="AF1443" s="777"/>
      <c r="AH1443" s="101">
        <f t="shared" si="225"/>
        <v>1000000</v>
      </c>
      <c r="AI1443" s="101">
        <f t="shared" si="223"/>
        <v>1000000</v>
      </c>
      <c r="AJ1443" s="155">
        <v>3</v>
      </c>
      <c r="AK1443" s="121">
        <f t="shared" si="226"/>
        <v>24</v>
      </c>
      <c r="AL1443" s="152">
        <f t="shared" si="224"/>
        <v>685.6371851311834</v>
      </c>
    </row>
    <row r="1444" spans="31:38" ht="15.75" hidden="1" thickBot="1">
      <c r="AE1444" s="798"/>
      <c r="AF1444" s="777"/>
      <c r="AH1444" s="101">
        <f t="shared" si="225"/>
        <v>1000000</v>
      </c>
      <c r="AI1444" s="101">
        <f t="shared" si="223"/>
        <v>1000000</v>
      </c>
      <c r="AJ1444" s="155">
        <v>3</v>
      </c>
      <c r="AK1444" s="121">
        <f t="shared" si="226"/>
        <v>25</v>
      </c>
      <c r="AL1444" s="152">
        <f t="shared" si="224"/>
        <v>683.69039202221757</v>
      </c>
    </row>
    <row r="1445" spans="31:38" ht="15.75" hidden="1" thickBot="1">
      <c r="AE1445" s="798"/>
      <c r="AF1445" s="777"/>
      <c r="AH1445" s="101">
        <f t="shared" si="225"/>
        <v>1000000</v>
      </c>
      <c r="AI1445" s="101">
        <f t="shared" si="223"/>
        <v>1000000</v>
      </c>
      <c r="AJ1445" s="155">
        <v>3</v>
      </c>
      <c r="AK1445" s="121">
        <f t="shared" si="226"/>
        <v>26</v>
      </c>
      <c r="AL1445" s="152">
        <f t="shared" si="224"/>
        <v>681.74359891325184</v>
      </c>
    </row>
    <row r="1446" spans="31:38" ht="15.75" hidden="1" thickBot="1">
      <c r="AE1446" s="798"/>
      <c r="AF1446" s="777"/>
      <c r="AH1446" s="101">
        <f t="shared" si="225"/>
        <v>1000000</v>
      </c>
      <c r="AI1446" s="101">
        <f t="shared" si="223"/>
        <v>1000000</v>
      </c>
      <c r="AJ1446" s="155">
        <v>3</v>
      </c>
      <c r="AK1446" s="121">
        <f t="shared" si="226"/>
        <v>27</v>
      </c>
      <c r="AL1446" s="152">
        <f t="shared" si="224"/>
        <v>679.79680580428612</v>
      </c>
    </row>
    <row r="1447" spans="31:38" ht="15.75" hidden="1" thickBot="1">
      <c r="AE1447" s="798"/>
      <c r="AF1447" s="777"/>
      <c r="AH1447" s="101">
        <f t="shared" si="225"/>
        <v>1000000</v>
      </c>
      <c r="AI1447" s="101">
        <f t="shared" si="223"/>
        <v>1000000</v>
      </c>
      <c r="AJ1447" s="155">
        <v>3</v>
      </c>
      <c r="AK1447" s="121">
        <f t="shared" si="226"/>
        <v>28</v>
      </c>
      <c r="AL1447" s="152">
        <f t="shared" si="224"/>
        <v>677.8500126953204</v>
      </c>
    </row>
    <row r="1448" spans="31:38" ht="15.75" hidden="1" thickBot="1">
      <c r="AE1448" s="798"/>
      <c r="AF1448" s="777"/>
      <c r="AH1448" s="101">
        <f t="shared" si="225"/>
        <v>1000000</v>
      </c>
      <c r="AI1448" s="101">
        <f t="shared" si="223"/>
        <v>1000000</v>
      </c>
      <c r="AJ1448" s="155">
        <v>3</v>
      </c>
      <c r="AK1448" s="121">
        <f t="shared" si="226"/>
        <v>29</v>
      </c>
      <c r="AL1448" s="152">
        <f t="shared" si="224"/>
        <v>675.90321958635457</v>
      </c>
    </row>
    <row r="1449" spans="31:38" ht="15.75" hidden="1" thickBot="1">
      <c r="AE1449" s="798"/>
      <c r="AF1449" s="777"/>
      <c r="AH1449" s="101">
        <f t="shared" si="225"/>
        <v>1000000</v>
      </c>
      <c r="AI1449" s="101">
        <f t="shared" si="223"/>
        <v>1000000</v>
      </c>
      <c r="AJ1449" s="155">
        <v>3</v>
      </c>
      <c r="AK1449" s="121">
        <f t="shared" si="226"/>
        <v>30</v>
      </c>
      <c r="AL1449" s="152">
        <f t="shared" si="224"/>
        <v>673.95642647738873</v>
      </c>
    </row>
    <row r="1450" spans="31:38" ht="15.75" hidden="1" thickBot="1">
      <c r="AE1450" s="798"/>
      <c r="AF1450" s="777"/>
      <c r="AH1450" s="101">
        <f t="shared" si="225"/>
        <v>1000000</v>
      </c>
      <c r="AI1450" s="101">
        <f t="shared" si="223"/>
        <v>1000000</v>
      </c>
      <c r="AJ1450" s="155">
        <v>3</v>
      </c>
      <c r="AK1450" s="121">
        <f t="shared" si="226"/>
        <v>31</v>
      </c>
      <c r="AL1450" s="152">
        <f t="shared" si="224"/>
        <v>672.00963336842301</v>
      </c>
    </row>
    <row r="1451" spans="31:38" ht="15.75" hidden="1" thickBot="1">
      <c r="AE1451" s="798"/>
      <c r="AF1451" s="777"/>
      <c r="AH1451" s="101">
        <f t="shared" ref="AH1451:AH1482" si="227">BE236</f>
        <v>1000000</v>
      </c>
      <c r="AI1451" s="101">
        <f t="shared" si="223"/>
        <v>1000000</v>
      </c>
      <c r="AJ1451" s="155">
        <v>3</v>
      </c>
      <c r="AK1451" s="121">
        <f t="shared" si="226"/>
        <v>32</v>
      </c>
      <c r="AL1451" s="152">
        <f t="shared" ref="AL1451:AL1482" si="228">AB236</f>
        <v>670.06284025945729</v>
      </c>
    </row>
    <row r="1452" spans="31:38" ht="15.75" hidden="1" thickBot="1">
      <c r="AE1452" s="798"/>
      <c r="AF1452" s="777"/>
      <c r="AH1452" s="101">
        <f t="shared" si="227"/>
        <v>1000000</v>
      </c>
      <c r="AI1452" s="101">
        <f t="shared" si="223"/>
        <v>1000000</v>
      </c>
      <c r="AJ1452" s="155">
        <v>3</v>
      </c>
      <c r="AK1452" s="121">
        <f t="shared" si="226"/>
        <v>33</v>
      </c>
      <c r="AL1452" s="152">
        <f t="shared" si="228"/>
        <v>668.11604715049157</v>
      </c>
    </row>
    <row r="1453" spans="31:38" ht="15.75" hidden="1" thickBot="1">
      <c r="AE1453" s="798"/>
      <c r="AF1453" s="777"/>
      <c r="AH1453" s="101">
        <f t="shared" si="227"/>
        <v>1000000</v>
      </c>
      <c r="AI1453" s="101">
        <f t="shared" si="223"/>
        <v>1000000</v>
      </c>
      <c r="AJ1453" s="155">
        <v>3</v>
      </c>
      <c r="AK1453" s="121">
        <f t="shared" si="226"/>
        <v>34</v>
      </c>
      <c r="AL1453" s="152">
        <f t="shared" si="228"/>
        <v>666.16925404152585</v>
      </c>
    </row>
    <row r="1454" spans="31:38" ht="15.75" hidden="1" thickBot="1">
      <c r="AE1454" s="798"/>
      <c r="AF1454" s="777"/>
      <c r="AH1454" s="101">
        <f t="shared" si="227"/>
        <v>1000000</v>
      </c>
      <c r="AI1454" s="101">
        <f t="shared" si="223"/>
        <v>1000000</v>
      </c>
      <c r="AJ1454" s="155">
        <v>3</v>
      </c>
      <c r="AK1454" s="121">
        <f t="shared" si="226"/>
        <v>35</v>
      </c>
      <c r="AL1454" s="152">
        <f t="shared" si="228"/>
        <v>664.22246093256001</v>
      </c>
    </row>
    <row r="1455" spans="31:38" ht="15.75" hidden="1" thickBot="1">
      <c r="AE1455" s="798"/>
      <c r="AF1455" s="777"/>
      <c r="AH1455" s="101">
        <f t="shared" si="227"/>
        <v>1000000</v>
      </c>
      <c r="AI1455" s="101">
        <f t="shared" si="223"/>
        <v>1000000</v>
      </c>
      <c r="AJ1455" s="155">
        <v>3</v>
      </c>
      <c r="AK1455" s="121">
        <f t="shared" si="226"/>
        <v>36</v>
      </c>
      <c r="AL1455" s="152">
        <f t="shared" si="228"/>
        <v>662.27566782359429</v>
      </c>
    </row>
    <row r="1456" spans="31:38" ht="15.75" hidden="1" thickBot="1">
      <c r="AE1456" s="798"/>
      <c r="AF1456" s="777"/>
      <c r="AH1456" s="101">
        <f t="shared" si="227"/>
        <v>1000000</v>
      </c>
      <c r="AI1456" s="101">
        <f t="shared" si="223"/>
        <v>1000000</v>
      </c>
      <c r="AJ1456" s="155">
        <v>3</v>
      </c>
      <c r="AK1456" s="121">
        <f t="shared" si="226"/>
        <v>37</v>
      </c>
      <c r="AL1456" s="152">
        <f t="shared" si="228"/>
        <v>660.32887471462857</v>
      </c>
    </row>
    <row r="1457" spans="31:38" ht="15.75" hidden="1" thickBot="1">
      <c r="AE1457" s="798"/>
      <c r="AF1457" s="777"/>
      <c r="AH1457" s="101">
        <f t="shared" si="227"/>
        <v>1000000</v>
      </c>
      <c r="AI1457" s="101">
        <f t="shared" si="223"/>
        <v>1000000</v>
      </c>
      <c r="AJ1457" s="155">
        <v>3</v>
      </c>
      <c r="AK1457" s="121">
        <f t="shared" si="226"/>
        <v>38</v>
      </c>
      <c r="AL1457" s="152">
        <f t="shared" si="228"/>
        <v>658.38208160566273</v>
      </c>
    </row>
    <row r="1458" spans="31:38" ht="15.75" hidden="1" thickBot="1">
      <c r="AE1458" s="798"/>
      <c r="AF1458" s="777"/>
      <c r="AH1458" s="101">
        <f t="shared" si="227"/>
        <v>1000000</v>
      </c>
      <c r="AI1458" s="101">
        <f t="shared" si="223"/>
        <v>1000000</v>
      </c>
      <c r="AJ1458" s="155">
        <v>3</v>
      </c>
      <c r="AK1458" s="121">
        <f t="shared" si="226"/>
        <v>39</v>
      </c>
      <c r="AL1458" s="152">
        <f t="shared" si="228"/>
        <v>656.43528849669701</v>
      </c>
    </row>
    <row r="1459" spans="31:38" ht="15.75" hidden="1" thickBot="1">
      <c r="AE1459" s="798"/>
      <c r="AF1459" s="777"/>
      <c r="AH1459" s="101">
        <f t="shared" si="227"/>
        <v>1000000</v>
      </c>
      <c r="AI1459" s="101">
        <f t="shared" si="223"/>
        <v>1000000</v>
      </c>
      <c r="AJ1459" s="155">
        <v>3</v>
      </c>
      <c r="AK1459" s="121">
        <f t="shared" si="226"/>
        <v>40</v>
      </c>
      <c r="AL1459" s="152">
        <f t="shared" si="228"/>
        <v>654.48849538773129</v>
      </c>
    </row>
    <row r="1460" spans="31:38" ht="15.75" hidden="1" thickBot="1">
      <c r="AE1460" s="798"/>
      <c r="AF1460" s="777"/>
      <c r="AH1460" s="101">
        <f t="shared" si="227"/>
        <v>1000000</v>
      </c>
      <c r="AI1460" s="101">
        <f t="shared" si="223"/>
        <v>1000000</v>
      </c>
      <c r="AJ1460" s="155">
        <v>3</v>
      </c>
      <c r="AK1460" s="121">
        <f t="shared" si="226"/>
        <v>41</v>
      </c>
      <c r="AL1460" s="152">
        <f t="shared" si="228"/>
        <v>652.54170227876557</v>
      </c>
    </row>
    <row r="1461" spans="31:38" ht="15.75" hidden="1" thickBot="1">
      <c r="AE1461" s="798"/>
      <c r="AF1461" s="777"/>
      <c r="AH1461" s="101">
        <f t="shared" si="227"/>
        <v>1000000</v>
      </c>
      <c r="AI1461" s="101">
        <f t="shared" si="223"/>
        <v>1000000</v>
      </c>
      <c r="AJ1461" s="155">
        <v>3</v>
      </c>
      <c r="AK1461" s="121">
        <f t="shared" si="226"/>
        <v>42</v>
      </c>
      <c r="AL1461" s="152">
        <f t="shared" si="228"/>
        <v>650.59490916979973</v>
      </c>
    </row>
    <row r="1462" spans="31:38" ht="15.75" hidden="1" thickBot="1">
      <c r="AE1462" s="798"/>
      <c r="AF1462" s="777"/>
      <c r="AH1462" s="101">
        <f t="shared" si="227"/>
        <v>1000000</v>
      </c>
      <c r="AI1462" s="101">
        <f t="shared" si="223"/>
        <v>1000000</v>
      </c>
      <c r="AJ1462" s="155">
        <v>3</v>
      </c>
      <c r="AK1462" s="121">
        <f t="shared" si="226"/>
        <v>43</v>
      </c>
      <c r="AL1462" s="152">
        <f t="shared" si="228"/>
        <v>648.64811606083401</v>
      </c>
    </row>
    <row r="1463" spans="31:38" ht="15.75" hidden="1" thickBot="1">
      <c r="AE1463" s="798"/>
      <c r="AF1463" s="777"/>
      <c r="AH1463" s="101">
        <f t="shared" si="227"/>
        <v>1000000</v>
      </c>
      <c r="AI1463" s="101">
        <f t="shared" si="223"/>
        <v>1000000</v>
      </c>
      <c r="AJ1463" s="155">
        <v>3</v>
      </c>
      <c r="AK1463" s="121">
        <f t="shared" si="226"/>
        <v>44</v>
      </c>
      <c r="AL1463" s="152">
        <f t="shared" si="228"/>
        <v>646.70132295186829</v>
      </c>
    </row>
    <row r="1464" spans="31:38" ht="15.75" hidden="1" thickBot="1">
      <c r="AE1464" s="798"/>
      <c r="AF1464" s="777"/>
      <c r="AH1464" s="101">
        <f t="shared" si="227"/>
        <v>1000000</v>
      </c>
      <c r="AI1464" s="101">
        <f t="shared" si="223"/>
        <v>1000000</v>
      </c>
      <c r="AJ1464" s="155">
        <v>3</v>
      </c>
      <c r="AK1464" s="121">
        <f t="shared" si="226"/>
        <v>45</v>
      </c>
      <c r="AL1464" s="152">
        <f t="shared" si="228"/>
        <v>644.75452984290246</v>
      </c>
    </row>
    <row r="1465" spans="31:38" ht="15.75" hidden="1" thickBot="1">
      <c r="AE1465" s="798"/>
      <c r="AF1465" s="777"/>
      <c r="AH1465" s="101">
        <f t="shared" si="227"/>
        <v>1000000</v>
      </c>
      <c r="AI1465" s="101">
        <f t="shared" si="223"/>
        <v>1000000</v>
      </c>
      <c r="AJ1465" s="155">
        <v>3</v>
      </c>
      <c r="AK1465" s="121">
        <f t="shared" si="226"/>
        <v>46</v>
      </c>
      <c r="AL1465" s="152">
        <f t="shared" si="228"/>
        <v>642.80773673393674</v>
      </c>
    </row>
    <row r="1466" spans="31:38" ht="15.75" hidden="1" thickBot="1">
      <c r="AE1466" s="798"/>
      <c r="AF1466" s="777"/>
      <c r="AH1466" s="101">
        <f t="shared" si="227"/>
        <v>1000000</v>
      </c>
      <c r="AI1466" s="101">
        <f t="shared" si="223"/>
        <v>1000000</v>
      </c>
      <c r="AJ1466" s="155">
        <v>3</v>
      </c>
      <c r="AK1466" s="121">
        <f t="shared" si="226"/>
        <v>47</v>
      </c>
      <c r="AL1466" s="152">
        <f t="shared" si="228"/>
        <v>640.86094362497101</v>
      </c>
    </row>
    <row r="1467" spans="31:38" ht="15.75" hidden="1" thickBot="1">
      <c r="AE1467" s="798"/>
      <c r="AF1467" s="777"/>
      <c r="AH1467" s="101">
        <f t="shared" si="227"/>
        <v>1000000</v>
      </c>
      <c r="AI1467" s="101">
        <f t="shared" si="223"/>
        <v>1000000</v>
      </c>
      <c r="AJ1467" s="155">
        <v>3</v>
      </c>
      <c r="AK1467" s="121">
        <f t="shared" si="226"/>
        <v>48</v>
      </c>
      <c r="AL1467" s="152">
        <f t="shared" si="228"/>
        <v>638.91415051600529</v>
      </c>
    </row>
    <row r="1468" spans="31:38" ht="15.75" hidden="1" thickBot="1">
      <c r="AE1468" s="798"/>
      <c r="AF1468" s="777"/>
      <c r="AH1468" s="101">
        <f t="shared" si="227"/>
        <v>1000000</v>
      </c>
      <c r="AI1468" s="101">
        <f t="shared" si="223"/>
        <v>1000000</v>
      </c>
      <c r="AJ1468" s="155">
        <v>3</v>
      </c>
      <c r="AK1468" s="121">
        <f t="shared" si="226"/>
        <v>49</v>
      </c>
      <c r="AL1468" s="152">
        <f t="shared" si="228"/>
        <v>636.96735740703957</v>
      </c>
    </row>
    <row r="1469" spans="31:38" ht="15.75" hidden="1" thickBot="1">
      <c r="AE1469" s="798"/>
      <c r="AF1469" s="777"/>
      <c r="AH1469" s="101">
        <f t="shared" si="227"/>
        <v>1000000</v>
      </c>
      <c r="AI1469" s="101">
        <f t="shared" si="223"/>
        <v>1000000</v>
      </c>
      <c r="AJ1469" s="155">
        <v>3</v>
      </c>
      <c r="AK1469" s="121">
        <f t="shared" si="226"/>
        <v>50</v>
      </c>
      <c r="AL1469" s="152">
        <f t="shared" si="228"/>
        <v>635.02056429807374</v>
      </c>
    </row>
    <row r="1470" spans="31:38" ht="15.75" hidden="1" thickBot="1">
      <c r="AE1470" s="798"/>
      <c r="AF1470" s="777"/>
      <c r="AH1470" s="101">
        <f t="shared" si="227"/>
        <v>1000000</v>
      </c>
      <c r="AI1470" s="101">
        <f t="shared" si="223"/>
        <v>1000000</v>
      </c>
      <c r="AJ1470" s="155">
        <v>3</v>
      </c>
      <c r="AK1470" s="121">
        <f t="shared" si="226"/>
        <v>51</v>
      </c>
      <c r="AL1470" s="152">
        <f t="shared" si="228"/>
        <v>633.0737711891079</v>
      </c>
    </row>
    <row r="1471" spans="31:38" ht="15.75" hidden="1" thickBot="1">
      <c r="AE1471" s="798"/>
      <c r="AF1471" s="777"/>
      <c r="AH1471" s="101">
        <f t="shared" si="227"/>
        <v>1000000</v>
      </c>
      <c r="AI1471" s="101">
        <f t="shared" si="223"/>
        <v>1000000</v>
      </c>
      <c r="AJ1471" s="155">
        <v>3</v>
      </c>
      <c r="AK1471" s="121">
        <f t="shared" si="226"/>
        <v>52</v>
      </c>
      <c r="AL1471" s="152">
        <f t="shared" si="228"/>
        <v>631.12697808014218</v>
      </c>
    </row>
    <row r="1472" spans="31:38" ht="15.75" hidden="1" thickBot="1">
      <c r="AE1472" s="798"/>
      <c r="AF1472" s="777"/>
      <c r="AH1472" s="101">
        <f t="shared" si="227"/>
        <v>1000000</v>
      </c>
      <c r="AI1472" s="101">
        <f t="shared" si="223"/>
        <v>1000000</v>
      </c>
      <c r="AJ1472" s="155">
        <v>3</v>
      </c>
      <c r="AK1472" s="121">
        <f t="shared" si="226"/>
        <v>53</v>
      </c>
      <c r="AL1472" s="152">
        <f t="shared" si="228"/>
        <v>629.18018497117646</v>
      </c>
    </row>
    <row r="1473" spans="31:38" ht="15.75" hidden="1" thickBot="1">
      <c r="AE1473" s="798"/>
      <c r="AF1473" s="777"/>
      <c r="AH1473" s="101">
        <f t="shared" si="227"/>
        <v>1000000</v>
      </c>
      <c r="AI1473" s="101">
        <f t="shared" ref="AI1473:AI1536" si="229">IF(AL1473&lt;$D$85,0,AH1473)</f>
        <v>1000000</v>
      </c>
      <c r="AJ1473" s="155">
        <v>3</v>
      </c>
      <c r="AK1473" s="121">
        <f t="shared" si="226"/>
        <v>54</v>
      </c>
      <c r="AL1473" s="152">
        <f t="shared" si="228"/>
        <v>627.23339186221074</v>
      </c>
    </row>
    <row r="1474" spans="31:38" ht="15.75" hidden="1" thickBot="1">
      <c r="AE1474" s="798"/>
      <c r="AF1474" s="777"/>
      <c r="AH1474" s="101">
        <f t="shared" si="227"/>
        <v>1000000</v>
      </c>
      <c r="AI1474" s="101">
        <f t="shared" si="229"/>
        <v>1000000</v>
      </c>
      <c r="AJ1474" s="155">
        <v>3</v>
      </c>
      <c r="AK1474" s="121">
        <f t="shared" si="226"/>
        <v>55</v>
      </c>
      <c r="AL1474" s="152">
        <f t="shared" si="228"/>
        <v>625.2865987532449</v>
      </c>
    </row>
    <row r="1475" spans="31:38" ht="15.75" hidden="1" thickBot="1">
      <c r="AE1475" s="798"/>
      <c r="AF1475" s="777"/>
      <c r="AH1475" s="101">
        <f t="shared" si="227"/>
        <v>1000000</v>
      </c>
      <c r="AI1475" s="101">
        <f t="shared" si="229"/>
        <v>1000000</v>
      </c>
      <c r="AJ1475" s="155">
        <v>3</v>
      </c>
      <c r="AK1475" s="121">
        <f t="shared" si="226"/>
        <v>56</v>
      </c>
      <c r="AL1475" s="152">
        <f t="shared" si="228"/>
        <v>623.33980564427918</v>
      </c>
    </row>
    <row r="1476" spans="31:38" ht="15.75" hidden="1" thickBot="1">
      <c r="AE1476" s="798"/>
      <c r="AF1476" s="777"/>
      <c r="AH1476" s="101">
        <f t="shared" si="227"/>
        <v>1000000</v>
      </c>
      <c r="AI1476" s="101">
        <f t="shared" si="229"/>
        <v>1000000</v>
      </c>
      <c r="AJ1476" s="155">
        <v>3</v>
      </c>
      <c r="AK1476" s="121">
        <f t="shared" si="226"/>
        <v>57</v>
      </c>
      <c r="AL1476" s="152">
        <f t="shared" si="228"/>
        <v>621.39301253531346</v>
      </c>
    </row>
    <row r="1477" spans="31:38" ht="15.75" hidden="1" thickBot="1">
      <c r="AE1477" s="798"/>
      <c r="AF1477" s="777"/>
      <c r="AH1477" s="101">
        <f t="shared" si="227"/>
        <v>1000000</v>
      </c>
      <c r="AI1477" s="101">
        <f t="shared" si="229"/>
        <v>1000000</v>
      </c>
      <c r="AJ1477" s="155">
        <v>3</v>
      </c>
      <c r="AK1477" s="121">
        <f t="shared" si="226"/>
        <v>58</v>
      </c>
      <c r="AL1477" s="152">
        <f t="shared" si="228"/>
        <v>619.44621942634762</v>
      </c>
    </row>
    <row r="1478" spans="31:38" ht="15.75" hidden="1" thickBot="1">
      <c r="AE1478" s="798"/>
      <c r="AF1478" s="777"/>
      <c r="AH1478" s="101">
        <f t="shared" si="227"/>
        <v>1000000</v>
      </c>
      <c r="AI1478" s="101">
        <f t="shared" si="229"/>
        <v>1000000</v>
      </c>
      <c r="AJ1478" s="155">
        <v>3</v>
      </c>
      <c r="AK1478" s="121">
        <f t="shared" si="226"/>
        <v>59</v>
      </c>
      <c r="AL1478" s="152">
        <f t="shared" si="228"/>
        <v>617.4994263173819</v>
      </c>
    </row>
    <row r="1479" spans="31:38" ht="15.75" hidden="1" thickBot="1">
      <c r="AE1479" s="798"/>
      <c r="AF1479" s="777"/>
      <c r="AH1479" s="101">
        <f t="shared" si="227"/>
        <v>1000000</v>
      </c>
      <c r="AI1479" s="101">
        <f t="shared" si="229"/>
        <v>1000000</v>
      </c>
      <c r="AJ1479" s="155">
        <v>3</v>
      </c>
      <c r="AK1479" s="121">
        <f t="shared" si="226"/>
        <v>60</v>
      </c>
      <c r="AL1479" s="152">
        <f t="shared" si="228"/>
        <v>615.55263320841618</v>
      </c>
    </row>
    <row r="1480" spans="31:38" ht="15.75" hidden="1" thickBot="1">
      <c r="AE1480" s="798"/>
      <c r="AF1480" s="777"/>
      <c r="AH1480" s="101">
        <f t="shared" si="227"/>
        <v>1000000</v>
      </c>
      <c r="AI1480" s="101">
        <f t="shared" si="229"/>
        <v>1000000</v>
      </c>
      <c r="AJ1480" s="155">
        <v>3</v>
      </c>
      <c r="AK1480" s="121">
        <f t="shared" si="226"/>
        <v>61</v>
      </c>
      <c r="AL1480" s="152">
        <f t="shared" si="228"/>
        <v>613.60584009945046</v>
      </c>
    </row>
    <row r="1481" spans="31:38" ht="15.75" hidden="1" thickBot="1">
      <c r="AE1481" s="798"/>
      <c r="AF1481" s="777"/>
      <c r="AH1481" s="101">
        <f t="shared" si="227"/>
        <v>1000000</v>
      </c>
      <c r="AI1481" s="101">
        <f t="shared" si="229"/>
        <v>1000000</v>
      </c>
      <c r="AJ1481" s="155">
        <v>3</v>
      </c>
      <c r="AK1481" s="121">
        <f t="shared" si="226"/>
        <v>62</v>
      </c>
      <c r="AL1481" s="152">
        <f t="shared" si="228"/>
        <v>611.65904699048474</v>
      </c>
    </row>
    <row r="1482" spans="31:38" ht="15.75" hidden="1" thickBot="1">
      <c r="AE1482" s="798"/>
      <c r="AF1482" s="777"/>
      <c r="AH1482" s="101">
        <f t="shared" si="227"/>
        <v>1000000</v>
      </c>
      <c r="AI1482" s="101">
        <f t="shared" si="229"/>
        <v>1000000</v>
      </c>
      <c r="AJ1482" s="155">
        <v>3</v>
      </c>
      <c r="AK1482" s="121">
        <f t="shared" si="226"/>
        <v>63</v>
      </c>
      <c r="AL1482" s="152">
        <f t="shared" si="228"/>
        <v>609.7122538815189</v>
      </c>
    </row>
    <row r="1483" spans="31:38" ht="15.75" hidden="1" thickBot="1">
      <c r="AE1483" s="798"/>
      <c r="AF1483" s="777"/>
      <c r="AH1483" s="101">
        <f t="shared" ref="AH1483:AH1514" si="230">BE268</f>
        <v>1000000</v>
      </c>
      <c r="AI1483" s="101">
        <f t="shared" si="229"/>
        <v>1000000</v>
      </c>
      <c r="AJ1483" s="155">
        <v>3</v>
      </c>
      <c r="AK1483" s="121">
        <f t="shared" si="226"/>
        <v>64</v>
      </c>
      <c r="AL1483" s="152">
        <f t="shared" ref="AL1483:AL1514" si="231">AB268</f>
        <v>607.76546077255318</v>
      </c>
    </row>
    <row r="1484" spans="31:38" ht="15.75" hidden="1" thickBot="1">
      <c r="AE1484" s="798"/>
      <c r="AF1484" s="777"/>
      <c r="AH1484" s="101">
        <f t="shared" si="230"/>
        <v>1000000</v>
      </c>
      <c r="AI1484" s="101">
        <f t="shared" si="229"/>
        <v>1000000</v>
      </c>
      <c r="AJ1484" s="155">
        <v>3</v>
      </c>
      <c r="AK1484" s="121">
        <f t="shared" ref="AK1484:AK1519" si="232">AK1483+1</f>
        <v>65</v>
      </c>
      <c r="AL1484" s="152">
        <f t="shared" si="231"/>
        <v>605.81866766358735</v>
      </c>
    </row>
    <row r="1485" spans="31:38" ht="15.75" hidden="1" thickBot="1">
      <c r="AE1485" s="798"/>
      <c r="AF1485" s="777"/>
      <c r="AH1485" s="101">
        <f t="shared" si="230"/>
        <v>1000000</v>
      </c>
      <c r="AI1485" s="101">
        <f t="shared" si="229"/>
        <v>1000000</v>
      </c>
      <c r="AJ1485" s="155">
        <v>3</v>
      </c>
      <c r="AK1485" s="121">
        <f t="shared" si="232"/>
        <v>66</v>
      </c>
      <c r="AL1485" s="152">
        <f t="shared" si="231"/>
        <v>603.87187455462163</v>
      </c>
    </row>
    <row r="1486" spans="31:38" ht="15.75" hidden="1" thickBot="1">
      <c r="AE1486" s="798"/>
      <c r="AF1486" s="777"/>
      <c r="AH1486" s="101">
        <f t="shared" si="230"/>
        <v>1000000</v>
      </c>
      <c r="AI1486" s="101">
        <f t="shared" si="229"/>
        <v>1000000</v>
      </c>
      <c r="AJ1486" s="155">
        <v>3</v>
      </c>
      <c r="AK1486" s="121">
        <f t="shared" si="232"/>
        <v>67</v>
      </c>
      <c r="AL1486" s="152">
        <f t="shared" si="231"/>
        <v>601.92508144565591</v>
      </c>
    </row>
    <row r="1487" spans="31:38" ht="15.75" hidden="1" thickBot="1">
      <c r="AE1487" s="798"/>
      <c r="AF1487" s="777"/>
      <c r="AH1487" s="101">
        <f t="shared" si="230"/>
        <v>1000000</v>
      </c>
      <c r="AI1487" s="101">
        <f t="shared" si="229"/>
        <v>1000000</v>
      </c>
      <c r="AJ1487" s="155">
        <v>3</v>
      </c>
      <c r="AK1487" s="121">
        <f t="shared" si="232"/>
        <v>68</v>
      </c>
      <c r="AL1487" s="152">
        <f t="shared" si="231"/>
        <v>599.97828833669007</v>
      </c>
    </row>
    <row r="1488" spans="31:38" ht="15.75" hidden="1" thickBot="1">
      <c r="AE1488" s="798"/>
      <c r="AF1488" s="777"/>
      <c r="AH1488" s="101">
        <f t="shared" si="230"/>
        <v>1000000</v>
      </c>
      <c r="AI1488" s="101">
        <f t="shared" si="229"/>
        <v>1000000</v>
      </c>
      <c r="AJ1488" s="155">
        <v>3</v>
      </c>
      <c r="AK1488" s="121">
        <f t="shared" si="232"/>
        <v>69</v>
      </c>
      <c r="AL1488" s="152">
        <f t="shared" si="231"/>
        <v>598.03149522772435</v>
      </c>
    </row>
    <row r="1489" spans="31:38" ht="15.75" hidden="1" thickBot="1">
      <c r="AE1489" s="798"/>
      <c r="AF1489" s="777"/>
      <c r="AH1489" s="101">
        <f t="shared" si="230"/>
        <v>1000000</v>
      </c>
      <c r="AI1489" s="101">
        <f t="shared" si="229"/>
        <v>1000000</v>
      </c>
      <c r="AJ1489" s="155">
        <v>3</v>
      </c>
      <c r="AK1489" s="121">
        <f t="shared" si="232"/>
        <v>70</v>
      </c>
      <c r="AL1489" s="152">
        <f t="shared" si="231"/>
        <v>596.08470211875863</v>
      </c>
    </row>
    <row r="1490" spans="31:38" ht="15.75" hidden="1" thickBot="1">
      <c r="AE1490" s="798"/>
      <c r="AF1490" s="777"/>
      <c r="AH1490" s="101">
        <f t="shared" si="230"/>
        <v>1000000</v>
      </c>
      <c r="AI1490" s="101">
        <f t="shared" si="229"/>
        <v>1000000</v>
      </c>
      <c r="AJ1490" s="155">
        <v>3</v>
      </c>
      <c r="AK1490" s="121">
        <f t="shared" si="232"/>
        <v>71</v>
      </c>
      <c r="AL1490" s="152">
        <f t="shared" si="231"/>
        <v>594.13790900979291</v>
      </c>
    </row>
    <row r="1491" spans="31:38" ht="15.75" hidden="1" thickBot="1">
      <c r="AE1491" s="798"/>
      <c r="AF1491" s="777"/>
      <c r="AH1491" s="101">
        <f t="shared" si="230"/>
        <v>1000000</v>
      </c>
      <c r="AI1491" s="101">
        <f t="shared" si="229"/>
        <v>1000000</v>
      </c>
      <c r="AJ1491" s="155">
        <v>3</v>
      </c>
      <c r="AK1491" s="121">
        <f t="shared" si="232"/>
        <v>72</v>
      </c>
      <c r="AL1491" s="152">
        <f t="shared" si="231"/>
        <v>592.19111590082707</v>
      </c>
    </row>
    <row r="1492" spans="31:38" ht="15.75" hidden="1" thickBot="1">
      <c r="AE1492" s="798"/>
      <c r="AF1492" s="777"/>
      <c r="AH1492" s="101">
        <f t="shared" si="230"/>
        <v>1000000</v>
      </c>
      <c r="AI1492" s="101">
        <f t="shared" si="229"/>
        <v>1000000</v>
      </c>
      <c r="AJ1492" s="155">
        <v>3</v>
      </c>
      <c r="AK1492" s="121">
        <f t="shared" si="232"/>
        <v>73</v>
      </c>
      <c r="AL1492" s="152">
        <f t="shared" si="231"/>
        <v>590.24432279186135</v>
      </c>
    </row>
    <row r="1493" spans="31:38" ht="15.75" hidden="1" thickBot="1">
      <c r="AE1493" s="798"/>
      <c r="AF1493" s="777"/>
      <c r="AH1493" s="101">
        <f t="shared" si="230"/>
        <v>1000000</v>
      </c>
      <c r="AI1493" s="101">
        <f t="shared" si="229"/>
        <v>1000000</v>
      </c>
      <c r="AJ1493" s="155">
        <v>3</v>
      </c>
      <c r="AK1493" s="121">
        <f t="shared" si="232"/>
        <v>74</v>
      </c>
      <c r="AL1493" s="152">
        <f t="shared" si="231"/>
        <v>588.29752968289563</v>
      </c>
    </row>
    <row r="1494" spans="31:38" ht="15.75" hidden="1" thickBot="1">
      <c r="AE1494" s="798"/>
      <c r="AF1494" s="777"/>
      <c r="AH1494" s="101">
        <f t="shared" si="230"/>
        <v>1000000</v>
      </c>
      <c r="AI1494" s="101">
        <f t="shared" si="229"/>
        <v>1000000</v>
      </c>
      <c r="AJ1494" s="155">
        <v>3</v>
      </c>
      <c r="AK1494" s="121">
        <f t="shared" si="232"/>
        <v>75</v>
      </c>
      <c r="AL1494" s="152">
        <f t="shared" si="231"/>
        <v>586.35073657392991</v>
      </c>
    </row>
    <row r="1495" spans="31:38" ht="15.75" hidden="1" thickBot="1">
      <c r="AE1495" s="798"/>
      <c r="AF1495" s="777"/>
      <c r="AH1495" s="101">
        <f t="shared" si="230"/>
        <v>1000000</v>
      </c>
      <c r="AI1495" s="101">
        <f t="shared" si="229"/>
        <v>1000000</v>
      </c>
      <c r="AJ1495" s="155">
        <v>3</v>
      </c>
      <c r="AK1495" s="121">
        <f t="shared" si="232"/>
        <v>76</v>
      </c>
      <c r="AL1495" s="152">
        <f t="shared" si="231"/>
        <v>584.40394346496407</v>
      </c>
    </row>
    <row r="1496" spans="31:38" ht="15.75" hidden="1" thickBot="1">
      <c r="AE1496" s="798"/>
      <c r="AF1496" s="777"/>
      <c r="AH1496" s="101">
        <f t="shared" si="230"/>
        <v>1000000</v>
      </c>
      <c r="AI1496" s="101">
        <f t="shared" si="229"/>
        <v>1000000</v>
      </c>
      <c r="AJ1496" s="155">
        <v>3</v>
      </c>
      <c r="AK1496" s="121">
        <f t="shared" si="232"/>
        <v>77</v>
      </c>
      <c r="AL1496" s="152">
        <f t="shared" si="231"/>
        <v>582.45715035599835</v>
      </c>
    </row>
    <row r="1497" spans="31:38" ht="15.75" hidden="1" thickBot="1">
      <c r="AE1497" s="798"/>
      <c r="AF1497" s="777"/>
      <c r="AH1497" s="101">
        <f t="shared" si="230"/>
        <v>1000000</v>
      </c>
      <c r="AI1497" s="101">
        <f t="shared" si="229"/>
        <v>1000000</v>
      </c>
      <c r="AJ1497" s="155">
        <v>3</v>
      </c>
      <c r="AK1497" s="121">
        <f t="shared" si="232"/>
        <v>78</v>
      </c>
      <c r="AL1497" s="152">
        <f t="shared" si="231"/>
        <v>580.51035724703263</v>
      </c>
    </row>
    <row r="1498" spans="31:38" ht="15.75" hidden="1" thickBot="1">
      <c r="AE1498" s="798"/>
      <c r="AF1498" s="777"/>
      <c r="AH1498" s="101">
        <f t="shared" si="230"/>
        <v>1000000</v>
      </c>
      <c r="AI1498" s="101">
        <f t="shared" si="229"/>
        <v>1000000</v>
      </c>
      <c r="AJ1498" s="155">
        <v>3</v>
      </c>
      <c r="AK1498" s="121">
        <f t="shared" si="232"/>
        <v>79</v>
      </c>
      <c r="AL1498" s="152">
        <f t="shared" si="231"/>
        <v>578.56356413806679</v>
      </c>
    </row>
    <row r="1499" spans="31:38" ht="15.75" hidden="1" thickBot="1">
      <c r="AE1499" s="798"/>
      <c r="AF1499" s="777"/>
      <c r="AH1499" s="101">
        <f t="shared" si="230"/>
        <v>1000000</v>
      </c>
      <c r="AI1499" s="101">
        <f t="shared" si="229"/>
        <v>1000000</v>
      </c>
      <c r="AJ1499" s="155">
        <v>3</v>
      </c>
      <c r="AK1499" s="121">
        <f t="shared" si="232"/>
        <v>80</v>
      </c>
      <c r="AL1499" s="152">
        <f t="shared" si="231"/>
        <v>576.61677102910107</v>
      </c>
    </row>
    <row r="1500" spans="31:38" ht="15.75" hidden="1" thickBot="1">
      <c r="AE1500" s="798"/>
      <c r="AF1500" s="777"/>
      <c r="AH1500" s="101">
        <f t="shared" si="230"/>
        <v>1000000</v>
      </c>
      <c r="AI1500" s="101">
        <f t="shared" si="229"/>
        <v>1000000</v>
      </c>
      <c r="AJ1500" s="155">
        <v>3</v>
      </c>
      <c r="AK1500" s="121">
        <f t="shared" si="232"/>
        <v>81</v>
      </c>
      <c r="AL1500" s="152">
        <f t="shared" si="231"/>
        <v>574.66997792013535</v>
      </c>
    </row>
    <row r="1501" spans="31:38" ht="15.75" hidden="1" thickBot="1">
      <c r="AE1501" s="798"/>
      <c r="AF1501" s="777"/>
      <c r="AH1501" s="101">
        <f t="shared" si="230"/>
        <v>1000000</v>
      </c>
      <c r="AI1501" s="101">
        <f t="shared" si="229"/>
        <v>1000000</v>
      </c>
      <c r="AJ1501" s="155">
        <v>3</v>
      </c>
      <c r="AK1501" s="121">
        <f t="shared" si="232"/>
        <v>82</v>
      </c>
      <c r="AL1501" s="152">
        <f t="shared" si="231"/>
        <v>572.72318481116952</v>
      </c>
    </row>
    <row r="1502" spans="31:38" ht="15.75" hidden="1" thickBot="1">
      <c r="AE1502" s="798"/>
      <c r="AF1502" s="777"/>
      <c r="AH1502" s="101">
        <f t="shared" si="230"/>
        <v>1000000</v>
      </c>
      <c r="AI1502" s="101">
        <f t="shared" si="229"/>
        <v>1000000</v>
      </c>
      <c r="AJ1502" s="155">
        <v>3</v>
      </c>
      <c r="AK1502" s="121">
        <f t="shared" si="232"/>
        <v>83</v>
      </c>
      <c r="AL1502" s="152">
        <f t="shared" si="231"/>
        <v>570.7763917022038</v>
      </c>
    </row>
    <row r="1503" spans="31:38" ht="15.75" hidden="1" thickBot="1">
      <c r="AE1503" s="798"/>
      <c r="AF1503" s="777"/>
      <c r="AH1503" s="101">
        <f t="shared" si="230"/>
        <v>1000000</v>
      </c>
      <c r="AI1503" s="101">
        <f t="shared" si="229"/>
        <v>1000000</v>
      </c>
      <c r="AJ1503" s="155">
        <v>3</v>
      </c>
      <c r="AK1503" s="121">
        <f t="shared" si="232"/>
        <v>84</v>
      </c>
      <c r="AL1503" s="152">
        <f t="shared" si="231"/>
        <v>568.82959859323807</v>
      </c>
    </row>
    <row r="1504" spans="31:38" ht="15.75" hidden="1" thickBot="1">
      <c r="AE1504" s="798"/>
      <c r="AF1504" s="777"/>
      <c r="AH1504" s="101">
        <f t="shared" si="230"/>
        <v>1000000</v>
      </c>
      <c r="AI1504" s="101">
        <f t="shared" si="229"/>
        <v>1000000</v>
      </c>
      <c r="AJ1504" s="155">
        <v>3</v>
      </c>
      <c r="AK1504" s="121">
        <f t="shared" si="232"/>
        <v>85</v>
      </c>
      <c r="AL1504" s="152">
        <f t="shared" si="231"/>
        <v>566.88280548427224</v>
      </c>
    </row>
    <row r="1505" spans="31:38" ht="15.75" hidden="1" thickBot="1">
      <c r="AE1505" s="798"/>
      <c r="AF1505" s="777"/>
      <c r="AH1505" s="101">
        <f t="shared" si="230"/>
        <v>1000000</v>
      </c>
      <c r="AI1505" s="101">
        <f t="shared" si="229"/>
        <v>1000000</v>
      </c>
      <c r="AJ1505" s="155">
        <v>3</v>
      </c>
      <c r="AK1505" s="121">
        <f t="shared" si="232"/>
        <v>86</v>
      </c>
      <c r="AL1505" s="152">
        <f t="shared" si="231"/>
        <v>564.93601237530652</v>
      </c>
    </row>
    <row r="1506" spans="31:38" ht="15.75" hidden="1" thickBot="1">
      <c r="AE1506" s="798"/>
      <c r="AF1506" s="777"/>
      <c r="AH1506" s="101">
        <f t="shared" si="230"/>
        <v>1000000</v>
      </c>
      <c r="AI1506" s="101">
        <f t="shared" si="229"/>
        <v>1000000</v>
      </c>
      <c r="AJ1506" s="155">
        <v>3</v>
      </c>
      <c r="AK1506" s="121">
        <f t="shared" si="232"/>
        <v>87</v>
      </c>
      <c r="AL1506" s="152">
        <f t="shared" si="231"/>
        <v>562.9892192663408</v>
      </c>
    </row>
    <row r="1507" spans="31:38" ht="15.75" hidden="1" thickBot="1">
      <c r="AE1507" s="798"/>
      <c r="AF1507" s="777"/>
      <c r="AH1507" s="101">
        <f t="shared" si="230"/>
        <v>1000000</v>
      </c>
      <c r="AI1507" s="101">
        <f t="shared" si="229"/>
        <v>1000000</v>
      </c>
      <c r="AJ1507" s="155">
        <v>3</v>
      </c>
      <c r="AK1507" s="121">
        <f t="shared" si="232"/>
        <v>88</v>
      </c>
      <c r="AL1507" s="152">
        <f t="shared" si="231"/>
        <v>561.04242615737508</v>
      </c>
    </row>
    <row r="1508" spans="31:38" ht="15.75" hidden="1" thickBot="1">
      <c r="AE1508" s="798"/>
      <c r="AF1508" s="777"/>
      <c r="AH1508" s="101">
        <f t="shared" si="230"/>
        <v>1000000</v>
      </c>
      <c r="AI1508" s="101">
        <f t="shared" si="229"/>
        <v>1000000</v>
      </c>
      <c r="AJ1508" s="155">
        <v>3</v>
      </c>
      <c r="AK1508" s="121">
        <f t="shared" si="232"/>
        <v>89</v>
      </c>
      <c r="AL1508" s="152">
        <f t="shared" si="231"/>
        <v>559.09563304840935</v>
      </c>
    </row>
    <row r="1509" spans="31:38" ht="15.75" hidden="1" thickBot="1">
      <c r="AE1509" s="798"/>
      <c r="AF1509" s="777"/>
      <c r="AH1509" s="101">
        <f t="shared" si="230"/>
        <v>1000000</v>
      </c>
      <c r="AI1509" s="101">
        <f t="shared" si="229"/>
        <v>1000000</v>
      </c>
      <c r="AJ1509" s="155">
        <v>3</v>
      </c>
      <c r="AK1509" s="121">
        <f t="shared" si="232"/>
        <v>90</v>
      </c>
      <c r="AL1509" s="152">
        <f t="shared" si="231"/>
        <v>557.14883993944352</v>
      </c>
    </row>
    <row r="1510" spans="31:38" ht="15.75" hidden="1" thickBot="1">
      <c r="AE1510" s="798"/>
      <c r="AF1510" s="777"/>
      <c r="AH1510" s="101">
        <f t="shared" si="230"/>
        <v>1000000</v>
      </c>
      <c r="AI1510" s="101">
        <f t="shared" si="229"/>
        <v>1000000</v>
      </c>
      <c r="AJ1510" s="155">
        <v>3</v>
      </c>
      <c r="AK1510" s="121">
        <f t="shared" si="232"/>
        <v>91</v>
      </c>
      <c r="AL1510" s="152">
        <f t="shared" si="231"/>
        <v>555.2020468304778</v>
      </c>
    </row>
    <row r="1511" spans="31:38" ht="15.75" hidden="1" thickBot="1">
      <c r="AE1511" s="798"/>
      <c r="AF1511" s="777"/>
      <c r="AH1511" s="101">
        <f t="shared" si="230"/>
        <v>1000000</v>
      </c>
      <c r="AI1511" s="101">
        <f t="shared" si="229"/>
        <v>1000000</v>
      </c>
      <c r="AJ1511" s="155">
        <v>3</v>
      </c>
      <c r="AK1511" s="121">
        <f t="shared" si="232"/>
        <v>92</v>
      </c>
      <c r="AL1511" s="152">
        <f t="shared" si="231"/>
        <v>553.25525372151196</v>
      </c>
    </row>
    <row r="1512" spans="31:38" ht="15.75" hidden="1" thickBot="1">
      <c r="AE1512" s="798"/>
      <c r="AF1512" s="777"/>
      <c r="AH1512" s="101">
        <f t="shared" si="230"/>
        <v>1000000</v>
      </c>
      <c r="AI1512" s="101">
        <f t="shared" si="229"/>
        <v>1000000</v>
      </c>
      <c r="AJ1512" s="155">
        <v>3</v>
      </c>
      <c r="AK1512" s="121">
        <f t="shared" si="232"/>
        <v>93</v>
      </c>
      <c r="AL1512" s="152">
        <f t="shared" si="231"/>
        <v>551.30846061254624</v>
      </c>
    </row>
    <row r="1513" spans="31:38" ht="15.75" hidden="1" thickBot="1">
      <c r="AE1513" s="798"/>
      <c r="AF1513" s="777"/>
      <c r="AH1513" s="101">
        <f t="shared" si="230"/>
        <v>1000000</v>
      </c>
      <c r="AI1513" s="101">
        <f t="shared" si="229"/>
        <v>1000000</v>
      </c>
      <c r="AJ1513" s="155">
        <v>3</v>
      </c>
      <c r="AK1513" s="121">
        <f t="shared" si="232"/>
        <v>94</v>
      </c>
      <c r="AL1513" s="152">
        <f t="shared" si="231"/>
        <v>549.36166750358052</v>
      </c>
    </row>
    <row r="1514" spans="31:38" ht="15.75" hidden="1" thickBot="1">
      <c r="AE1514" s="798"/>
      <c r="AF1514" s="777"/>
      <c r="AH1514" s="101">
        <f t="shared" si="230"/>
        <v>1000000</v>
      </c>
      <c r="AI1514" s="101">
        <f t="shared" si="229"/>
        <v>1000000</v>
      </c>
      <c r="AJ1514" s="155">
        <v>3</v>
      </c>
      <c r="AK1514" s="121">
        <f t="shared" si="232"/>
        <v>95</v>
      </c>
      <c r="AL1514" s="152">
        <f t="shared" si="231"/>
        <v>547.4148743946148</v>
      </c>
    </row>
    <row r="1515" spans="31:38" ht="15.75" hidden="1" thickBot="1">
      <c r="AE1515" s="798"/>
      <c r="AF1515" s="777"/>
      <c r="AH1515" s="101">
        <f>BE300</f>
        <v>1000000</v>
      </c>
      <c r="AI1515" s="101">
        <f t="shared" si="229"/>
        <v>1000000</v>
      </c>
      <c r="AJ1515" s="155">
        <v>3</v>
      </c>
      <c r="AK1515" s="121">
        <f t="shared" si="232"/>
        <v>96</v>
      </c>
      <c r="AL1515" s="152">
        <f>AB300</f>
        <v>545.46808128564908</v>
      </c>
    </row>
    <row r="1516" spans="31:38" ht="15.75" hidden="1" thickBot="1">
      <c r="AE1516" s="798"/>
      <c r="AF1516" s="777"/>
      <c r="AH1516" s="101">
        <f>BE301</f>
        <v>1000000</v>
      </c>
      <c r="AI1516" s="101">
        <f t="shared" si="229"/>
        <v>1000000</v>
      </c>
      <c r="AJ1516" s="155">
        <v>3</v>
      </c>
      <c r="AK1516" s="121">
        <f t="shared" si="232"/>
        <v>97</v>
      </c>
      <c r="AL1516" s="152">
        <f>AB301</f>
        <v>543.52128817668324</v>
      </c>
    </row>
    <row r="1517" spans="31:38" ht="15.75" hidden="1" thickBot="1">
      <c r="AE1517" s="798"/>
      <c r="AF1517" s="777"/>
      <c r="AH1517" s="101">
        <f>BE302</f>
        <v>1000000</v>
      </c>
      <c r="AI1517" s="101">
        <f t="shared" si="229"/>
        <v>1000000</v>
      </c>
      <c r="AJ1517" s="155">
        <v>3</v>
      </c>
      <c r="AK1517" s="121">
        <f t="shared" si="232"/>
        <v>98</v>
      </c>
      <c r="AL1517" s="152">
        <f>AB302</f>
        <v>541.57449506771741</v>
      </c>
    </row>
    <row r="1518" spans="31:38" ht="15.75" hidden="1" thickBot="1">
      <c r="AE1518" s="798"/>
      <c r="AF1518" s="777"/>
      <c r="AH1518" s="101">
        <f>BE303</f>
        <v>1000000</v>
      </c>
      <c r="AI1518" s="101">
        <f t="shared" si="229"/>
        <v>1000000</v>
      </c>
      <c r="AJ1518" s="155">
        <v>3</v>
      </c>
      <c r="AK1518" s="121">
        <f t="shared" si="232"/>
        <v>99</v>
      </c>
      <c r="AL1518" s="152">
        <f>AB303</f>
        <v>539.62770195875169</v>
      </c>
    </row>
    <row r="1519" spans="31:38" ht="15.75" hidden="1" thickBot="1">
      <c r="AE1519" s="798"/>
      <c r="AF1519" s="778"/>
      <c r="AH1519" s="101">
        <f>BE304</f>
        <v>1000000</v>
      </c>
      <c r="AI1519" s="101">
        <f t="shared" si="229"/>
        <v>1000000</v>
      </c>
      <c r="AJ1519" s="155">
        <v>3</v>
      </c>
      <c r="AK1519" s="121">
        <f t="shared" si="232"/>
        <v>100</v>
      </c>
      <c r="AL1519" s="152">
        <f>AB304</f>
        <v>537.68090884978596</v>
      </c>
    </row>
    <row r="1520" spans="31:38" ht="15.75" hidden="1" thickBot="1">
      <c r="AE1520" s="798"/>
      <c r="AF1520" s="776" t="s">
        <v>287</v>
      </c>
      <c r="AH1520" s="101">
        <f>BL204</f>
        <v>247.65623409481378</v>
      </c>
      <c r="AI1520" s="101">
        <f t="shared" si="229"/>
        <v>247.65623409481378</v>
      </c>
      <c r="AJ1520" s="155">
        <v>4</v>
      </c>
      <c r="AK1520" s="121">
        <v>0</v>
      </c>
      <c r="AL1520" s="152">
        <f t="shared" ref="AL1520:AL1551" si="233">AC204</f>
        <v>915.45027468295189</v>
      </c>
    </row>
    <row r="1521" spans="31:38" ht="15.75" hidden="1" thickBot="1">
      <c r="AE1521" s="798"/>
      <c r="AF1521" s="777"/>
      <c r="AH1521" s="101">
        <f t="shared" ref="AH1521:AH1583" si="234">BL205</f>
        <v>1000000</v>
      </c>
      <c r="AI1521" s="101">
        <f t="shared" si="229"/>
        <v>1000000</v>
      </c>
      <c r="AJ1521" s="155">
        <v>4</v>
      </c>
      <c r="AK1521" s="121">
        <f t="shared" ref="AK1521:AK1584" si="235">AK1520+1</f>
        <v>1</v>
      </c>
      <c r="AL1521" s="152">
        <f t="shared" si="233"/>
        <v>913.01678329674462</v>
      </c>
    </row>
    <row r="1522" spans="31:38" ht="15.75" hidden="1" thickBot="1">
      <c r="AE1522" s="798"/>
      <c r="AF1522" s="777"/>
      <c r="AH1522" s="101">
        <f t="shared" si="234"/>
        <v>1000000</v>
      </c>
      <c r="AI1522" s="101">
        <f t="shared" si="229"/>
        <v>1000000</v>
      </c>
      <c r="AJ1522" s="155">
        <v>4</v>
      </c>
      <c r="AK1522" s="121">
        <f t="shared" si="235"/>
        <v>2</v>
      </c>
      <c r="AL1522" s="152">
        <f t="shared" si="233"/>
        <v>910.58329191053747</v>
      </c>
    </row>
    <row r="1523" spans="31:38" ht="15.75" hidden="1" thickBot="1">
      <c r="AE1523" s="798"/>
      <c r="AF1523" s="777"/>
      <c r="AH1523" s="101">
        <f t="shared" si="234"/>
        <v>1000000</v>
      </c>
      <c r="AI1523" s="101">
        <f t="shared" si="229"/>
        <v>1000000</v>
      </c>
      <c r="AJ1523" s="155">
        <v>4</v>
      </c>
      <c r="AK1523" s="121">
        <f t="shared" si="235"/>
        <v>3</v>
      </c>
      <c r="AL1523" s="152">
        <f t="shared" si="233"/>
        <v>908.14980052433032</v>
      </c>
    </row>
    <row r="1524" spans="31:38" ht="15.75" hidden="1" thickBot="1">
      <c r="AE1524" s="798"/>
      <c r="AF1524" s="777"/>
      <c r="AH1524" s="101">
        <f t="shared" si="234"/>
        <v>1000000</v>
      </c>
      <c r="AI1524" s="101">
        <f t="shared" si="229"/>
        <v>1000000</v>
      </c>
      <c r="AJ1524" s="155">
        <v>4</v>
      </c>
      <c r="AK1524" s="121">
        <f t="shared" si="235"/>
        <v>4</v>
      </c>
      <c r="AL1524" s="152">
        <f t="shared" si="233"/>
        <v>905.71630913812305</v>
      </c>
    </row>
    <row r="1525" spans="31:38" ht="15.75" hidden="1" thickBot="1">
      <c r="AE1525" s="798"/>
      <c r="AF1525" s="777"/>
      <c r="AH1525" s="101">
        <f t="shared" si="234"/>
        <v>1000000</v>
      </c>
      <c r="AI1525" s="101">
        <f t="shared" si="229"/>
        <v>1000000</v>
      </c>
      <c r="AJ1525" s="155">
        <v>4</v>
      </c>
      <c r="AK1525" s="121">
        <f t="shared" si="235"/>
        <v>5</v>
      </c>
      <c r="AL1525" s="152">
        <f t="shared" si="233"/>
        <v>903.2828177519159</v>
      </c>
    </row>
    <row r="1526" spans="31:38" ht="15.75" hidden="1" thickBot="1">
      <c r="AE1526" s="798"/>
      <c r="AF1526" s="777"/>
      <c r="AH1526" s="101">
        <f t="shared" si="234"/>
        <v>1000000</v>
      </c>
      <c r="AI1526" s="101">
        <f t="shared" si="229"/>
        <v>1000000</v>
      </c>
      <c r="AJ1526" s="155">
        <v>4</v>
      </c>
      <c r="AK1526" s="121">
        <f t="shared" si="235"/>
        <v>6</v>
      </c>
      <c r="AL1526" s="152">
        <f t="shared" si="233"/>
        <v>900.84932636570875</v>
      </c>
    </row>
    <row r="1527" spans="31:38" ht="15.75" hidden="1" thickBot="1">
      <c r="AE1527" s="798"/>
      <c r="AF1527" s="777"/>
      <c r="AH1527" s="101">
        <f t="shared" si="234"/>
        <v>1000000</v>
      </c>
      <c r="AI1527" s="101">
        <f t="shared" si="229"/>
        <v>1000000</v>
      </c>
      <c r="AJ1527" s="155">
        <v>4</v>
      </c>
      <c r="AK1527" s="121">
        <f t="shared" si="235"/>
        <v>7</v>
      </c>
      <c r="AL1527" s="152">
        <f t="shared" si="233"/>
        <v>898.4158349795016</v>
      </c>
    </row>
    <row r="1528" spans="31:38" ht="15.75" hidden="1" thickBot="1">
      <c r="AE1528" s="798"/>
      <c r="AF1528" s="777"/>
      <c r="AH1528" s="101">
        <f t="shared" si="234"/>
        <v>1000000</v>
      </c>
      <c r="AI1528" s="101">
        <f t="shared" si="229"/>
        <v>1000000</v>
      </c>
      <c r="AJ1528" s="155">
        <v>4</v>
      </c>
      <c r="AK1528" s="121">
        <f t="shared" si="235"/>
        <v>8</v>
      </c>
      <c r="AL1528" s="152">
        <f t="shared" si="233"/>
        <v>895.98234359329422</v>
      </c>
    </row>
    <row r="1529" spans="31:38" ht="15.75" hidden="1" thickBot="1">
      <c r="AE1529" s="798"/>
      <c r="AF1529" s="777"/>
      <c r="AH1529" s="101">
        <f t="shared" si="234"/>
        <v>1000000</v>
      </c>
      <c r="AI1529" s="101">
        <f t="shared" si="229"/>
        <v>1000000</v>
      </c>
      <c r="AJ1529" s="155">
        <v>4</v>
      </c>
      <c r="AK1529" s="121">
        <f t="shared" si="235"/>
        <v>9</v>
      </c>
      <c r="AL1529" s="152">
        <f t="shared" si="233"/>
        <v>893.54885220708707</v>
      </c>
    </row>
    <row r="1530" spans="31:38" ht="15.75" hidden="1" thickBot="1">
      <c r="AE1530" s="798"/>
      <c r="AF1530" s="777"/>
      <c r="AH1530" s="101">
        <f t="shared" si="234"/>
        <v>1000000</v>
      </c>
      <c r="AI1530" s="101">
        <f t="shared" si="229"/>
        <v>1000000</v>
      </c>
      <c r="AJ1530" s="155">
        <v>4</v>
      </c>
      <c r="AK1530" s="121">
        <f t="shared" si="235"/>
        <v>10</v>
      </c>
      <c r="AL1530" s="152">
        <f t="shared" si="233"/>
        <v>891.11536082087991</v>
      </c>
    </row>
    <row r="1531" spans="31:38" ht="15.75" hidden="1" thickBot="1">
      <c r="AE1531" s="798"/>
      <c r="AF1531" s="777"/>
      <c r="AH1531" s="101">
        <f t="shared" si="234"/>
        <v>1000000</v>
      </c>
      <c r="AI1531" s="101">
        <f t="shared" si="229"/>
        <v>1000000</v>
      </c>
      <c r="AJ1531" s="155">
        <v>4</v>
      </c>
      <c r="AK1531" s="121">
        <f t="shared" si="235"/>
        <v>11</v>
      </c>
      <c r="AL1531" s="152">
        <f t="shared" si="233"/>
        <v>888.68186943467265</v>
      </c>
    </row>
    <row r="1532" spans="31:38" ht="15.75" hidden="1" thickBot="1">
      <c r="AE1532" s="798"/>
      <c r="AF1532" s="777"/>
      <c r="AH1532" s="101">
        <f t="shared" si="234"/>
        <v>1000000</v>
      </c>
      <c r="AI1532" s="101">
        <f t="shared" si="229"/>
        <v>1000000</v>
      </c>
      <c r="AJ1532" s="155">
        <v>4</v>
      </c>
      <c r="AK1532" s="121">
        <f t="shared" si="235"/>
        <v>12</v>
      </c>
      <c r="AL1532" s="152">
        <f t="shared" si="233"/>
        <v>886.2483780484655</v>
      </c>
    </row>
    <row r="1533" spans="31:38" ht="15.75" hidden="1" thickBot="1">
      <c r="AE1533" s="798"/>
      <c r="AF1533" s="777"/>
      <c r="AH1533" s="101">
        <f t="shared" si="234"/>
        <v>1000000</v>
      </c>
      <c r="AI1533" s="101">
        <f t="shared" si="229"/>
        <v>1000000</v>
      </c>
      <c r="AJ1533" s="155">
        <v>4</v>
      </c>
      <c r="AK1533" s="121">
        <f t="shared" si="235"/>
        <v>13</v>
      </c>
      <c r="AL1533" s="152">
        <f t="shared" si="233"/>
        <v>883.81488666225835</v>
      </c>
    </row>
    <row r="1534" spans="31:38" ht="15.75" hidden="1" thickBot="1">
      <c r="AE1534" s="798"/>
      <c r="AF1534" s="777"/>
      <c r="AH1534" s="101">
        <f t="shared" si="234"/>
        <v>1000000</v>
      </c>
      <c r="AI1534" s="101">
        <f t="shared" si="229"/>
        <v>1000000</v>
      </c>
      <c r="AJ1534" s="155">
        <v>4</v>
      </c>
      <c r="AK1534" s="121">
        <f t="shared" si="235"/>
        <v>14</v>
      </c>
      <c r="AL1534" s="152">
        <f t="shared" si="233"/>
        <v>881.38139527605119</v>
      </c>
    </row>
    <row r="1535" spans="31:38" ht="15.75" hidden="1" thickBot="1">
      <c r="AE1535" s="798"/>
      <c r="AF1535" s="777"/>
      <c r="AH1535" s="101">
        <f t="shared" si="234"/>
        <v>1000000</v>
      </c>
      <c r="AI1535" s="101">
        <f t="shared" si="229"/>
        <v>1000000</v>
      </c>
      <c r="AJ1535" s="155">
        <v>4</v>
      </c>
      <c r="AK1535" s="121">
        <f t="shared" si="235"/>
        <v>15</v>
      </c>
      <c r="AL1535" s="152">
        <f t="shared" si="233"/>
        <v>878.94790388984393</v>
      </c>
    </row>
    <row r="1536" spans="31:38" ht="15.75" hidden="1" thickBot="1">
      <c r="AE1536" s="798"/>
      <c r="AF1536" s="777"/>
      <c r="AH1536" s="101">
        <f t="shared" si="234"/>
        <v>1000000</v>
      </c>
      <c r="AI1536" s="101">
        <f t="shared" si="229"/>
        <v>1000000</v>
      </c>
      <c r="AJ1536" s="155">
        <v>4</v>
      </c>
      <c r="AK1536" s="121">
        <f t="shared" si="235"/>
        <v>16</v>
      </c>
      <c r="AL1536" s="152">
        <f t="shared" si="233"/>
        <v>876.51441250363678</v>
      </c>
    </row>
    <row r="1537" spans="31:38" ht="15.75" hidden="1" thickBot="1">
      <c r="AE1537" s="798"/>
      <c r="AF1537" s="777"/>
      <c r="AH1537" s="101">
        <f t="shared" si="234"/>
        <v>1000000</v>
      </c>
      <c r="AI1537" s="101">
        <f t="shared" ref="AI1537:AI1600" si="236">IF(AL1537&lt;$D$85,0,AH1537)</f>
        <v>1000000</v>
      </c>
      <c r="AJ1537" s="155">
        <v>4</v>
      </c>
      <c r="AK1537" s="121">
        <f t="shared" si="235"/>
        <v>17</v>
      </c>
      <c r="AL1537" s="152">
        <f t="shared" si="233"/>
        <v>874.0809211174294</v>
      </c>
    </row>
    <row r="1538" spans="31:38" ht="15.75" hidden="1" thickBot="1">
      <c r="AE1538" s="798"/>
      <c r="AF1538" s="777"/>
      <c r="AH1538" s="101">
        <f t="shared" si="234"/>
        <v>1000000</v>
      </c>
      <c r="AI1538" s="101">
        <f t="shared" si="236"/>
        <v>1000000</v>
      </c>
      <c r="AJ1538" s="155">
        <v>4</v>
      </c>
      <c r="AK1538" s="121">
        <f t="shared" si="235"/>
        <v>18</v>
      </c>
      <c r="AL1538" s="152">
        <f t="shared" si="233"/>
        <v>871.64742973122225</v>
      </c>
    </row>
    <row r="1539" spans="31:38" ht="15.75" hidden="1" thickBot="1">
      <c r="AE1539" s="798"/>
      <c r="AF1539" s="777"/>
      <c r="AH1539" s="101">
        <f t="shared" si="234"/>
        <v>1000000</v>
      </c>
      <c r="AI1539" s="101">
        <f t="shared" si="236"/>
        <v>1000000</v>
      </c>
      <c r="AJ1539" s="155">
        <v>4</v>
      </c>
      <c r="AK1539" s="121">
        <f t="shared" si="235"/>
        <v>19</v>
      </c>
      <c r="AL1539" s="152">
        <f t="shared" si="233"/>
        <v>869.21393834501509</v>
      </c>
    </row>
    <row r="1540" spans="31:38" ht="15.75" hidden="1" thickBot="1">
      <c r="AE1540" s="798"/>
      <c r="AF1540" s="777"/>
      <c r="AH1540" s="101">
        <f t="shared" si="234"/>
        <v>1000000</v>
      </c>
      <c r="AI1540" s="101">
        <f t="shared" si="236"/>
        <v>1000000</v>
      </c>
      <c r="AJ1540" s="155">
        <v>4</v>
      </c>
      <c r="AK1540" s="121">
        <f t="shared" si="235"/>
        <v>20</v>
      </c>
      <c r="AL1540" s="152">
        <f t="shared" si="233"/>
        <v>866.78044695880794</v>
      </c>
    </row>
    <row r="1541" spans="31:38" ht="15.75" hidden="1" thickBot="1">
      <c r="AE1541" s="798"/>
      <c r="AF1541" s="777"/>
      <c r="AH1541" s="101">
        <f t="shared" si="234"/>
        <v>1000000</v>
      </c>
      <c r="AI1541" s="101">
        <f t="shared" si="236"/>
        <v>1000000</v>
      </c>
      <c r="AJ1541" s="155">
        <v>4</v>
      </c>
      <c r="AK1541" s="121">
        <f t="shared" si="235"/>
        <v>21</v>
      </c>
      <c r="AL1541" s="152">
        <f t="shared" si="233"/>
        <v>864.34695557260079</v>
      </c>
    </row>
    <row r="1542" spans="31:38" ht="15.75" hidden="1" thickBot="1">
      <c r="AE1542" s="798"/>
      <c r="AF1542" s="777"/>
      <c r="AH1542" s="101">
        <f t="shared" si="234"/>
        <v>1000000</v>
      </c>
      <c r="AI1542" s="101">
        <f t="shared" si="236"/>
        <v>1000000</v>
      </c>
      <c r="AJ1542" s="155">
        <v>4</v>
      </c>
      <c r="AK1542" s="121">
        <f t="shared" si="235"/>
        <v>22</v>
      </c>
      <c r="AL1542" s="152">
        <f t="shared" si="233"/>
        <v>861.91346418639353</v>
      </c>
    </row>
    <row r="1543" spans="31:38" ht="15.75" hidden="1" thickBot="1">
      <c r="AE1543" s="798"/>
      <c r="AF1543" s="777"/>
      <c r="AH1543" s="101">
        <f t="shared" si="234"/>
        <v>1000000</v>
      </c>
      <c r="AI1543" s="101">
        <f t="shared" si="236"/>
        <v>1000000</v>
      </c>
      <c r="AJ1543" s="155">
        <v>4</v>
      </c>
      <c r="AK1543" s="121">
        <f t="shared" si="235"/>
        <v>23</v>
      </c>
      <c r="AL1543" s="152">
        <f t="shared" si="233"/>
        <v>859.47997280018637</v>
      </c>
    </row>
    <row r="1544" spans="31:38" ht="15.75" hidden="1" thickBot="1">
      <c r="AE1544" s="798"/>
      <c r="AF1544" s="777"/>
      <c r="AH1544" s="101">
        <f t="shared" si="234"/>
        <v>1000000</v>
      </c>
      <c r="AI1544" s="101">
        <f t="shared" si="236"/>
        <v>1000000</v>
      </c>
      <c r="AJ1544" s="155">
        <v>4</v>
      </c>
      <c r="AK1544" s="121">
        <f t="shared" si="235"/>
        <v>24</v>
      </c>
      <c r="AL1544" s="152">
        <f t="shared" si="233"/>
        <v>857.04648141397922</v>
      </c>
    </row>
    <row r="1545" spans="31:38" ht="15.75" hidden="1" thickBot="1">
      <c r="AE1545" s="798"/>
      <c r="AF1545" s="777"/>
      <c r="AH1545" s="101">
        <f t="shared" si="234"/>
        <v>1000000</v>
      </c>
      <c r="AI1545" s="101">
        <f t="shared" si="236"/>
        <v>1000000</v>
      </c>
      <c r="AJ1545" s="155">
        <v>4</v>
      </c>
      <c r="AK1545" s="121">
        <f t="shared" si="235"/>
        <v>25</v>
      </c>
      <c r="AL1545" s="152">
        <f t="shared" si="233"/>
        <v>854.61299002777196</v>
      </c>
    </row>
    <row r="1546" spans="31:38" ht="15.75" hidden="1" thickBot="1">
      <c r="AE1546" s="798"/>
      <c r="AF1546" s="777"/>
      <c r="AH1546" s="101">
        <f t="shared" si="234"/>
        <v>1000000</v>
      </c>
      <c r="AI1546" s="101">
        <f t="shared" si="236"/>
        <v>1000000</v>
      </c>
      <c r="AJ1546" s="155">
        <v>4</v>
      </c>
      <c r="AK1546" s="121">
        <f t="shared" si="235"/>
        <v>26</v>
      </c>
      <c r="AL1546" s="152">
        <f t="shared" si="233"/>
        <v>852.17949864156481</v>
      </c>
    </row>
    <row r="1547" spans="31:38" ht="15.75" hidden="1" thickBot="1">
      <c r="AE1547" s="798"/>
      <c r="AF1547" s="777"/>
      <c r="AH1547" s="101">
        <f t="shared" si="234"/>
        <v>1000000</v>
      </c>
      <c r="AI1547" s="101">
        <f t="shared" si="236"/>
        <v>1000000</v>
      </c>
      <c r="AJ1547" s="155">
        <v>4</v>
      </c>
      <c r="AK1547" s="121">
        <f t="shared" si="235"/>
        <v>27</v>
      </c>
      <c r="AL1547" s="152">
        <f t="shared" si="233"/>
        <v>849.74600725535765</v>
      </c>
    </row>
    <row r="1548" spans="31:38" ht="15.75" hidden="1" thickBot="1">
      <c r="AE1548" s="798"/>
      <c r="AF1548" s="777"/>
      <c r="AH1548" s="101">
        <f t="shared" si="234"/>
        <v>1000000</v>
      </c>
      <c r="AI1548" s="101">
        <f t="shared" si="236"/>
        <v>1000000</v>
      </c>
      <c r="AJ1548" s="155">
        <v>4</v>
      </c>
      <c r="AK1548" s="121">
        <f t="shared" si="235"/>
        <v>28</v>
      </c>
      <c r="AL1548" s="152">
        <f t="shared" si="233"/>
        <v>847.3125158691505</v>
      </c>
    </row>
    <row r="1549" spans="31:38" ht="15.75" hidden="1" thickBot="1">
      <c r="AE1549" s="798"/>
      <c r="AF1549" s="777"/>
      <c r="AH1549" s="101">
        <f t="shared" si="234"/>
        <v>1000000</v>
      </c>
      <c r="AI1549" s="101">
        <f t="shared" si="236"/>
        <v>1000000</v>
      </c>
      <c r="AJ1549" s="155">
        <v>4</v>
      </c>
      <c r="AK1549" s="121">
        <f t="shared" si="235"/>
        <v>29</v>
      </c>
      <c r="AL1549" s="152">
        <f t="shared" si="233"/>
        <v>844.87902448294324</v>
      </c>
    </row>
    <row r="1550" spans="31:38" ht="15.75" hidden="1" thickBot="1">
      <c r="AE1550" s="798"/>
      <c r="AF1550" s="777"/>
      <c r="AH1550" s="101">
        <f t="shared" si="234"/>
        <v>1000000</v>
      </c>
      <c r="AI1550" s="101">
        <f t="shared" si="236"/>
        <v>1000000</v>
      </c>
      <c r="AJ1550" s="155">
        <v>4</v>
      </c>
      <c r="AK1550" s="121">
        <f t="shared" si="235"/>
        <v>30</v>
      </c>
      <c r="AL1550" s="152">
        <f t="shared" si="233"/>
        <v>842.44553309673597</v>
      </c>
    </row>
    <row r="1551" spans="31:38" ht="15.75" hidden="1" thickBot="1">
      <c r="AE1551" s="798"/>
      <c r="AF1551" s="777"/>
      <c r="AH1551" s="101">
        <f t="shared" si="234"/>
        <v>1000000</v>
      </c>
      <c r="AI1551" s="101">
        <f t="shared" si="236"/>
        <v>1000000</v>
      </c>
      <c r="AJ1551" s="155">
        <v>4</v>
      </c>
      <c r="AK1551" s="121">
        <f t="shared" si="235"/>
        <v>31</v>
      </c>
      <c r="AL1551" s="152">
        <f t="shared" si="233"/>
        <v>840.01204171052882</v>
      </c>
    </row>
    <row r="1552" spans="31:38" ht="15.75" hidden="1" thickBot="1">
      <c r="AE1552" s="798"/>
      <c r="AF1552" s="777"/>
      <c r="AH1552" s="101">
        <f t="shared" si="234"/>
        <v>1000000</v>
      </c>
      <c r="AI1552" s="101">
        <f t="shared" si="236"/>
        <v>1000000</v>
      </c>
      <c r="AJ1552" s="155">
        <v>4</v>
      </c>
      <c r="AK1552" s="121">
        <f t="shared" si="235"/>
        <v>32</v>
      </c>
      <c r="AL1552" s="152">
        <f t="shared" ref="AL1552:AL1583" si="237">AC236</f>
        <v>837.57855032432167</v>
      </c>
    </row>
    <row r="1553" spans="31:38" ht="15.75" hidden="1" thickBot="1">
      <c r="AE1553" s="798"/>
      <c r="AF1553" s="777"/>
      <c r="AH1553" s="101">
        <f t="shared" si="234"/>
        <v>1000000</v>
      </c>
      <c r="AI1553" s="101">
        <f t="shared" si="236"/>
        <v>1000000</v>
      </c>
      <c r="AJ1553" s="155">
        <v>4</v>
      </c>
      <c r="AK1553" s="121">
        <f t="shared" si="235"/>
        <v>33</v>
      </c>
      <c r="AL1553" s="152">
        <f t="shared" si="237"/>
        <v>835.14505893811452</v>
      </c>
    </row>
    <row r="1554" spans="31:38" ht="15.75" hidden="1" thickBot="1">
      <c r="AE1554" s="798"/>
      <c r="AF1554" s="777"/>
      <c r="AH1554" s="101">
        <f t="shared" si="234"/>
        <v>1000000</v>
      </c>
      <c r="AI1554" s="101">
        <f t="shared" si="236"/>
        <v>1000000</v>
      </c>
      <c r="AJ1554" s="155">
        <v>4</v>
      </c>
      <c r="AK1554" s="121">
        <f t="shared" si="235"/>
        <v>34</v>
      </c>
      <c r="AL1554" s="152">
        <f t="shared" si="237"/>
        <v>832.71156755190736</v>
      </c>
    </row>
    <row r="1555" spans="31:38" ht="15.75" hidden="1" thickBot="1">
      <c r="AE1555" s="798"/>
      <c r="AF1555" s="777"/>
      <c r="AH1555" s="101">
        <f t="shared" si="234"/>
        <v>1000000</v>
      </c>
      <c r="AI1555" s="101">
        <f t="shared" si="236"/>
        <v>1000000</v>
      </c>
      <c r="AJ1555" s="155">
        <v>4</v>
      </c>
      <c r="AK1555" s="121">
        <f t="shared" si="235"/>
        <v>35</v>
      </c>
      <c r="AL1555" s="152">
        <f t="shared" si="237"/>
        <v>830.27807616569999</v>
      </c>
    </row>
    <row r="1556" spans="31:38" ht="15.75" hidden="1" thickBot="1">
      <c r="AE1556" s="798"/>
      <c r="AF1556" s="777"/>
      <c r="AH1556" s="101">
        <f t="shared" si="234"/>
        <v>1000000</v>
      </c>
      <c r="AI1556" s="101">
        <f t="shared" si="236"/>
        <v>1000000</v>
      </c>
      <c r="AJ1556" s="155">
        <v>4</v>
      </c>
      <c r="AK1556" s="121">
        <f t="shared" si="235"/>
        <v>36</v>
      </c>
      <c r="AL1556" s="152">
        <f t="shared" si="237"/>
        <v>827.84458477949283</v>
      </c>
    </row>
    <row r="1557" spans="31:38" ht="15.75" hidden="1" thickBot="1">
      <c r="AE1557" s="798"/>
      <c r="AF1557" s="777"/>
      <c r="AH1557" s="101">
        <f t="shared" si="234"/>
        <v>1000000</v>
      </c>
      <c r="AI1557" s="101">
        <f t="shared" si="236"/>
        <v>1000000</v>
      </c>
      <c r="AJ1557" s="155">
        <v>4</v>
      </c>
      <c r="AK1557" s="121">
        <f t="shared" si="235"/>
        <v>37</v>
      </c>
      <c r="AL1557" s="152">
        <f t="shared" si="237"/>
        <v>825.41109339328568</v>
      </c>
    </row>
    <row r="1558" spans="31:38" ht="15.75" hidden="1" thickBot="1">
      <c r="AE1558" s="798"/>
      <c r="AF1558" s="777"/>
      <c r="AH1558" s="101">
        <f t="shared" si="234"/>
        <v>1000000</v>
      </c>
      <c r="AI1558" s="101">
        <f t="shared" si="236"/>
        <v>1000000</v>
      </c>
      <c r="AJ1558" s="155">
        <v>4</v>
      </c>
      <c r="AK1558" s="121">
        <f t="shared" si="235"/>
        <v>38</v>
      </c>
      <c r="AL1558" s="152">
        <f t="shared" si="237"/>
        <v>822.97760200707842</v>
      </c>
    </row>
    <row r="1559" spans="31:38" ht="15.75" hidden="1" thickBot="1">
      <c r="AE1559" s="798"/>
      <c r="AF1559" s="777"/>
      <c r="AH1559" s="101">
        <f t="shared" si="234"/>
        <v>1000000</v>
      </c>
      <c r="AI1559" s="101">
        <f t="shared" si="236"/>
        <v>1000000</v>
      </c>
      <c r="AJ1559" s="155">
        <v>4</v>
      </c>
      <c r="AK1559" s="121">
        <f t="shared" si="235"/>
        <v>39</v>
      </c>
      <c r="AL1559" s="152">
        <f t="shared" si="237"/>
        <v>820.54411062087127</v>
      </c>
    </row>
    <row r="1560" spans="31:38" ht="15.75" hidden="1" thickBot="1">
      <c r="AE1560" s="798"/>
      <c r="AF1560" s="777"/>
      <c r="AH1560" s="101">
        <f t="shared" si="234"/>
        <v>1000000</v>
      </c>
      <c r="AI1560" s="101">
        <f t="shared" si="236"/>
        <v>1000000</v>
      </c>
      <c r="AJ1560" s="155">
        <v>4</v>
      </c>
      <c r="AK1560" s="121">
        <f t="shared" si="235"/>
        <v>40</v>
      </c>
      <c r="AL1560" s="152">
        <f t="shared" si="237"/>
        <v>818.11061923466411</v>
      </c>
    </row>
    <row r="1561" spans="31:38" ht="15.75" hidden="1" thickBot="1">
      <c r="AE1561" s="798"/>
      <c r="AF1561" s="777"/>
      <c r="AH1561" s="101">
        <f t="shared" si="234"/>
        <v>1000000</v>
      </c>
      <c r="AI1561" s="101">
        <f t="shared" si="236"/>
        <v>1000000</v>
      </c>
      <c r="AJ1561" s="155">
        <v>4</v>
      </c>
      <c r="AK1561" s="121">
        <f t="shared" si="235"/>
        <v>41</v>
      </c>
      <c r="AL1561" s="152">
        <f t="shared" si="237"/>
        <v>815.67712784845696</v>
      </c>
    </row>
    <row r="1562" spans="31:38" ht="15.75" hidden="1" thickBot="1">
      <c r="AE1562" s="798"/>
      <c r="AF1562" s="777"/>
      <c r="AH1562" s="101">
        <f t="shared" si="234"/>
        <v>1000000</v>
      </c>
      <c r="AI1562" s="101">
        <f t="shared" si="236"/>
        <v>1000000</v>
      </c>
      <c r="AJ1562" s="155">
        <v>4</v>
      </c>
      <c r="AK1562" s="121">
        <f t="shared" si="235"/>
        <v>42</v>
      </c>
      <c r="AL1562" s="152">
        <f t="shared" si="237"/>
        <v>813.2436364622497</v>
      </c>
    </row>
    <row r="1563" spans="31:38" ht="15.75" hidden="1" thickBot="1">
      <c r="AE1563" s="798"/>
      <c r="AF1563" s="777"/>
      <c r="AH1563" s="101">
        <f t="shared" si="234"/>
        <v>1000000</v>
      </c>
      <c r="AI1563" s="101">
        <f t="shared" si="236"/>
        <v>1000000</v>
      </c>
      <c r="AJ1563" s="155">
        <v>4</v>
      </c>
      <c r="AK1563" s="121">
        <f t="shared" si="235"/>
        <v>43</v>
      </c>
      <c r="AL1563" s="152">
        <f t="shared" si="237"/>
        <v>810.81014507604255</v>
      </c>
    </row>
    <row r="1564" spans="31:38" ht="15.75" hidden="1" thickBot="1">
      <c r="AE1564" s="798"/>
      <c r="AF1564" s="777"/>
      <c r="AH1564" s="101">
        <f t="shared" si="234"/>
        <v>1000000</v>
      </c>
      <c r="AI1564" s="101">
        <f t="shared" si="236"/>
        <v>1000000</v>
      </c>
      <c r="AJ1564" s="155">
        <v>4</v>
      </c>
      <c r="AK1564" s="121">
        <f t="shared" si="235"/>
        <v>44</v>
      </c>
      <c r="AL1564" s="152">
        <f t="shared" si="237"/>
        <v>808.37665368983539</v>
      </c>
    </row>
    <row r="1565" spans="31:38" ht="15.75" hidden="1" thickBot="1">
      <c r="AE1565" s="798"/>
      <c r="AF1565" s="777"/>
      <c r="AH1565" s="101">
        <f t="shared" si="234"/>
        <v>1000000</v>
      </c>
      <c r="AI1565" s="101">
        <f t="shared" si="236"/>
        <v>1000000</v>
      </c>
      <c r="AJ1565" s="155">
        <v>4</v>
      </c>
      <c r="AK1565" s="121">
        <f t="shared" si="235"/>
        <v>45</v>
      </c>
      <c r="AL1565" s="152">
        <f t="shared" si="237"/>
        <v>805.94316230362801</v>
      </c>
    </row>
    <row r="1566" spans="31:38" ht="15.75" hidden="1" thickBot="1">
      <c r="AE1566" s="798"/>
      <c r="AF1566" s="777"/>
      <c r="AH1566" s="101">
        <f t="shared" si="234"/>
        <v>1000000</v>
      </c>
      <c r="AI1566" s="101">
        <f t="shared" si="236"/>
        <v>1000000</v>
      </c>
      <c r="AJ1566" s="155">
        <v>4</v>
      </c>
      <c r="AK1566" s="121">
        <f t="shared" si="235"/>
        <v>46</v>
      </c>
      <c r="AL1566" s="152">
        <f t="shared" si="237"/>
        <v>803.50967091742086</v>
      </c>
    </row>
    <row r="1567" spans="31:38" ht="15.75" hidden="1" thickBot="1">
      <c r="AE1567" s="798"/>
      <c r="AF1567" s="777"/>
      <c r="AH1567" s="101">
        <f t="shared" si="234"/>
        <v>1000000</v>
      </c>
      <c r="AI1567" s="101">
        <f t="shared" si="236"/>
        <v>1000000</v>
      </c>
      <c r="AJ1567" s="155">
        <v>4</v>
      </c>
      <c r="AK1567" s="121">
        <f t="shared" si="235"/>
        <v>47</v>
      </c>
      <c r="AL1567" s="152">
        <f t="shared" si="237"/>
        <v>801.07617953121371</v>
      </c>
    </row>
    <row r="1568" spans="31:38" ht="15.75" hidden="1" thickBot="1">
      <c r="AE1568" s="798"/>
      <c r="AF1568" s="777"/>
      <c r="AH1568" s="101">
        <f t="shared" si="234"/>
        <v>1000000</v>
      </c>
      <c r="AI1568" s="101">
        <f t="shared" si="236"/>
        <v>1000000</v>
      </c>
      <c r="AJ1568" s="155">
        <v>4</v>
      </c>
      <c r="AK1568" s="121">
        <f t="shared" si="235"/>
        <v>48</v>
      </c>
      <c r="AL1568" s="152">
        <f t="shared" si="237"/>
        <v>798.64268814500656</v>
      </c>
    </row>
    <row r="1569" spans="31:38" ht="15.75" hidden="1" thickBot="1">
      <c r="AE1569" s="798"/>
      <c r="AF1569" s="777"/>
      <c r="AH1569" s="101">
        <f t="shared" si="234"/>
        <v>1000000</v>
      </c>
      <c r="AI1569" s="101">
        <f t="shared" si="236"/>
        <v>1000000</v>
      </c>
      <c r="AJ1569" s="155">
        <v>4</v>
      </c>
      <c r="AK1569" s="121">
        <f t="shared" si="235"/>
        <v>49</v>
      </c>
      <c r="AL1569" s="152">
        <f t="shared" si="237"/>
        <v>796.20919675879941</v>
      </c>
    </row>
    <row r="1570" spans="31:38" ht="15.75" hidden="1" thickBot="1">
      <c r="AE1570" s="798"/>
      <c r="AF1570" s="777"/>
      <c r="AH1570" s="101">
        <f t="shared" si="234"/>
        <v>1000000</v>
      </c>
      <c r="AI1570" s="101">
        <f t="shared" si="236"/>
        <v>1000000</v>
      </c>
      <c r="AJ1570" s="155">
        <v>4</v>
      </c>
      <c r="AK1570" s="121">
        <f t="shared" si="235"/>
        <v>50</v>
      </c>
      <c r="AL1570" s="152">
        <f t="shared" si="237"/>
        <v>793.77570537259214</v>
      </c>
    </row>
    <row r="1571" spans="31:38" ht="15.75" hidden="1" thickBot="1">
      <c r="AE1571" s="798"/>
      <c r="AF1571" s="777"/>
      <c r="AH1571" s="101">
        <f t="shared" si="234"/>
        <v>1000000</v>
      </c>
      <c r="AI1571" s="101">
        <f t="shared" si="236"/>
        <v>1000000</v>
      </c>
      <c r="AJ1571" s="155">
        <v>4</v>
      </c>
      <c r="AK1571" s="121">
        <f t="shared" si="235"/>
        <v>51</v>
      </c>
      <c r="AL1571" s="152">
        <f t="shared" si="237"/>
        <v>791.34221398638488</v>
      </c>
    </row>
    <row r="1572" spans="31:38" ht="15.75" hidden="1" thickBot="1">
      <c r="AE1572" s="798"/>
      <c r="AF1572" s="777"/>
      <c r="AH1572" s="101">
        <f t="shared" si="234"/>
        <v>1000000</v>
      </c>
      <c r="AI1572" s="101">
        <f t="shared" si="236"/>
        <v>1000000</v>
      </c>
      <c r="AJ1572" s="155">
        <v>4</v>
      </c>
      <c r="AK1572" s="121">
        <f t="shared" si="235"/>
        <v>52</v>
      </c>
      <c r="AL1572" s="152">
        <f t="shared" si="237"/>
        <v>788.90872260017773</v>
      </c>
    </row>
    <row r="1573" spans="31:38" ht="15.75" hidden="1" thickBot="1">
      <c r="AE1573" s="798"/>
      <c r="AF1573" s="777"/>
      <c r="AH1573" s="101">
        <f t="shared" si="234"/>
        <v>1000000</v>
      </c>
      <c r="AI1573" s="101">
        <f t="shared" si="236"/>
        <v>1000000</v>
      </c>
      <c r="AJ1573" s="155">
        <v>4</v>
      </c>
      <c r="AK1573" s="121">
        <f t="shared" si="235"/>
        <v>53</v>
      </c>
      <c r="AL1573" s="152">
        <f t="shared" si="237"/>
        <v>786.47523121397057</v>
      </c>
    </row>
    <row r="1574" spans="31:38" ht="15.75" hidden="1" thickBot="1">
      <c r="AE1574" s="798"/>
      <c r="AF1574" s="777"/>
      <c r="AH1574" s="101">
        <f t="shared" si="234"/>
        <v>1000000</v>
      </c>
      <c r="AI1574" s="101">
        <f t="shared" si="236"/>
        <v>1000000</v>
      </c>
      <c r="AJ1574" s="155">
        <v>4</v>
      </c>
      <c r="AK1574" s="121">
        <f t="shared" si="235"/>
        <v>54</v>
      </c>
      <c r="AL1574" s="152">
        <f t="shared" si="237"/>
        <v>784.04173982776342</v>
      </c>
    </row>
    <row r="1575" spans="31:38" ht="15.75" hidden="1" thickBot="1">
      <c r="AE1575" s="798"/>
      <c r="AF1575" s="777"/>
      <c r="AH1575" s="101">
        <f t="shared" si="234"/>
        <v>1000000</v>
      </c>
      <c r="AI1575" s="101">
        <f t="shared" si="236"/>
        <v>1000000</v>
      </c>
      <c r="AJ1575" s="155">
        <v>4</v>
      </c>
      <c r="AK1575" s="121">
        <f t="shared" si="235"/>
        <v>55</v>
      </c>
      <c r="AL1575" s="152">
        <f t="shared" si="237"/>
        <v>781.60824844155616</v>
      </c>
    </row>
    <row r="1576" spans="31:38" ht="15.75" hidden="1" thickBot="1">
      <c r="AE1576" s="798"/>
      <c r="AF1576" s="777"/>
      <c r="AH1576" s="101">
        <f t="shared" si="234"/>
        <v>1000000</v>
      </c>
      <c r="AI1576" s="101">
        <f t="shared" si="236"/>
        <v>1000000</v>
      </c>
      <c r="AJ1576" s="155">
        <v>4</v>
      </c>
      <c r="AK1576" s="121">
        <f t="shared" si="235"/>
        <v>56</v>
      </c>
      <c r="AL1576" s="152">
        <f t="shared" si="237"/>
        <v>779.174757055349</v>
      </c>
    </row>
    <row r="1577" spans="31:38" ht="15.75" hidden="1" thickBot="1">
      <c r="AE1577" s="798"/>
      <c r="AF1577" s="777"/>
      <c r="AH1577" s="101">
        <f t="shared" si="234"/>
        <v>1000000</v>
      </c>
      <c r="AI1577" s="101">
        <f t="shared" si="236"/>
        <v>1000000</v>
      </c>
      <c r="AJ1577" s="155">
        <v>4</v>
      </c>
      <c r="AK1577" s="121">
        <f t="shared" si="235"/>
        <v>57</v>
      </c>
      <c r="AL1577" s="152">
        <f t="shared" si="237"/>
        <v>776.74126566914185</v>
      </c>
    </row>
    <row r="1578" spans="31:38" ht="15.75" hidden="1" thickBot="1">
      <c r="AE1578" s="798"/>
      <c r="AF1578" s="777"/>
      <c r="AH1578" s="101">
        <f t="shared" si="234"/>
        <v>1000000</v>
      </c>
      <c r="AI1578" s="101">
        <f t="shared" si="236"/>
        <v>1000000</v>
      </c>
      <c r="AJ1578" s="155">
        <v>4</v>
      </c>
      <c r="AK1578" s="121">
        <f t="shared" si="235"/>
        <v>58</v>
      </c>
      <c r="AL1578" s="152">
        <f t="shared" si="237"/>
        <v>774.30777428293459</v>
      </c>
    </row>
    <row r="1579" spans="31:38" ht="15.75" hidden="1" thickBot="1">
      <c r="AE1579" s="798"/>
      <c r="AF1579" s="777"/>
      <c r="AH1579" s="101">
        <f t="shared" si="234"/>
        <v>1000000</v>
      </c>
      <c r="AI1579" s="101">
        <f t="shared" si="236"/>
        <v>1000000</v>
      </c>
      <c r="AJ1579" s="155">
        <v>4</v>
      </c>
      <c r="AK1579" s="121">
        <f t="shared" si="235"/>
        <v>59</v>
      </c>
      <c r="AL1579" s="152">
        <f t="shared" si="237"/>
        <v>771.87428289672744</v>
      </c>
    </row>
    <row r="1580" spans="31:38" ht="15.75" hidden="1" thickBot="1">
      <c r="AE1580" s="798"/>
      <c r="AF1580" s="777"/>
      <c r="AH1580" s="101">
        <f t="shared" si="234"/>
        <v>1000000</v>
      </c>
      <c r="AI1580" s="101">
        <f t="shared" si="236"/>
        <v>1000000</v>
      </c>
      <c r="AJ1580" s="155">
        <v>4</v>
      </c>
      <c r="AK1580" s="121">
        <f t="shared" si="235"/>
        <v>60</v>
      </c>
      <c r="AL1580" s="152">
        <f t="shared" si="237"/>
        <v>769.44079151052028</v>
      </c>
    </row>
    <row r="1581" spans="31:38" ht="15.75" hidden="1" thickBot="1">
      <c r="AE1581" s="798"/>
      <c r="AF1581" s="777"/>
      <c r="AH1581" s="101">
        <f t="shared" si="234"/>
        <v>1000000</v>
      </c>
      <c r="AI1581" s="101">
        <f t="shared" si="236"/>
        <v>1000000</v>
      </c>
      <c r="AJ1581" s="155">
        <v>4</v>
      </c>
      <c r="AK1581" s="121">
        <f t="shared" si="235"/>
        <v>61</v>
      </c>
      <c r="AL1581" s="152">
        <f t="shared" si="237"/>
        <v>767.00730012431313</v>
      </c>
    </row>
    <row r="1582" spans="31:38" ht="15.75" hidden="1" thickBot="1">
      <c r="AE1582" s="798"/>
      <c r="AF1582" s="777"/>
      <c r="AH1582" s="101">
        <f t="shared" si="234"/>
        <v>1000000</v>
      </c>
      <c r="AI1582" s="101">
        <f t="shared" si="236"/>
        <v>1000000</v>
      </c>
      <c r="AJ1582" s="155">
        <v>4</v>
      </c>
      <c r="AK1582" s="121">
        <f t="shared" si="235"/>
        <v>62</v>
      </c>
      <c r="AL1582" s="152">
        <f t="shared" si="237"/>
        <v>764.57380873810598</v>
      </c>
    </row>
    <row r="1583" spans="31:38" ht="15.75" hidden="1" thickBot="1">
      <c r="AE1583" s="798"/>
      <c r="AF1583" s="777"/>
      <c r="AH1583" s="101">
        <f t="shared" si="234"/>
        <v>1000000</v>
      </c>
      <c r="AI1583" s="101">
        <f t="shared" si="236"/>
        <v>1000000</v>
      </c>
      <c r="AJ1583" s="155">
        <v>4</v>
      </c>
      <c r="AK1583" s="121">
        <f t="shared" si="235"/>
        <v>63</v>
      </c>
      <c r="AL1583" s="152">
        <f t="shared" si="237"/>
        <v>762.1403173518986</v>
      </c>
    </row>
    <row r="1584" spans="31:38" ht="15.75" hidden="1" thickBot="1">
      <c r="AE1584" s="798"/>
      <c r="AF1584" s="777"/>
      <c r="AH1584" s="101">
        <f t="shared" ref="AH1584:AH1620" si="238">BL268</f>
        <v>1000000</v>
      </c>
      <c r="AI1584" s="101">
        <f t="shared" si="236"/>
        <v>1000000</v>
      </c>
      <c r="AJ1584" s="155">
        <v>4</v>
      </c>
      <c r="AK1584" s="121">
        <f t="shared" si="235"/>
        <v>64</v>
      </c>
      <c r="AL1584" s="152">
        <f t="shared" ref="AL1584:AL1615" si="239">AC268</f>
        <v>759.70682596569145</v>
      </c>
    </row>
    <row r="1585" spans="31:38" ht="15.75" hidden="1" thickBot="1">
      <c r="AE1585" s="798"/>
      <c r="AF1585" s="777"/>
      <c r="AH1585" s="101">
        <f t="shared" si="238"/>
        <v>1000000</v>
      </c>
      <c r="AI1585" s="101">
        <f t="shared" si="236"/>
        <v>1000000</v>
      </c>
      <c r="AJ1585" s="155">
        <v>4</v>
      </c>
      <c r="AK1585" s="121">
        <f t="shared" ref="AK1585:AK1620" si="240">AK1584+1</f>
        <v>65</v>
      </c>
      <c r="AL1585" s="152">
        <f t="shared" si="239"/>
        <v>757.27333457948419</v>
      </c>
    </row>
    <row r="1586" spans="31:38" ht="15.75" hidden="1" thickBot="1">
      <c r="AE1586" s="798"/>
      <c r="AF1586" s="777"/>
      <c r="AH1586" s="101">
        <f t="shared" si="238"/>
        <v>1000000</v>
      </c>
      <c r="AI1586" s="101">
        <f t="shared" si="236"/>
        <v>1000000</v>
      </c>
      <c r="AJ1586" s="155">
        <v>4</v>
      </c>
      <c r="AK1586" s="121">
        <f t="shared" si="240"/>
        <v>66</v>
      </c>
      <c r="AL1586" s="152">
        <f t="shared" si="239"/>
        <v>754.83984319327703</v>
      </c>
    </row>
    <row r="1587" spans="31:38" ht="15.75" hidden="1" thickBot="1">
      <c r="AE1587" s="798"/>
      <c r="AF1587" s="777"/>
      <c r="AH1587" s="101">
        <f t="shared" si="238"/>
        <v>1000000</v>
      </c>
      <c r="AI1587" s="101">
        <f t="shared" si="236"/>
        <v>1000000</v>
      </c>
      <c r="AJ1587" s="155">
        <v>4</v>
      </c>
      <c r="AK1587" s="121">
        <f t="shared" si="240"/>
        <v>67</v>
      </c>
      <c r="AL1587" s="152">
        <f t="shared" si="239"/>
        <v>752.40635180706988</v>
      </c>
    </row>
    <row r="1588" spans="31:38" ht="15.75" hidden="1" thickBot="1">
      <c r="AE1588" s="798"/>
      <c r="AF1588" s="777"/>
      <c r="AH1588" s="101">
        <f t="shared" si="238"/>
        <v>1000000</v>
      </c>
      <c r="AI1588" s="101">
        <f t="shared" si="236"/>
        <v>1000000</v>
      </c>
      <c r="AJ1588" s="155">
        <v>4</v>
      </c>
      <c r="AK1588" s="121">
        <f t="shared" si="240"/>
        <v>68</v>
      </c>
      <c r="AL1588" s="152">
        <f t="shared" si="239"/>
        <v>749.97286042086262</v>
      </c>
    </row>
    <row r="1589" spans="31:38" ht="15.75" hidden="1" thickBot="1">
      <c r="AE1589" s="798"/>
      <c r="AF1589" s="777"/>
      <c r="AH1589" s="101">
        <f t="shared" si="238"/>
        <v>1000000</v>
      </c>
      <c r="AI1589" s="101">
        <f t="shared" si="236"/>
        <v>1000000</v>
      </c>
      <c r="AJ1589" s="155">
        <v>4</v>
      </c>
      <c r="AK1589" s="121">
        <f t="shared" si="240"/>
        <v>69</v>
      </c>
      <c r="AL1589" s="152">
        <f t="shared" si="239"/>
        <v>747.53936903465546</v>
      </c>
    </row>
    <row r="1590" spans="31:38" ht="15.75" hidden="1" thickBot="1">
      <c r="AE1590" s="798"/>
      <c r="AF1590" s="777"/>
      <c r="AH1590" s="101">
        <f t="shared" si="238"/>
        <v>1000000</v>
      </c>
      <c r="AI1590" s="101">
        <f t="shared" si="236"/>
        <v>1000000</v>
      </c>
      <c r="AJ1590" s="155">
        <v>4</v>
      </c>
      <c r="AK1590" s="121">
        <f t="shared" si="240"/>
        <v>70</v>
      </c>
      <c r="AL1590" s="152">
        <f t="shared" si="239"/>
        <v>745.10587764844831</v>
      </c>
    </row>
    <row r="1591" spans="31:38" ht="15.75" hidden="1" thickBot="1">
      <c r="AE1591" s="798"/>
      <c r="AF1591" s="777"/>
      <c r="AH1591" s="101">
        <f t="shared" si="238"/>
        <v>1000000</v>
      </c>
      <c r="AI1591" s="101">
        <f t="shared" si="236"/>
        <v>1000000</v>
      </c>
      <c r="AJ1591" s="155">
        <v>4</v>
      </c>
      <c r="AK1591" s="121">
        <f t="shared" si="240"/>
        <v>71</v>
      </c>
      <c r="AL1591" s="152">
        <f t="shared" si="239"/>
        <v>742.67238626224116</v>
      </c>
    </row>
    <row r="1592" spans="31:38" ht="15.75" hidden="1" thickBot="1">
      <c r="AE1592" s="798"/>
      <c r="AF1592" s="777"/>
      <c r="AH1592" s="101">
        <f t="shared" si="238"/>
        <v>1000000</v>
      </c>
      <c r="AI1592" s="101">
        <f t="shared" si="236"/>
        <v>1000000</v>
      </c>
      <c r="AJ1592" s="155">
        <v>4</v>
      </c>
      <c r="AK1592" s="121">
        <f t="shared" si="240"/>
        <v>72</v>
      </c>
      <c r="AL1592" s="152">
        <f t="shared" si="239"/>
        <v>740.23889487603378</v>
      </c>
    </row>
    <row r="1593" spans="31:38" ht="15.75" hidden="1" thickBot="1">
      <c r="AE1593" s="798"/>
      <c r="AF1593" s="777"/>
      <c r="AH1593" s="101">
        <f t="shared" si="238"/>
        <v>1000000</v>
      </c>
      <c r="AI1593" s="101">
        <f t="shared" si="236"/>
        <v>1000000</v>
      </c>
      <c r="AJ1593" s="155">
        <v>4</v>
      </c>
      <c r="AK1593" s="121">
        <f t="shared" si="240"/>
        <v>73</v>
      </c>
      <c r="AL1593" s="152">
        <f t="shared" si="239"/>
        <v>737.80540348982663</v>
      </c>
    </row>
    <row r="1594" spans="31:38" ht="15.75" hidden="1" thickBot="1">
      <c r="AE1594" s="798"/>
      <c r="AF1594" s="777"/>
      <c r="AH1594" s="101">
        <f t="shared" si="238"/>
        <v>1000000</v>
      </c>
      <c r="AI1594" s="101">
        <f t="shared" si="236"/>
        <v>1000000</v>
      </c>
      <c r="AJ1594" s="155">
        <v>4</v>
      </c>
      <c r="AK1594" s="121">
        <f t="shared" si="240"/>
        <v>74</v>
      </c>
      <c r="AL1594" s="152">
        <f t="shared" si="239"/>
        <v>735.37191210361948</v>
      </c>
    </row>
    <row r="1595" spans="31:38" ht="15.75" hidden="1" thickBot="1">
      <c r="AE1595" s="798"/>
      <c r="AF1595" s="777"/>
      <c r="AH1595" s="101">
        <f t="shared" si="238"/>
        <v>1000000</v>
      </c>
      <c r="AI1595" s="101">
        <f t="shared" si="236"/>
        <v>1000000</v>
      </c>
      <c r="AJ1595" s="155">
        <v>4</v>
      </c>
      <c r="AK1595" s="121">
        <f t="shared" si="240"/>
        <v>75</v>
      </c>
      <c r="AL1595" s="152">
        <f t="shared" si="239"/>
        <v>732.93842071741233</v>
      </c>
    </row>
    <row r="1596" spans="31:38" ht="15.75" hidden="1" thickBot="1">
      <c r="AE1596" s="798"/>
      <c r="AF1596" s="777"/>
      <c r="AH1596" s="101">
        <f t="shared" si="238"/>
        <v>1000000</v>
      </c>
      <c r="AI1596" s="101">
        <f t="shared" si="236"/>
        <v>1000000</v>
      </c>
      <c r="AJ1596" s="155">
        <v>4</v>
      </c>
      <c r="AK1596" s="121">
        <f t="shared" si="240"/>
        <v>76</v>
      </c>
      <c r="AL1596" s="152">
        <f t="shared" si="239"/>
        <v>730.50492933120506</v>
      </c>
    </row>
    <row r="1597" spans="31:38" ht="15.75" hidden="1" thickBot="1">
      <c r="AE1597" s="798"/>
      <c r="AF1597" s="777"/>
      <c r="AH1597" s="101">
        <f t="shared" si="238"/>
        <v>1000000</v>
      </c>
      <c r="AI1597" s="101">
        <f t="shared" si="236"/>
        <v>1000000</v>
      </c>
      <c r="AJ1597" s="155">
        <v>4</v>
      </c>
      <c r="AK1597" s="121">
        <f t="shared" si="240"/>
        <v>77</v>
      </c>
      <c r="AL1597" s="152">
        <f t="shared" si="239"/>
        <v>728.07143794499791</v>
      </c>
    </row>
    <row r="1598" spans="31:38" ht="15.75" hidden="1" thickBot="1">
      <c r="AE1598" s="798"/>
      <c r="AF1598" s="777"/>
      <c r="AH1598" s="101">
        <f t="shared" si="238"/>
        <v>1000000</v>
      </c>
      <c r="AI1598" s="101">
        <f t="shared" si="236"/>
        <v>1000000</v>
      </c>
      <c r="AJ1598" s="155">
        <v>4</v>
      </c>
      <c r="AK1598" s="121">
        <f t="shared" si="240"/>
        <v>78</v>
      </c>
      <c r="AL1598" s="152">
        <f t="shared" si="239"/>
        <v>725.63794655879076</v>
      </c>
    </row>
    <row r="1599" spans="31:38" ht="15.75" hidden="1" thickBot="1">
      <c r="AE1599" s="798"/>
      <c r="AF1599" s="777"/>
      <c r="AH1599" s="101">
        <f t="shared" si="238"/>
        <v>1000000</v>
      </c>
      <c r="AI1599" s="101">
        <f t="shared" si="236"/>
        <v>1000000</v>
      </c>
      <c r="AJ1599" s="155">
        <v>4</v>
      </c>
      <c r="AK1599" s="121">
        <f t="shared" si="240"/>
        <v>79</v>
      </c>
      <c r="AL1599" s="152">
        <f t="shared" si="239"/>
        <v>723.20445517258349</v>
      </c>
    </row>
    <row r="1600" spans="31:38" ht="15.75" hidden="1" thickBot="1">
      <c r="AE1600" s="798"/>
      <c r="AF1600" s="777"/>
      <c r="AH1600" s="101">
        <f t="shared" si="238"/>
        <v>1000000</v>
      </c>
      <c r="AI1600" s="101">
        <f t="shared" si="236"/>
        <v>1000000</v>
      </c>
      <c r="AJ1600" s="155">
        <v>4</v>
      </c>
      <c r="AK1600" s="121">
        <f t="shared" si="240"/>
        <v>80</v>
      </c>
      <c r="AL1600" s="152">
        <f t="shared" si="239"/>
        <v>720.77096378637634</v>
      </c>
    </row>
    <row r="1601" spans="31:38" ht="15.75" hidden="1" thickBot="1">
      <c r="AE1601" s="798"/>
      <c r="AF1601" s="777"/>
      <c r="AH1601" s="101">
        <f t="shared" si="238"/>
        <v>1000000</v>
      </c>
      <c r="AI1601" s="101">
        <f t="shared" ref="AI1601:AI1620" si="241">IF(AL1601&lt;$D$85,0,AH1601)</f>
        <v>1000000</v>
      </c>
      <c r="AJ1601" s="155">
        <v>4</v>
      </c>
      <c r="AK1601" s="121">
        <f t="shared" si="240"/>
        <v>81</v>
      </c>
      <c r="AL1601" s="152">
        <f t="shared" si="239"/>
        <v>718.33747240016919</v>
      </c>
    </row>
    <row r="1602" spans="31:38" ht="15.75" hidden="1" thickBot="1">
      <c r="AE1602" s="798"/>
      <c r="AF1602" s="777"/>
      <c r="AH1602" s="101">
        <f t="shared" si="238"/>
        <v>1000000</v>
      </c>
      <c r="AI1602" s="101">
        <f t="shared" si="241"/>
        <v>1000000</v>
      </c>
      <c r="AJ1602" s="155">
        <v>4</v>
      </c>
      <c r="AK1602" s="121">
        <f t="shared" si="240"/>
        <v>82</v>
      </c>
      <c r="AL1602" s="152">
        <f t="shared" si="239"/>
        <v>715.90398101396192</v>
      </c>
    </row>
    <row r="1603" spans="31:38" ht="15.75" hidden="1" thickBot="1">
      <c r="AE1603" s="798"/>
      <c r="AF1603" s="777"/>
      <c r="AH1603" s="101">
        <f t="shared" si="238"/>
        <v>1000000</v>
      </c>
      <c r="AI1603" s="101">
        <f t="shared" si="241"/>
        <v>1000000</v>
      </c>
      <c r="AJ1603" s="155">
        <v>4</v>
      </c>
      <c r="AK1603" s="121">
        <f t="shared" si="240"/>
        <v>83</v>
      </c>
      <c r="AL1603" s="152">
        <f t="shared" si="239"/>
        <v>713.47048962775477</v>
      </c>
    </row>
    <row r="1604" spans="31:38" ht="15.75" hidden="1" thickBot="1">
      <c r="AE1604" s="798"/>
      <c r="AF1604" s="777"/>
      <c r="AH1604" s="101">
        <f t="shared" si="238"/>
        <v>1000000</v>
      </c>
      <c r="AI1604" s="101">
        <f t="shared" si="241"/>
        <v>1000000</v>
      </c>
      <c r="AJ1604" s="155">
        <v>4</v>
      </c>
      <c r="AK1604" s="121">
        <f t="shared" si="240"/>
        <v>84</v>
      </c>
      <c r="AL1604" s="152">
        <f t="shared" si="239"/>
        <v>711.03699824154762</v>
      </c>
    </row>
    <row r="1605" spans="31:38" ht="15.75" hidden="1" thickBot="1">
      <c r="AE1605" s="798"/>
      <c r="AF1605" s="777"/>
      <c r="AH1605" s="101">
        <f t="shared" si="238"/>
        <v>1000000</v>
      </c>
      <c r="AI1605" s="101">
        <f t="shared" si="241"/>
        <v>1000000</v>
      </c>
      <c r="AJ1605" s="155">
        <v>4</v>
      </c>
      <c r="AK1605" s="121">
        <f t="shared" si="240"/>
        <v>85</v>
      </c>
      <c r="AL1605" s="152">
        <f t="shared" si="239"/>
        <v>708.60350685534036</v>
      </c>
    </row>
    <row r="1606" spans="31:38" ht="15.75" hidden="1" thickBot="1">
      <c r="AE1606" s="798"/>
      <c r="AF1606" s="777"/>
      <c r="AH1606" s="101">
        <f t="shared" si="238"/>
        <v>1000000</v>
      </c>
      <c r="AI1606" s="101">
        <f t="shared" si="241"/>
        <v>1000000</v>
      </c>
      <c r="AJ1606" s="155">
        <v>4</v>
      </c>
      <c r="AK1606" s="121">
        <f t="shared" si="240"/>
        <v>86</v>
      </c>
      <c r="AL1606" s="152">
        <f t="shared" si="239"/>
        <v>706.1700154691332</v>
      </c>
    </row>
    <row r="1607" spans="31:38" ht="15.75" hidden="1" thickBot="1">
      <c r="AE1607" s="798"/>
      <c r="AF1607" s="777"/>
      <c r="AH1607" s="101">
        <f t="shared" si="238"/>
        <v>1000000</v>
      </c>
      <c r="AI1607" s="101">
        <f t="shared" si="241"/>
        <v>1000000</v>
      </c>
      <c r="AJ1607" s="155">
        <v>4</v>
      </c>
      <c r="AK1607" s="121">
        <f t="shared" si="240"/>
        <v>87</v>
      </c>
      <c r="AL1607" s="152">
        <f t="shared" si="239"/>
        <v>703.73652408292605</v>
      </c>
    </row>
    <row r="1608" spans="31:38" ht="15.75" hidden="1" thickBot="1">
      <c r="AE1608" s="798"/>
      <c r="AF1608" s="777"/>
      <c r="AH1608" s="101">
        <f t="shared" si="238"/>
        <v>1000000</v>
      </c>
      <c r="AI1608" s="101">
        <f t="shared" si="241"/>
        <v>1000000</v>
      </c>
      <c r="AJ1608" s="155">
        <v>4</v>
      </c>
      <c r="AK1608" s="121">
        <f t="shared" si="240"/>
        <v>88</v>
      </c>
      <c r="AL1608" s="152">
        <f t="shared" si="239"/>
        <v>701.3030326967189</v>
      </c>
    </row>
    <row r="1609" spans="31:38" ht="15.75" hidden="1" thickBot="1">
      <c r="AE1609" s="798"/>
      <c r="AF1609" s="777"/>
      <c r="AH1609" s="101">
        <f t="shared" si="238"/>
        <v>1000000</v>
      </c>
      <c r="AI1609" s="101">
        <f t="shared" si="241"/>
        <v>1000000</v>
      </c>
      <c r="AJ1609" s="155">
        <v>4</v>
      </c>
      <c r="AK1609" s="121">
        <f t="shared" si="240"/>
        <v>89</v>
      </c>
      <c r="AL1609" s="152">
        <f t="shared" si="239"/>
        <v>698.86954131051175</v>
      </c>
    </row>
    <row r="1610" spans="31:38" ht="15.75" hidden="1" thickBot="1">
      <c r="AE1610" s="798"/>
      <c r="AF1610" s="777"/>
      <c r="AH1610" s="101">
        <f t="shared" si="238"/>
        <v>1000000</v>
      </c>
      <c r="AI1610" s="101">
        <f t="shared" si="241"/>
        <v>1000000</v>
      </c>
      <c r="AJ1610" s="155">
        <v>4</v>
      </c>
      <c r="AK1610" s="121">
        <f t="shared" si="240"/>
        <v>90</v>
      </c>
      <c r="AL1610" s="152">
        <f t="shared" si="239"/>
        <v>696.43604992430437</v>
      </c>
    </row>
    <row r="1611" spans="31:38" ht="15.75" hidden="1" thickBot="1">
      <c r="AE1611" s="798"/>
      <c r="AF1611" s="777"/>
      <c r="AH1611" s="101">
        <f t="shared" si="238"/>
        <v>1000000</v>
      </c>
      <c r="AI1611" s="101">
        <f t="shared" si="241"/>
        <v>1000000</v>
      </c>
      <c r="AJ1611" s="155">
        <v>4</v>
      </c>
      <c r="AK1611" s="121">
        <f t="shared" si="240"/>
        <v>91</v>
      </c>
      <c r="AL1611" s="152">
        <f t="shared" si="239"/>
        <v>694.00255853809722</v>
      </c>
    </row>
    <row r="1612" spans="31:38" ht="15.75" hidden="1" thickBot="1">
      <c r="AE1612" s="798"/>
      <c r="AF1612" s="777"/>
      <c r="AH1612" s="101">
        <f t="shared" si="238"/>
        <v>1000000</v>
      </c>
      <c r="AI1612" s="101">
        <f t="shared" si="241"/>
        <v>1000000</v>
      </c>
      <c r="AJ1612" s="155">
        <v>4</v>
      </c>
      <c r="AK1612" s="121">
        <f t="shared" si="240"/>
        <v>92</v>
      </c>
      <c r="AL1612" s="152">
        <f t="shared" si="239"/>
        <v>691.56906715188995</v>
      </c>
    </row>
    <row r="1613" spans="31:38" ht="15.75" hidden="1" thickBot="1">
      <c r="AE1613" s="798"/>
      <c r="AF1613" s="777"/>
      <c r="AH1613" s="101">
        <f t="shared" si="238"/>
        <v>1000000</v>
      </c>
      <c r="AI1613" s="101">
        <f t="shared" si="241"/>
        <v>1000000</v>
      </c>
      <c r="AJ1613" s="155">
        <v>4</v>
      </c>
      <c r="AK1613" s="121">
        <f t="shared" si="240"/>
        <v>93</v>
      </c>
      <c r="AL1613" s="152">
        <f t="shared" si="239"/>
        <v>689.1355757656828</v>
      </c>
    </row>
    <row r="1614" spans="31:38" ht="15.75" hidden="1" thickBot="1">
      <c r="AE1614" s="798"/>
      <c r="AF1614" s="777"/>
      <c r="AH1614" s="101">
        <f t="shared" si="238"/>
        <v>1000000</v>
      </c>
      <c r="AI1614" s="101">
        <f t="shared" si="241"/>
        <v>1000000</v>
      </c>
      <c r="AJ1614" s="155">
        <v>4</v>
      </c>
      <c r="AK1614" s="121">
        <f t="shared" si="240"/>
        <v>94</v>
      </c>
      <c r="AL1614" s="152">
        <f t="shared" si="239"/>
        <v>686.70208437947565</v>
      </c>
    </row>
    <row r="1615" spans="31:38" ht="15.75" hidden="1" thickBot="1">
      <c r="AE1615" s="798"/>
      <c r="AF1615" s="777"/>
      <c r="AH1615" s="101">
        <f t="shared" si="238"/>
        <v>1000000</v>
      </c>
      <c r="AI1615" s="101">
        <f t="shared" si="241"/>
        <v>1000000</v>
      </c>
      <c r="AJ1615" s="155">
        <v>4</v>
      </c>
      <c r="AK1615" s="121">
        <f t="shared" si="240"/>
        <v>95</v>
      </c>
      <c r="AL1615" s="152">
        <f t="shared" si="239"/>
        <v>684.2685929932685</v>
      </c>
    </row>
    <row r="1616" spans="31:38" ht="15.75" hidden="1" thickBot="1">
      <c r="AE1616" s="798"/>
      <c r="AF1616" s="777"/>
      <c r="AH1616" s="101">
        <f t="shared" si="238"/>
        <v>1000000</v>
      </c>
      <c r="AI1616" s="101">
        <f t="shared" si="241"/>
        <v>1000000</v>
      </c>
      <c r="AJ1616" s="155">
        <v>4</v>
      </c>
      <c r="AK1616" s="121">
        <f t="shared" si="240"/>
        <v>96</v>
      </c>
      <c r="AL1616" s="152">
        <f>AC300</f>
        <v>681.83510160706135</v>
      </c>
    </row>
    <row r="1617" spans="31:38" ht="15.75" hidden="1" thickBot="1">
      <c r="AE1617" s="798"/>
      <c r="AF1617" s="777"/>
      <c r="AH1617" s="101">
        <f t="shared" si="238"/>
        <v>1000000</v>
      </c>
      <c r="AI1617" s="101">
        <f t="shared" si="241"/>
        <v>1000000</v>
      </c>
      <c r="AJ1617" s="155">
        <v>4</v>
      </c>
      <c r="AK1617" s="121">
        <f t="shared" si="240"/>
        <v>97</v>
      </c>
      <c r="AL1617" s="152">
        <f>AC301</f>
        <v>679.40161022085408</v>
      </c>
    </row>
    <row r="1618" spans="31:38" ht="15.75" hidden="1" thickBot="1">
      <c r="AE1618" s="798"/>
      <c r="AF1618" s="777"/>
      <c r="AH1618" s="101">
        <f t="shared" si="238"/>
        <v>1000000</v>
      </c>
      <c r="AI1618" s="101">
        <f t="shared" si="241"/>
        <v>1000000</v>
      </c>
      <c r="AJ1618" s="155">
        <v>4</v>
      </c>
      <c r="AK1618" s="121">
        <f t="shared" si="240"/>
        <v>98</v>
      </c>
      <c r="AL1618" s="152">
        <f>AC302</f>
        <v>676.9681188346467</v>
      </c>
    </row>
    <row r="1619" spans="31:38" ht="15.75" hidden="1" thickBot="1">
      <c r="AE1619" s="798"/>
      <c r="AF1619" s="777"/>
      <c r="AH1619" s="101">
        <f t="shared" si="238"/>
        <v>1000000</v>
      </c>
      <c r="AI1619" s="101">
        <f t="shared" si="241"/>
        <v>1000000</v>
      </c>
      <c r="AJ1619" s="155">
        <v>4</v>
      </c>
      <c r="AK1619" s="121">
        <f t="shared" si="240"/>
        <v>99</v>
      </c>
      <c r="AL1619" s="152">
        <f>AC303</f>
        <v>674.53462744843955</v>
      </c>
    </row>
    <row r="1620" spans="31:38" ht="15.75" hidden="1" thickBot="1">
      <c r="AE1620" s="799"/>
      <c r="AF1620" s="778"/>
      <c r="AH1620" s="101">
        <f t="shared" si="238"/>
        <v>1000000</v>
      </c>
      <c r="AI1620" s="101">
        <f t="shared" si="241"/>
        <v>1000000</v>
      </c>
      <c r="AJ1620" s="155">
        <v>4</v>
      </c>
      <c r="AK1620" s="156">
        <f t="shared" si="240"/>
        <v>100</v>
      </c>
      <c r="AL1620" s="161">
        <f>AC304</f>
        <v>672.1011360622324</v>
      </c>
    </row>
    <row r="1621" spans="31:38" ht="15.75" hidden="1" thickBot="1">
      <c r="AE1621" s="794" t="s">
        <v>255</v>
      </c>
      <c r="AF1621" s="776" t="s">
        <v>289</v>
      </c>
      <c r="AH1621" s="101">
        <f>AQ305</f>
        <v>153.12345540579446</v>
      </c>
      <c r="AI1621" s="101">
        <f t="shared" ref="AI1621:AI1684" si="242">IF(AL1621&lt;$D$88,0,AH1621)</f>
        <v>153.12345540579446</v>
      </c>
      <c r="AJ1621" s="153">
        <v>1</v>
      </c>
      <c r="AK1621" s="131">
        <v>0</v>
      </c>
      <c r="AL1621" s="157">
        <f t="shared" ref="AL1621:AL1652" si="243">Z305</f>
        <v>463.04461238314747</v>
      </c>
    </row>
    <row r="1622" spans="31:38" ht="15.75" hidden="1" thickBot="1">
      <c r="AE1622" s="795"/>
      <c r="AF1622" s="777"/>
      <c r="AH1622" s="101">
        <f t="shared" ref="AH1622:AH1685" si="244">AQ306</f>
        <v>1000000</v>
      </c>
      <c r="AI1622" s="101">
        <f t="shared" si="242"/>
        <v>1000000</v>
      </c>
      <c r="AJ1622" s="153">
        <v>1</v>
      </c>
      <c r="AK1622" s="121">
        <f t="shared" ref="AK1622:AK1685" si="245">AK1621+1</f>
        <v>1</v>
      </c>
      <c r="AL1622" s="158">
        <f t="shared" si="243"/>
        <v>461.72932079439977</v>
      </c>
    </row>
    <row r="1623" spans="31:38" ht="15.75" hidden="1" thickBot="1">
      <c r="AE1623" s="795"/>
      <c r="AF1623" s="777"/>
      <c r="AH1623" s="101">
        <f t="shared" si="244"/>
        <v>1000000</v>
      </c>
      <c r="AI1623" s="101">
        <f t="shared" si="242"/>
        <v>1000000</v>
      </c>
      <c r="AJ1623" s="153">
        <v>1</v>
      </c>
      <c r="AK1623" s="121">
        <f t="shared" si="245"/>
        <v>2</v>
      </c>
      <c r="AL1623" s="158">
        <f t="shared" si="243"/>
        <v>460.41402920565213</v>
      </c>
    </row>
    <row r="1624" spans="31:38" ht="15.75" hidden="1" thickBot="1">
      <c r="AE1624" s="795"/>
      <c r="AF1624" s="777"/>
      <c r="AH1624" s="101">
        <f t="shared" si="244"/>
        <v>1000000</v>
      </c>
      <c r="AI1624" s="101">
        <f t="shared" si="242"/>
        <v>1000000</v>
      </c>
      <c r="AJ1624" s="153">
        <v>1</v>
      </c>
      <c r="AK1624" s="121">
        <f t="shared" si="245"/>
        <v>3</v>
      </c>
      <c r="AL1624" s="158">
        <f t="shared" si="243"/>
        <v>459.09873761690449</v>
      </c>
    </row>
    <row r="1625" spans="31:38" ht="15.75" hidden="1" thickBot="1">
      <c r="AE1625" s="795"/>
      <c r="AF1625" s="777"/>
      <c r="AH1625" s="101">
        <f t="shared" si="244"/>
        <v>1000000</v>
      </c>
      <c r="AI1625" s="101">
        <f t="shared" si="242"/>
        <v>1000000</v>
      </c>
      <c r="AJ1625" s="153">
        <v>1</v>
      </c>
      <c r="AK1625" s="121">
        <f t="shared" si="245"/>
        <v>4</v>
      </c>
      <c r="AL1625" s="158">
        <f t="shared" si="243"/>
        <v>457.78344602815679</v>
      </c>
    </row>
    <row r="1626" spans="31:38" ht="15.75" hidden="1" thickBot="1">
      <c r="AE1626" s="795"/>
      <c r="AF1626" s="777"/>
      <c r="AH1626" s="101">
        <f t="shared" si="244"/>
        <v>1000000</v>
      </c>
      <c r="AI1626" s="101">
        <f t="shared" si="242"/>
        <v>1000000</v>
      </c>
      <c r="AJ1626" s="153">
        <v>1</v>
      </c>
      <c r="AK1626" s="121">
        <f t="shared" si="245"/>
        <v>5</v>
      </c>
      <c r="AL1626" s="158">
        <f t="shared" si="243"/>
        <v>456.46815443940909</v>
      </c>
    </row>
    <row r="1627" spans="31:38" ht="15.75" hidden="1" thickBot="1">
      <c r="AE1627" s="795"/>
      <c r="AF1627" s="777"/>
      <c r="AH1627" s="101">
        <f t="shared" si="244"/>
        <v>1000000</v>
      </c>
      <c r="AI1627" s="101">
        <f t="shared" si="242"/>
        <v>1000000</v>
      </c>
      <c r="AJ1627" s="153">
        <v>1</v>
      </c>
      <c r="AK1627" s="121">
        <f t="shared" si="245"/>
        <v>6</v>
      </c>
      <c r="AL1627" s="158">
        <f t="shared" si="243"/>
        <v>455.15286285066145</v>
      </c>
    </row>
    <row r="1628" spans="31:38" ht="15.75" hidden="1" thickBot="1">
      <c r="AE1628" s="795"/>
      <c r="AF1628" s="777"/>
      <c r="AH1628" s="101">
        <f t="shared" si="244"/>
        <v>1000000</v>
      </c>
      <c r="AI1628" s="101">
        <f t="shared" si="242"/>
        <v>1000000</v>
      </c>
      <c r="AJ1628" s="153">
        <v>1</v>
      </c>
      <c r="AK1628" s="121">
        <f t="shared" si="245"/>
        <v>7</v>
      </c>
      <c r="AL1628" s="158">
        <f t="shared" si="243"/>
        <v>453.83757126191375</v>
      </c>
    </row>
    <row r="1629" spans="31:38" ht="15.75" hidden="1" thickBot="1">
      <c r="AE1629" s="795"/>
      <c r="AF1629" s="777"/>
      <c r="AH1629" s="101">
        <f t="shared" si="244"/>
        <v>1000000</v>
      </c>
      <c r="AI1629" s="101">
        <f t="shared" si="242"/>
        <v>1000000</v>
      </c>
      <c r="AJ1629" s="153">
        <v>1</v>
      </c>
      <c r="AK1629" s="121">
        <f t="shared" si="245"/>
        <v>8</v>
      </c>
      <c r="AL1629" s="158">
        <f t="shared" si="243"/>
        <v>452.52227967316611</v>
      </c>
    </row>
    <row r="1630" spans="31:38" ht="15.75" hidden="1" thickBot="1">
      <c r="AE1630" s="795"/>
      <c r="AF1630" s="777"/>
      <c r="AH1630" s="101">
        <f t="shared" si="244"/>
        <v>1000000</v>
      </c>
      <c r="AI1630" s="101">
        <f t="shared" si="242"/>
        <v>1000000</v>
      </c>
      <c r="AJ1630" s="153">
        <v>1</v>
      </c>
      <c r="AK1630" s="121">
        <f t="shared" si="245"/>
        <v>9</v>
      </c>
      <c r="AL1630" s="158">
        <f t="shared" si="243"/>
        <v>451.20698808441841</v>
      </c>
    </row>
    <row r="1631" spans="31:38" ht="15.75" hidden="1" thickBot="1">
      <c r="AE1631" s="795"/>
      <c r="AF1631" s="777"/>
      <c r="AH1631" s="101">
        <f t="shared" si="244"/>
        <v>1000000</v>
      </c>
      <c r="AI1631" s="101">
        <f t="shared" si="242"/>
        <v>1000000</v>
      </c>
      <c r="AJ1631" s="153">
        <v>1</v>
      </c>
      <c r="AK1631" s="121">
        <f t="shared" si="245"/>
        <v>10</v>
      </c>
      <c r="AL1631" s="158">
        <f t="shared" si="243"/>
        <v>449.89169649567077</v>
      </c>
    </row>
    <row r="1632" spans="31:38" ht="15.75" hidden="1" thickBot="1">
      <c r="AE1632" s="795"/>
      <c r="AF1632" s="777"/>
      <c r="AH1632" s="101">
        <f t="shared" si="244"/>
        <v>1000000</v>
      </c>
      <c r="AI1632" s="101">
        <f t="shared" si="242"/>
        <v>1000000</v>
      </c>
      <c r="AJ1632" s="153">
        <v>1</v>
      </c>
      <c r="AK1632" s="121">
        <f t="shared" si="245"/>
        <v>11</v>
      </c>
      <c r="AL1632" s="158">
        <f t="shared" si="243"/>
        <v>448.57640490692313</v>
      </c>
    </row>
    <row r="1633" spans="31:38" ht="15.75" hidden="1" thickBot="1">
      <c r="AE1633" s="795"/>
      <c r="AF1633" s="777"/>
      <c r="AH1633" s="101">
        <f t="shared" si="244"/>
        <v>1000000</v>
      </c>
      <c r="AI1633" s="101">
        <f t="shared" si="242"/>
        <v>1000000</v>
      </c>
      <c r="AJ1633" s="153">
        <v>1</v>
      </c>
      <c r="AK1633" s="121">
        <f t="shared" si="245"/>
        <v>12</v>
      </c>
      <c r="AL1633" s="158">
        <f t="shared" si="243"/>
        <v>447.26111331817543</v>
      </c>
    </row>
    <row r="1634" spans="31:38" ht="15.75" hidden="1" thickBot="1">
      <c r="AE1634" s="795"/>
      <c r="AF1634" s="777"/>
      <c r="AH1634" s="101">
        <f t="shared" si="244"/>
        <v>1000000</v>
      </c>
      <c r="AI1634" s="101">
        <f t="shared" si="242"/>
        <v>1000000</v>
      </c>
      <c r="AJ1634" s="153">
        <v>1</v>
      </c>
      <c r="AK1634" s="121">
        <f t="shared" si="245"/>
        <v>13</v>
      </c>
      <c r="AL1634" s="158">
        <f t="shared" si="243"/>
        <v>445.94582172942773</v>
      </c>
    </row>
    <row r="1635" spans="31:38" ht="15.75" hidden="1" thickBot="1">
      <c r="AE1635" s="795"/>
      <c r="AF1635" s="777"/>
      <c r="AH1635" s="101">
        <f t="shared" si="244"/>
        <v>1000000</v>
      </c>
      <c r="AI1635" s="101">
        <f t="shared" si="242"/>
        <v>1000000</v>
      </c>
      <c r="AJ1635" s="153">
        <v>1</v>
      </c>
      <c r="AK1635" s="121">
        <f t="shared" si="245"/>
        <v>14</v>
      </c>
      <c r="AL1635" s="158">
        <f t="shared" si="243"/>
        <v>444.63053014068009</v>
      </c>
    </row>
    <row r="1636" spans="31:38" ht="15.75" hidden="1" thickBot="1">
      <c r="AE1636" s="795"/>
      <c r="AF1636" s="777"/>
      <c r="AH1636" s="101">
        <f t="shared" si="244"/>
        <v>1000000</v>
      </c>
      <c r="AI1636" s="101">
        <f t="shared" si="242"/>
        <v>1000000</v>
      </c>
      <c r="AJ1636" s="153">
        <v>1</v>
      </c>
      <c r="AK1636" s="121">
        <f t="shared" si="245"/>
        <v>15</v>
      </c>
      <c r="AL1636" s="158">
        <f t="shared" si="243"/>
        <v>443.3152385519324</v>
      </c>
    </row>
    <row r="1637" spans="31:38" ht="15.75" hidden="1" thickBot="1">
      <c r="AE1637" s="795"/>
      <c r="AF1637" s="777"/>
      <c r="AH1637" s="101">
        <f t="shared" si="244"/>
        <v>1000000</v>
      </c>
      <c r="AI1637" s="101">
        <f t="shared" si="242"/>
        <v>1000000</v>
      </c>
      <c r="AJ1637" s="153">
        <v>1</v>
      </c>
      <c r="AK1637" s="121">
        <f t="shared" si="245"/>
        <v>16</v>
      </c>
      <c r="AL1637" s="158">
        <f t="shared" si="243"/>
        <v>441.99994696318475</v>
      </c>
    </row>
    <row r="1638" spans="31:38" ht="15.75" hidden="1" thickBot="1">
      <c r="AE1638" s="795"/>
      <c r="AF1638" s="777"/>
      <c r="AH1638" s="101">
        <f t="shared" si="244"/>
        <v>1000000</v>
      </c>
      <c r="AI1638" s="101">
        <f t="shared" si="242"/>
        <v>1000000</v>
      </c>
      <c r="AJ1638" s="153">
        <v>1</v>
      </c>
      <c r="AK1638" s="121">
        <f t="shared" si="245"/>
        <v>17</v>
      </c>
      <c r="AL1638" s="158">
        <f t="shared" si="243"/>
        <v>440.68465537443706</v>
      </c>
    </row>
    <row r="1639" spans="31:38" ht="15.75" hidden="1" thickBot="1">
      <c r="AE1639" s="795"/>
      <c r="AF1639" s="777"/>
      <c r="AH1639" s="101">
        <f t="shared" si="244"/>
        <v>1000000</v>
      </c>
      <c r="AI1639" s="101">
        <f t="shared" si="242"/>
        <v>1000000</v>
      </c>
      <c r="AJ1639" s="153">
        <v>1</v>
      </c>
      <c r="AK1639" s="121">
        <f t="shared" si="245"/>
        <v>18</v>
      </c>
      <c r="AL1639" s="158">
        <f t="shared" si="243"/>
        <v>439.36936378568942</v>
      </c>
    </row>
    <row r="1640" spans="31:38" ht="15.75" hidden="1" thickBot="1">
      <c r="AE1640" s="795"/>
      <c r="AF1640" s="777"/>
      <c r="AH1640" s="101">
        <f t="shared" si="244"/>
        <v>1000000</v>
      </c>
      <c r="AI1640" s="101">
        <f t="shared" si="242"/>
        <v>1000000</v>
      </c>
      <c r="AJ1640" s="153">
        <v>1</v>
      </c>
      <c r="AK1640" s="121">
        <f t="shared" si="245"/>
        <v>19</v>
      </c>
      <c r="AL1640" s="158">
        <f t="shared" si="243"/>
        <v>438.05407219694177</v>
      </c>
    </row>
    <row r="1641" spans="31:38" ht="15.75" hidden="1" thickBot="1">
      <c r="AE1641" s="795"/>
      <c r="AF1641" s="777"/>
      <c r="AH1641" s="101">
        <f t="shared" si="244"/>
        <v>1000000</v>
      </c>
      <c r="AI1641" s="101">
        <f t="shared" si="242"/>
        <v>1000000</v>
      </c>
      <c r="AJ1641" s="153">
        <v>1</v>
      </c>
      <c r="AK1641" s="121">
        <f t="shared" si="245"/>
        <v>20</v>
      </c>
      <c r="AL1641" s="158">
        <f t="shared" si="243"/>
        <v>436.73878060819408</v>
      </c>
    </row>
    <row r="1642" spans="31:38" ht="15.75" hidden="1" thickBot="1">
      <c r="AE1642" s="795"/>
      <c r="AF1642" s="777"/>
      <c r="AH1642" s="101">
        <f t="shared" si="244"/>
        <v>1000000</v>
      </c>
      <c r="AI1642" s="101">
        <f t="shared" si="242"/>
        <v>1000000</v>
      </c>
      <c r="AJ1642" s="153">
        <v>1</v>
      </c>
      <c r="AK1642" s="121">
        <f t="shared" si="245"/>
        <v>21</v>
      </c>
      <c r="AL1642" s="158">
        <f t="shared" si="243"/>
        <v>435.42348901944638</v>
      </c>
    </row>
    <row r="1643" spans="31:38" ht="15.75" hidden="1" thickBot="1">
      <c r="AE1643" s="795"/>
      <c r="AF1643" s="777"/>
      <c r="AH1643" s="101">
        <f t="shared" si="244"/>
        <v>1000000</v>
      </c>
      <c r="AI1643" s="101">
        <f t="shared" si="242"/>
        <v>1000000</v>
      </c>
      <c r="AJ1643" s="153">
        <v>1</v>
      </c>
      <c r="AK1643" s="121">
        <f t="shared" si="245"/>
        <v>22</v>
      </c>
      <c r="AL1643" s="158">
        <f t="shared" si="243"/>
        <v>434.10819743069874</v>
      </c>
    </row>
    <row r="1644" spans="31:38" ht="15.75" hidden="1" thickBot="1">
      <c r="AE1644" s="795"/>
      <c r="AF1644" s="777"/>
      <c r="AH1644" s="101">
        <f t="shared" si="244"/>
        <v>1000000</v>
      </c>
      <c r="AI1644" s="101">
        <f t="shared" si="242"/>
        <v>1000000</v>
      </c>
      <c r="AJ1644" s="153">
        <v>1</v>
      </c>
      <c r="AK1644" s="121">
        <f t="shared" si="245"/>
        <v>23</v>
      </c>
      <c r="AL1644" s="158">
        <f t="shared" si="243"/>
        <v>432.79290584195104</v>
      </c>
    </row>
    <row r="1645" spans="31:38" ht="15.75" hidden="1" thickBot="1">
      <c r="AE1645" s="795"/>
      <c r="AF1645" s="777"/>
      <c r="AH1645" s="101">
        <f t="shared" si="244"/>
        <v>1000000</v>
      </c>
      <c r="AI1645" s="101">
        <f t="shared" si="242"/>
        <v>1000000</v>
      </c>
      <c r="AJ1645" s="153">
        <v>1</v>
      </c>
      <c r="AK1645" s="121">
        <f t="shared" si="245"/>
        <v>24</v>
      </c>
      <c r="AL1645" s="158">
        <f t="shared" si="243"/>
        <v>431.4776142532034</v>
      </c>
    </row>
    <row r="1646" spans="31:38" ht="15.75" hidden="1" thickBot="1">
      <c r="AE1646" s="795"/>
      <c r="AF1646" s="777"/>
      <c r="AH1646" s="101">
        <f t="shared" si="244"/>
        <v>1000000</v>
      </c>
      <c r="AI1646" s="101">
        <f t="shared" si="242"/>
        <v>1000000</v>
      </c>
      <c r="AJ1646" s="153">
        <v>1</v>
      </c>
      <c r="AK1646" s="121">
        <f t="shared" si="245"/>
        <v>25</v>
      </c>
      <c r="AL1646" s="158">
        <f t="shared" si="243"/>
        <v>430.1623226644557</v>
      </c>
    </row>
    <row r="1647" spans="31:38" ht="15.75" hidden="1" thickBot="1">
      <c r="AE1647" s="795"/>
      <c r="AF1647" s="777"/>
      <c r="AH1647" s="101">
        <f t="shared" si="244"/>
        <v>1000000</v>
      </c>
      <c r="AI1647" s="101">
        <f t="shared" si="242"/>
        <v>1000000</v>
      </c>
      <c r="AJ1647" s="153">
        <v>1</v>
      </c>
      <c r="AK1647" s="121">
        <f t="shared" si="245"/>
        <v>26</v>
      </c>
      <c r="AL1647" s="158">
        <f t="shared" si="243"/>
        <v>428.84703107570806</v>
      </c>
    </row>
    <row r="1648" spans="31:38" ht="15.75" hidden="1" thickBot="1">
      <c r="AE1648" s="795"/>
      <c r="AF1648" s="777"/>
      <c r="AH1648" s="101">
        <f t="shared" si="244"/>
        <v>1000000</v>
      </c>
      <c r="AI1648" s="101">
        <f t="shared" si="242"/>
        <v>1000000</v>
      </c>
      <c r="AJ1648" s="153">
        <v>1</v>
      </c>
      <c r="AK1648" s="121">
        <f t="shared" si="245"/>
        <v>27</v>
      </c>
      <c r="AL1648" s="158">
        <f t="shared" si="243"/>
        <v>427.53173948696036</v>
      </c>
    </row>
    <row r="1649" spans="31:38" ht="15.75" hidden="1" thickBot="1">
      <c r="AE1649" s="795"/>
      <c r="AF1649" s="777"/>
      <c r="AH1649" s="101">
        <f t="shared" si="244"/>
        <v>1000000</v>
      </c>
      <c r="AI1649" s="101">
        <f t="shared" si="242"/>
        <v>1000000</v>
      </c>
      <c r="AJ1649" s="153">
        <v>1</v>
      </c>
      <c r="AK1649" s="121">
        <f t="shared" si="245"/>
        <v>28</v>
      </c>
      <c r="AL1649" s="158">
        <f t="shared" si="243"/>
        <v>426.21644789821272</v>
      </c>
    </row>
    <row r="1650" spans="31:38" ht="15.75" hidden="1" thickBot="1">
      <c r="AE1650" s="795"/>
      <c r="AF1650" s="777"/>
      <c r="AH1650" s="101">
        <f t="shared" si="244"/>
        <v>1000000</v>
      </c>
      <c r="AI1650" s="101">
        <f t="shared" si="242"/>
        <v>1000000</v>
      </c>
      <c r="AJ1650" s="153">
        <v>1</v>
      </c>
      <c r="AK1650" s="121">
        <f t="shared" si="245"/>
        <v>29</v>
      </c>
      <c r="AL1650" s="158">
        <f t="shared" si="243"/>
        <v>424.90115630946502</v>
      </c>
    </row>
    <row r="1651" spans="31:38" ht="15.75" hidden="1" thickBot="1">
      <c r="AE1651" s="795"/>
      <c r="AF1651" s="777"/>
      <c r="AH1651" s="101">
        <f t="shared" si="244"/>
        <v>1000000</v>
      </c>
      <c r="AI1651" s="101">
        <f t="shared" si="242"/>
        <v>1000000</v>
      </c>
      <c r="AJ1651" s="153">
        <v>1</v>
      </c>
      <c r="AK1651" s="121">
        <f t="shared" si="245"/>
        <v>30</v>
      </c>
      <c r="AL1651" s="158">
        <f t="shared" si="243"/>
        <v>423.58586472071738</v>
      </c>
    </row>
    <row r="1652" spans="31:38" ht="15.75" hidden="1" thickBot="1">
      <c r="AE1652" s="795"/>
      <c r="AF1652" s="777"/>
      <c r="AH1652" s="101">
        <f t="shared" si="244"/>
        <v>1000000</v>
      </c>
      <c r="AI1652" s="101">
        <f t="shared" si="242"/>
        <v>1000000</v>
      </c>
      <c r="AJ1652" s="153">
        <v>1</v>
      </c>
      <c r="AK1652" s="121">
        <f t="shared" si="245"/>
        <v>31</v>
      </c>
      <c r="AL1652" s="158">
        <f t="shared" si="243"/>
        <v>422.27057313196974</v>
      </c>
    </row>
    <row r="1653" spans="31:38" ht="15.75" hidden="1" thickBot="1">
      <c r="AE1653" s="795"/>
      <c r="AF1653" s="777"/>
      <c r="AH1653" s="101">
        <f t="shared" si="244"/>
        <v>1000000</v>
      </c>
      <c r="AI1653" s="101">
        <f t="shared" si="242"/>
        <v>1000000</v>
      </c>
      <c r="AJ1653" s="153">
        <v>1</v>
      </c>
      <c r="AK1653" s="121">
        <f t="shared" si="245"/>
        <v>32</v>
      </c>
      <c r="AL1653" s="158">
        <f t="shared" ref="AL1653:AL1684" si="246">Z337</f>
        <v>420.95528154322199</v>
      </c>
    </row>
    <row r="1654" spans="31:38" ht="15.75" hidden="1" thickBot="1">
      <c r="AE1654" s="795"/>
      <c r="AF1654" s="777"/>
      <c r="AH1654" s="101">
        <f t="shared" si="244"/>
        <v>1000000</v>
      </c>
      <c r="AI1654" s="101">
        <f t="shared" si="242"/>
        <v>1000000</v>
      </c>
      <c r="AJ1654" s="153">
        <v>1</v>
      </c>
      <c r="AK1654" s="121">
        <f t="shared" si="245"/>
        <v>33</v>
      </c>
      <c r="AL1654" s="158">
        <f t="shared" si="246"/>
        <v>419.63998995447434</v>
      </c>
    </row>
    <row r="1655" spans="31:38" ht="15.75" hidden="1" thickBot="1">
      <c r="AE1655" s="795"/>
      <c r="AF1655" s="777"/>
      <c r="AH1655" s="101">
        <f t="shared" si="244"/>
        <v>1000000</v>
      </c>
      <c r="AI1655" s="101">
        <f t="shared" si="242"/>
        <v>1000000</v>
      </c>
      <c r="AJ1655" s="153">
        <v>1</v>
      </c>
      <c r="AK1655" s="121">
        <f t="shared" si="245"/>
        <v>34</v>
      </c>
      <c r="AL1655" s="158">
        <f t="shared" si="246"/>
        <v>418.3246983657267</v>
      </c>
    </row>
    <row r="1656" spans="31:38" ht="15.75" hidden="1" thickBot="1">
      <c r="AE1656" s="795"/>
      <c r="AF1656" s="777"/>
      <c r="AH1656" s="101">
        <f t="shared" si="244"/>
        <v>1000000</v>
      </c>
      <c r="AI1656" s="101">
        <f t="shared" si="242"/>
        <v>1000000</v>
      </c>
      <c r="AJ1656" s="153">
        <v>1</v>
      </c>
      <c r="AK1656" s="121">
        <f t="shared" si="245"/>
        <v>35</v>
      </c>
      <c r="AL1656" s="158">
        <f t="shared" si="246"/>
        <v>417.00940677697901</v>
      </c>
    </row>
    <row r="1657" spans="31:38" ht="15.75" hidden="1" thickBot="1">
      <c r="AE1657" s="795"/>
      <c r="AF1657" s="777"/>
      <c r="AH1657" s="101">
        <f t="shared" si="244"/>
        <v>1000000</v>
      </c>
      <c r="AI1657" s="101">
        <f t="shared" si="242"/>
        <v>1000000</v>
      </c>
      <c r="AJ1657" s="153">
        <v>1</v>
      </c>
      <c r="AK1657" s="121">
        <f t="shared" si="245"/>
        <v>36</v>
      </c>
      <c r="AL1657" s="158">
        <f t="shared" si="246"/>
        <v>415.69411518823136</v>
      </c>
    </row>
    <row r="1658" spans="31:38" ht="15.75" hidden="1" thickBot="1">
      <c r="AE1658" s="795"/>
      <c r="AF1658" s="777"/>
      <c r="AH1658" s="101">
        <f t="shared" si="244"/>
        <v>1000000</v>
      </c>
      <c r="AI1658" s="101">
        <f t="shared" si="242"/>
        <v>1000000</v>
      </c>
      <c r="AJ1658" s="153">
        <v>1</v>
      </c>
      <c r="AK1658" s="121">
        <f t="shared" si="245"/>
        <v>37</v>
      </c>
      <c r="AL1658" s="158">
        <f t="shared" si="246"/>
        <v>414.37882359948367</v>
      </c>
    </row>
    <row r="1659" spans="31:38" ht="15.75" hidden="1" thickBot="1">
      <c r="AE1659" s="795"/>
      <c r="AF1659" s="777"/>
      <c r="AH1659" s="101">
        <f t="shared" si="244"/>
        <v>1000000</v>
      </c>
      <c r="AI1659" s="101">
        <f t="shared" si="242"/>
        <v>1000000</v>
      </c>
      <c r="AJ1659" s="153">
        <v>1</v>
      </c>
      <c r="AK1659" s="121">
        <f t="shared" si="245"/>
        <v>38</v>
      </c>
      <c r="AL1659" s="158">
        <f t="shared" si="246"/>
        <v>413.06353201073603</v>
      </c>
    </row>
    <row r="1660" spans="31:38" ht="15.75" hidden="1" thickBot="1">
      <c r="AE1660" s="795"/>
      <c r="AF1660" s="777"/>
      <c r="AH1660" s="101">
        <f t="shared" si="244"/>
        <v>1000000</v>
      </c>
      <c r="AI1660" s="101">
        <f t="shared" si="242"/>
        <v>1000000</v>
      </c>
      <c r="AJ1660" s="153">
        <v>1</v>
      </c>
      <c r="AK1660" s="121">
        <f t="shared" si="245"/>
        <v>39</v>
      </c>
      <c r="AL1660" s="158">
        <f t="shared" si="246"/>
        <v>411.74824042198833</v>
      </c>
    </row>
    <row r="1661" spans="31:38" ht="15.75" hidden="1" thickBot="1">
      <c r="AE1661" s="795"/>
      <c r="AF1661" s="777"/>
      <c r="AH1661" s="101">
        <f t="shared" si="244"/>
        <v>1000000</v>
      </c>
      <c r="AI1661" s="101">
        <f t="shared" si="242"/>
        <v>1000000</v>
      </c>
      <c r="AJ1661" s="153">
        <v>1</v>
      </c>
      <c r="AK1661" s="121">
        <f t="shared" si="245"/>
        <v>40</v>
      </c>
      <c r="AL1661" s="158">
        <f t="shared" si="246"/>
        <v>410.43294883324063</v>
      </c>
    </row>
    <row r="1662" spans="31:38" ht="15.75" hidden="1" thickBot="1">
      <c r="AE1662" s="795"/>
      <c r="AF1662" s="777"/>
      <c r="AH1662" s="101">
        <f t="shared" si="244"/>
        <v>1000000</v>
      </c>
      <c r="AI1662" s="101">
        <f t="shared" si="242"/>
        <v>1000000</v>
      </c>
      <c r="AJ1662" s="153">
        <v>1</v>
      </c>
      <c r="AK1662" s="121">
        <f t="shared" si="245"/>
        <v>41</v>
      </c>
      <c r="AL1662" s="158">
        <f t="shared" si="246"/>
        <v>409.11765724449299</v>
      </c>
    </row>
    <row r="1663" spans="31:38" ht="15.75" hidden="1" thickBot="1">
      <c r="AE1663" s="795"/>
      <c r="AF1663" s="777"/>
      <c r="AH1663" s="101">
        <f t="shared" si="244"/>
        <v>1000000</v>
      </c>
      <c r="AI1663" s="101">
        <f t="shared" si="242"/>
        <v>1000000</v>
      </c>
      <c r="AJ1663" s="153">
        <v>1</v>
      </c>
      <c r="AK1663" s="121">
        <f t="shared" si="245"/>
        <v>42</v>
      </c>
      <c r="AL1663" s="158">
        <f t="shared" si="246"/>
        <v>407.80236565574535</v>
      </c>
    </row>
    <row r="1664" spans="31:38" ht="15.75" hidden="1" thickBot="1">
      <c r="AE1664" s="795"/>
      <c r="AF1664" s="777"/>
      <c r="AH1664" s="101">
        <f t="shared" si="244"/>
        <v>1000000</v>
      </c>
      <c r="AI1664" s="101">
        <f t="shared" si="242"/>
        <v>1000000</v>
      </c>
      <c r="AJ1664" s="153">
        <v>1</v>
      </c>
      <c r="AK1664" s="121">
        <f t="shared" si="245"/>
        <v>43</v>
      </c>
      <c r="AL1664" s="158">
        <f t="shared" si="246"/>
        <v>406.48707406699765</v>
      </c>
    </row>
    <row r="1665" spans="31:38" ht="15.75" hidden="1" thickBot="1">
      <c r="AE1665" s="795"/>
      <c r="AF1665" s="777"/>
      <c r="AH1665" s="101">
        <f t="shared" si="244"/>
        <v>1000000</v>
      </c>
      <c r="AI1665" s="101">
        <f t="shared" si="242"/>
        <v>1000000</v>
      </c>
      <c r="AJ1665" s="153">
        <v>1</v>
      </c>
      <c r="AK1665" s="121">
        <f t="shared" si="245"/>
        <v>44</v>
      </c>
      <c r="AL1665" s="158">
        <f t="shared" si="246"/>
        <v>405.17178247824995</v>
      </c>
    </row>
    <row r="1666" spans="31:38" ht="15.75" hidden="1" thickBot="1">
      <c r="AE1666" s="795"/>
      <c r="AF1666" s="777"/>
      <c r="AH1666" s="101">
        <f t="shared" si="244"/>
        <v>1000000</v>
      </c>
      <c r="AI1666" s="101">
        <f t="shared" si="242"/>
        <v>1000000</v>
      </c>
      <c r="AJ1666" s="153">
        <v>1</v>
      </c>
      <c r="AK1666" s="121">
        <f t="shared" si="245"/>
        <v>45</v>
      </c>
      <c r="AL1666" s="158">
        <f t="shared" si="246"/>
        <v>403.85649088950231</v>
      </c>
    </row>
    <row r="1667" spans="31:38" ht="15.75" hidden="1" thickBot="1">
      <c r="AE1667" s="795"/>
      <c r="AF1667" s="777"/>
      <c r="AH1667" s="101">
        <f t="shared" si="244"/>
        <v>1000000</v>
      </c>
      <c r="AI1667" s="101">
        <f t="shared" si="242"/>
        <v>1000000</v>
      </c>
      <c r="AJ1667" s="153">
        <v>1</v>
      </c>
      <c r="AK1667" s="121">
        <f t="shared" si="245"/>
        <v>46</v>
      </c>
      <c r="AL1667" s="158">
        <f t="shared" si="246"/>
        <v>402.54119930075467</v>
      </c>
    </row>
    <row r="1668" spans="31:38" ht="15.75" hidden="1" thickBot="1">
      <c r="AE1668" s="795"/>
      <c r="AF1668" s="777"/>
      <c r="AH1668" s="101">
        <f t="shared" si="244"/>
        <v>1000000</v>
      </c>
      <c r="AI1668" s="101">
        <f t="shared" si="242"/>
        <v>1000000</v>
      </c>
      <c r="AJ1668" s="153">
        <v>1</v>
      </c>
      <c r="AK1668" s="121">
        <f t="shared" si="245"/>
        <v>47</v>
      </c>
      <c r="AL1668" s="158">
        <f t="shared" si="246"/>
        <v>401.22590771200697</v>
      </c>
    </row>
    <row r="1669" spans="31:38" ht="15.75" hidden="1" thickBot="1">
      <c r="AE1669" s="795"/>
      <c r="AF1669" s="777"/>
      <c r="AH1669" s="101">
        <f t="shared" si="244"/>
        <v>1000000</v>
      </c>
      <c r="AI1669" s="101">
        <f t="shared" si="242"/>
        <v>1000000</v>
      </c>
      <c r="AJ1669" s="153">
        <v>1</v>
      </c>
      <c r="AK1669" s="121">
        <f t="shared" si="245"/>
        <v>48</v>
      </c>
      <c r="AL1669" s="158">
        <f t="shared" si="246"/>
        <v>399.91061612325933</v>
      </c>
    </row>
    <row r="1670" spans="31:38" ht="15.75" hidden="1" thickBot="1">
      <c r="AE1670" s="795"/>
      <c r="AF1670" s="777"/>
      <c r="AH1670" s="101">
        <f t="shared" si="244"/>
        <v>1000000</v>
      </c>
      <c r="AI1670" s="101">
        <f t="shared" si="242"/>
        <v>1000000</v>
      </c>
      <c r="AJ1670" s="153">
        <v>1</v>
      </c>
      <c r="AK1670" s="121">
        <f t="shared" si="245"/>
        <v>49</v>
      </c>
      <c r="AL1670" s="158">
        <f t="shared" si="246"/>
        <v>398.59532453451163</v>
      </c>
    </row>
    <row r="1671" spans="31:38" ht="15.75" hidden="1" thickBot="1">
      <c r="AE1671" s="795"/>
      <c r="AF1671" s="777"/>
      <c r="AH1671" s="101">
        <f t="shared" si="244"/>
        <v>1000000</v>
      </c>
      <c r="AI1671" s="101">
        <f t="shared" si="242"/>
        <v>1000000</v>
      </c>
      <c r="AJ1671" s="153">
        <v>1</v>
      </c>
      <c r="AK1671" s="121">
        <f t="shared" si="245"/>
        <v>50</v>
      </c>
      <c r="AL1671" s="158">
        <f t="shared" si="246"/>
        <v>397.28003294576394</v>
      </c>
    </row>
    <row r="1672" spans="31:38" ht="15.75" hidden="1" thickBot="1">
      <c r="AE1672" s="795"/>
      <c r="AF1672" s="777"/>
      <c r="AH1672" s="101">
        <f t="shared" si="244"/>
        <v>1000000</v>
      </c>
      <c r="AI1672" s="101">
        <f t="shared" si="242"/>
        <v>1000000</v>
      </c>
      <c r="AJ1672" s="153">
        <v>1</v>
      </c>
      <c r="AK1672" s="121">
        <f t="shared" si="245"/>
        <v>51</v>
      </c>
      <c r="AL1672" s="158">
        <f t="shared" si="246"/>
        <v>395.96474135701629</v>
      </c>
    </row>
    <row r="1673" spans="31:38" ht="15.75" hidden="1" thickBot="1">
      <c r="AE1673" s="795"/>
      <c r="AF1673" s="777"/>
      <c r="AH1673" s="101">
        <f t="shared" si="244"/>
        <v>1000000</v>
      </c>
      <c r="AI1673" s="101">
        <f t="shared" si="242"/>
        <v>1000000</v>
      </c>
      <c r="AJ1673" s="153">
        <v>1</v>
      </c>
      <c r="AK1673" s="121">
        <f t="shared" si="245"/>
        <v>52</v>
      </c>
      <c r="AL1673" s="158">
        <f t="shared" si="246"/>
        <v>394.64944976826865</v>
      </c>
    </row>
    <row r="1674" spans="31:38" ht="15.75" hidden="1" thickBot="1">
      <c r="AE1674" s="795"/>
      <c r="AF1674" s="777"/>
      <c r="AH1674" s="101">
        <f t="shared" si="244"/>
        <v>1000000</v>
      </c>
      <c r="AI1674" s="101">
        <f t="shared" si="242"/>
        <v>1000000</v>
      </c>
      <c r="AJ1674" s="153">
        <v>1</v>
      </c>
      <c r="AK1674" s="121">
        <f t="shared" si="245"/>
        <v>53</v>
      </c>
      <c r="AL1674" s="158">
        <f t="shared" si="246"/>
        <v>393.33415817952095</v>
      </c>
    </row>
    <row r="1675" spans="31:38" ht="15.75" hidden="1" thickBot="1">
      <c r="AE1675" s="795"/>
      <c r="AF1675" s="777"/>
      <c r="AH1675" s="101">
        <f t="shared" si="244"/>
        <v>1000000</v>
      </c>
      <c r="AI1675" s="101">
        <f t="shared" si="242"/>
        <v>1000000</v>
      </c>
      <c r="AJ1675" s="153">
        <v>1</v>
      </c>
      <c r="AK1675" s="121">
        <f t="shared" si="245"/>
        <v>54</v>
      </c>
      <c r="AL1675" s="158">
        <f t="shared" si="246"/>
        <v>392.01886659077326</v>
      </c>
    </row>
    <row r="1676" spans="31:38" ht="15.75" hidden="1" thickBot="1">
      <c r="AE1676" s="795"/>
      <c r="AF1676" s="777"/>
      <c r="AH1676" s="101">
        <f t="shared" si="244"/>
        <v>1000000</v>
      </c>
      <c r="AI1676" s="101">
        <f t="shared" si="242"/>
        <v>1000000</v>
      </c>
      <c r="AJ1676" s="153">
        <v>1</v>
      </c>
      <c r="AK1676" s="121">
        <f t="shared" si="245"/>
        <v>55</v>
      </c>
      <c r="AL1676" s="158">
        <f t="shared" si="246"/>
        <v>390.70357500202562</v>
      </c>
    </row>
    <row r="1677" spans="31:38" ht="15.75" hidden="1" thickBot="1">
      <c r="AE1677" s="795"/>
      <c r="AF1677" s="777"/>
      <c r="AH1677" s="101">
        <f t="shared" si="244"/>
        <v>1000000</v>
      </c>
      <c r="AI1677" s="101">
        <f t="shared" si="242"/>
        <v>1000000</v>
      </c>
      <c r="AJ1677" s="153">
        <v>1</v>
      </c>
      <c r="AK1677" s="121">
        <f t="shared" si="245"/>
        <v>56</v>
      </c>
      <c r="AL1677" s="158">
        <f t="shared" si="246"/>
        <v>389.38828341327792</v>
      </c>
    </row>
    <row r="1678" spans="31:38" ht="15.75" hidden="1" thickBot="1">
      <c r="AE1678" s="795"/>
      <c r="AF1678" s="777"/>
      <c r="AH1678" s="101">
        <f t="shared" si="244"/>
        <v>1000000</v>
      </c>
      <c r="AI1678" s="101">
        <f t="shared" si="242"/>
        <v>1000000</v>
      </c>
      <c r="AJ1678" s="153">
        <v>1</v>
      </c>
      <c r="AK1678" s="121">
        <f t="shared" si="245"/>
        <v>57</v>
      </c>
      <c r="AL1678" s="158">
        <f t="shared" si="246"/>
        <v>388.07299182453028</v>
      </c>
    </row>
    <row r="1679" spans="31:38" ht="15.75" hidden="1" thickBot="1">
      <c r="AE1679" s="795"/>
      <c r="AF1679" s="777"/>
      <c r="AH1679" s="101">
        <f t="shared" si="244"/>
        <v>1000000</v>
      </c>
      <c r="AI1679" s="101">
        <f t="shared" si="242"/>
        <v>1000000</v>
      </c>
      <c r="AJ1679" s="153">
        <v>1</v>
      </c>
      <c r="AK1679" s="121">
        <f t="shared" si="245"/>
        <v>58</v>
      </c>
      <c r="AL1679" s="158">
        <f t="shared" si="246"/>
        <v>386.75770023578264</v>
      </c>
    </row>
    <row r="1680" spans="31:38" ht="15.75" hidden="1" thickBot="1">
      <c r="AE1680" s="795"/>
      <c r="AF1680" s="777"/>
      <c r="AH1680" s="101">
        <f t="shared" si="244"/>
        <v>1000000</v>
      </c>
      <c r="AI1680" s="101">
        <f t="shared" si="242"/>
        <v>1000000</v>
      </c>
      <c r="AJ1680" s="153">
        <v>1</v>
      </c>
      <c r="AK1680" s="121">
        <f t="shared" si="245"/>
        <v>59</v>
      </c>
      <c r="AL1680" s="158">
        <f t="shared" si="246"/>
        <v>385.44240864703494</v>
      </c>
    </row>
    <row r="1681" spans="31:38" ht="15.75" hidden="1" thickBot="1">
      <c r="AE1681" s="795"/>
      <c r="AF1681" s="777"/>
      <c r="AH1681" s="101">
        <f t="shared" si="244"/>
        <v>1000000</v>
      </c>
      <c r="AI1681" s="101">
        <f t="shared" si="242"/>
        <v>1000000</v>
      </c>
      <c r="AJ1681" s="153">
        <v>1</v>
      </c>
      <c r="AK1681" s="121">
        <f t="shared" si="245"/>
        <v>60</v>
      </c>
      <c r="AL1681" s="158">
        <f t="shared" si="246"/>
        <v>384.12711705828724</v>
      </c>
    </row>
    <row r="1682" spans="31:38" ht="15.75" hidden="1" thickBot="1">
      <c r="AE1682" s="795"/>
      <c r="AF1682" s="777"/>
      <c r="AH1682" s="101">
        <f t="shared" si="244"/>
        <v>1000000</v>
      </c>
      <c r="AI1682" s="101">
        <f t="shared" si="242"/>
        <v>1000000</v>
      </c>
      <c r="AJ1682" s="153">
        <v>1</v>
      </c>
      <c r="AK1682" s="121">
        <f t="shared" si="245"/>
        <v>61</v>
      </c>
      <c r="AL1682" s="158">
        <f t="shared" si="246"/>
        <v>382.8118254695396</v>
      </c>
    </row>
    <row r="1683" spans="31:38" ht="15.75" hidden="1" thickBot="1">
      <c r="AE1683" s="795"/>
      <c r="AF1683" s="777"/>
      <c r="AH1683" s="101">
        <f t="shared" si="244"/>
        <v>1000000</v>
      </c>
      <c r="AI1683" s="101">
        <f t="shared" si="242"/>
        <v>1000000</v>
      </c>
      <c r="AJ1683" s="153">
        <v>1</v>
      </c>
      <c r="AK1683" s="121">
        <f t="shared" si="245"/>
        <v>62</v>
      </c>
      <c r="AL1683" s="158">
        <f t="shared" si="246"/>
        <v>381.4965338807919</v>
      </c>
    </row>
    <row r="1684" spans="31:38" ht="15.75" hidden="1" thickBot="1">
      <c r="AE1684" s="795"/>
      <c r="AF1684" s="777"/>
      <c r="AH1684" s="101">
        <f t="shared" si="244"/>
        <v>1000000</v>
      </c>
      <c r="AI1684" s="101">
        <f t="shared" si="242"/>
        <v>1000000</v>
      </c>
      <c r="AJ1684" s="153">
        <v>1</v>
      </c>
      <c r="AK1684" s="121">
        <f t="shared" si="245"/>
        <v>63</v>
      </c>
      <c r="AL1684" s="158">
        <f t="shared" si="246"/>
        <v>380.18124229204426</v>
      </c>
    </row>
    <row r="1685" spans="31:38" ht="15.75" hidden="1" thickBot="1">
      <c r="AE1685" s="795"/>
      <c r="AF1685" s="777"/>
      <c r="AH1685" s="101">
        <f t="shared" si="244"/>
        <v>1000000</v>
      </c>
      <c r="AI1685" s="101">
        <f t="shared" ref="AI1685:AI1748" si="247">IF(AL1685&lt;$D$88,0,AH1685)</f>
        <v>1000000</v>
      </c>
      <c r="AJ1685" s="153">
        <v>1</v>
      </c>
      <c r="AK1685" s="121">
        <f t="shared" si="245"/>
        <v>64</v>
      </c>
      <c r="AL1685" s="158">
        <f t="shared" ref="AL1685:AL1716" si="248">Z369</f>
        <v>378.86595070329656</v>
      </c>
    </row>
    <row r="1686" spans="31:38" ht="15.75" hidden="1" thickBot="1">
      <c r="AE1686" s="795"/>
      <c r="AF1686" s="777"/>
      <c r="AH1686" s="101">
        <f t="shared" ref="AH1686:AH1721" si="249">AQ370</f>
        <v>1000000</v>
      </c>
      <c r="AI1686" s="101">
        <f t="shared" si="247"/>
        <v>1000000</v>
      </c>
      <c r="AJ1686" s="153">
        <v>1</v>
      </c>
      <c r="AK1686" s="121">
        <f t="shared" ref="AK1686:AK1721" si="250">AK1685+1</f>
        <v>65</v>
      </c>
      <c r="AL1686" s="158">
        <f t="shared" si="248"/>
        <v>377.55065911454892</v>
      </c>
    </row>
    <row r="1687" spans="31:38" ht="15.75" hidden="1" thickBot="1">
      <c r="AE1687" s="795"/>
      <c r="AF1687" s="777"/>
      <c r="AH1687" s="101">
        <f t="shared" si="249"/>
        <v>1000000</v>
      </c>
      <c r="AI1687" s="101">
        <f t="shared" si="247"/>
        <v>1000000</v>
      </c>
      <c r="AJ1687" s="153">
        <v>1</v>
      </c>
      <c r="AK1687" s="121">
        <f t="shared" si="250"/>
        <v>66</v>
      </c>
      <c r="AL1687" s="158">
        <f t="shared" si="248"/>
        <v>376.23536752580122</v>
      </c>
    </row>
    <row r="1688" spans="31:38" ht="15.75" hidden="1" thickBot="1">
      <c r="AE1688" s="795"/>
      <c r="AF1688" s="777"/>
      <c r="AH1688" s="101">
        <f t="shared" si="249"/>
        <v>1000000</v>
      </c>
      <c r="AI1688" s="101">
        <f t="shared" si="247"/>
        <v>1000000</v>
      </c>
      <c r="AJ1688" s="153">
        <v>1</v>
      </c>
      <c r="AK1688" s="121">
        <f t="shared" si="250"/>
        <v>67</v>
      </c>
      <c r="AL1688" s="158">
        <f t="shared" si="248"/>
        <v>374.92007593705353</v>
      </c>
    </row>
    <row r="1689" spans="31:38" ht="15.75" hidden="1" thickBot="1">
      <c r="AE1689" s="795"/>
      <c r="AF1689" s="777"/>
      <c r="AH1689" s="101">
        <f t="shared" si="249"/>
        <v>1000000</v>
      </c>
      <c r="AI1689" s="101">
        <f t="shared" si="247"/>
        <v>1000000</v>
      </c>
      <c r="AJ1689" s="153">
        <v>1</v>
      </c>
      <c r="AK1689" s="121">
        <f t="shared" si="250"/>
        <v>68</v>
      </c>
      <c r="AL1689" s="158">
        <f t="shared" si="248"/>
        <v>373.60478434830588</v>
      </c>
    </row>
    <row r="1690" spans="31:38" ht="15.75" hidden="1" thickBot="1">
      <c r="AE1690" s="795"/>
      <c r="AF1690" s="777"/>
      <c r="AH1690" s="101">
        <f t="shared" si="249"/>
        <v>1000000</v>
      </c>
      <c r="AI1690" s="101">
        <f t="shared" si="247"/>
        <v>1000000</v>
      </c>
      <c r="AJ1690" s="153">
        <v>1</v>
      </c>
      <c r="AK1690" s="121">
        <f t="shared" si="250"/>
        <v>69</v>
      </c>
      <c r="AL1690" s="158">
        <f t="shared" si="248"/>
        <v>372.28949275955824</v>
      </c>
    </row>
    <row r="1691" spans="31:38" ht="15.75" hidden="1" thickBot="1">
      <c r="AE1691" s="795"/>
      <c r="AF1691" s="777"/>
      <c r="AH1691" s="101">
        <f t="shared" si="249"/>
        <v>1000000</v>
      </c>
      <c r="AI1691" s="101">
        <f t="shared" si="247"/>
        <v>1000000</v>
      </c>
      <c r="AJ1691" s="153">
        <v>1</v>
      </c>
      <c r="AK1691" s="121">
        <f t="shared" si="250"/>
        <v>70</v>
      </c>
      <c r="AL1691" s="158">
        <f t="shared" si="248"/>
        <v>370.9742011708106</v>
      </c>
    </row>
    <row r="1692" spans="31:38" ht="15.75" hidden="1" thickBot="1">
      <c r="AE1692" s="795"/>
      <c r="AF1692" s="777"/>
      <c r="AH1692" s="101">
        <f t="shared" si="249"/>
        <v>1000000</v>
      </c>
      <c r="AI1692" s="101">
        <f t="shared" si="247"/>
        <v>1000000</v>
      </c>
      <c r="AJ1692" s="153">
        <v>1</v>
      </c>
      <c r="AK1692" s="121">
        <f t="shared" si="250"/>
        <v>71</v>
      </c>
      <c r="AL1692" s="158">
        <f t="shared" si="248"/>
        <v>369.65890958206285</v>
      </c>
    </row>
    <row r="1693" spans="31:38" ht="15.75" hidden="1" thickBot="1">
      <c r="AE1693" s="795"/>
      <c r="AF1693" s="777"/>
      <c r="AH1693" s="101">
        <f t="shared" si="249"/>
        <v>1000000</v>
      </c>
      <c r="AI1693" s="101">
        <f t="shared" si="247"/>
        <v>1000000</v>
      </c>
      <c r="AJ1693" s="153">
        <v>1</v>
      </c>
      <c r="AK1693" s="121">
        <f t="shared" si="250"/>
        <v>72</v>
      </c>
      <c r="AL1693" s="158">
        <f t="shared" si="248"/>
        <v>368.34361799331521</v>
      </c>
    </row>
    <row r="1694" spans="31:38" ht="15.75" hidden="1" thickBot="1">
      <c r="AE1694" s="795"/>
      <c r="AF1694" s="777"/>
      <c r="AH1694" s="101">
        <f t="shared" si="249"/>
        <v>1000000</v>
      </c>
      <c r="AI1694" s="101">
        <f t="shared" si="247"/>
        <v>1000000</v>
      </c>
      <c r="AJ1694" s="153">
        <v>1</v>
      </c>
      <c r="AK1694" s="121">
        <f t="shared" si="250"/>
        <v>73</v>
      </c>
      <c r="AL1694" s="158">
        <f t="shared" si="248"/>
        <v>367.02832640456757</v>
      </c>
    </row>
    <row r="1695" spans="31:38" ht="15.75" hidden="1" thickBot="1">
      <c r="AE1695" s="795"/>
      <c r="AF1695" s="777"/>
      <c r="AH1695" s="101">
        <f t="shared" si="249"/>
        <v>1000000</v>
      </c>
      <c r="AI1695" s="101">
        <f t="shared" si="247"/>
        <v>1000000</v>
      </c>
      <c r="AJ1695" s="153">
        <v>1</v>
      </c>
      <c r="AK1695" s="121">
        <f t="shared" si="250"/>
        <v>74</v>
      </c>
      <c r="AL1695" s="158">
        <f t="shared" si="248"/>
        <v>365.71303481581987</v>
      </c>
    </row>
    <row r="1696" spans="31:38" ht="15.75" hidden="1" thickBot="1">
      <c r="AE1696" s="795"/>
      <c r="AF1696" s="777"/>
      <c r="AH1696" s="101">
        <f t="shared" si="249"/>
        <v>1000000</v>
      </c>
      <c r="AI1696" s="101">
        <f t="shared" si="247"/>
        <v>1000000</v>
      </c>
      <c r="AJ1696" s="153">
        <v>1</v>
      </c>
      <c r="AK1696" s="121">
        <f t="shared" si="250"/>
        <v>75</v>
      </c>
      <c r="AL1696" s="158">
        <f t="shared" si="248"/>
        <v>364.39774322707223</v>
      </c>
    </row>
    <row r="1697" spans="31:38" ht="15.75" hidden="1" thickBot="1">
      <c r="AE1697" s="795"/>
      <c r="AF1697" s="777"/>
      <c r="AH1697" s="101">
        <f t="shared" si="249"/>
        <v>1000000</v>
      </c>
      <c r="AI1697" s="101">
        <f t="shared" si="247"/>
        <v>1000000</v>
      </c>
      <c r="AJ1697" s="153">
        <v>1</v>
      </c>
      <c r="AK1697" s="121">
        <f t="shared" si="250"/>
        <v>76</v>
      </c>
      <c r="AL1697" s="158">
        <f t="shared" si="248"/>
        <v>363.08245163832453</v>
      </c>
    </row>
    <row r="1698" spans="31:38" ht="15.75" hidden="1" thickBot="1">
      <c r="AE1698" s="795"/>
      <c r="AF1698" s="777"/>
      <c r="AH1698" s="101">
        <f t="shared" si="249"/>
        <v>1000000</v>
      </c>
      <c r="AI1698" s="101">
        <f t="shared" si="247"/>
        <v>1000000</v>
      </c>
      <c r="AJ1698" s="153">
        <v>1</v>
      </c>
      <c r="AK1698" s="121">
        <f t="shared" si="250"/>
        <v>77</v>
      </c>
      <c r="AL1698" s="158">
        <f t="shared" si="248"/>
        <v>361.76716004957689</v>
      </c>
    </row>
    <row r="1699" spans="31:38" ht="15.75" hidden="1" thickBot="1">
      <c r="AE1699" s="795"/>
      <c r="AF1699" s="777"/>
      <c r="AH1699" s="101">
        <f t="shared" si="249"/>
        <v>1000000</v>
      </c>
      <c r="AI1699" s="101">
        <f t="shared" si="247"/>
        <v>1000000</v>
      </c>
      <c r="AJ1699" s="153">
        <v>1</v>
      </c>
      <c r="AK1699" s="121">
        <f t="shared" si="250"/>
        <v>78</v>
      </c>
      <c r="AL1699" s="158">
        <f t="shared" si="248"/>
        <v>360.45186846082919</v>
      </c>
    </row>
    <row r="1700" spans="31:38" ht="15.75" hidden="1" thickBot="1">
      <c r="AE1700" s="795"/>
      <c r="AF1700" s="777"/>
      <c r="AH1700" s="101">
        <f t="shared" si="249"/>
        <v>1000000</v>
      </c>
      <c r="AI1700" s="101">
        <f t="shared" si="247"/>
        <v>1000000</v>
      </c>
      <c r="AJ1700" s="153">
        <v>1</v>
      </c>
      <c r="AK1700" s="121">
        <f t="shared" si="250"/>
        <v>79</v>
      </c>
      <c r="AL1700" s="158">
        <f t="shared" si="248"/>
        <v>359.13657687208149</v>
      </c>
    </row>
    <row r="1701" spans="31:38" ht="15.75" hidden="1" thickBot="1">
      <c r="AE1701" s="795"/>
      <c r="AF1701" s="777"/>
      <c r="AH1701" s="101">
        <f t="shared" si="249"/>
        <v>1000000</v>
      </c>
      <c r="AI1701" s="101">
        <f t="shared" si="247"/>
        <v>1000000</v>
      </c>
      <c r="AJ1701" s="153">
        <v>1</v>
      </c>
      <c r="AK1701" s="121">
        <f t="shared" si="250"/>
        <v>80</v>
      </c>
      <c r="AL1701" s="158">
        <f t="shared" si="248"/>
        <v>357.82128528333385</v>
      </c>
    </row>
    <row r="1702" spans="31:38" ht="15.75" hidden="1" thickBot="1">
      <c r="AE1702" s="795"/>
      <c r="AF1702" s="777"/>
      <c r="AH1702" s="101">
        <f t="shared" si="249"/>
        <v>1000000</v>
      </c>
      <c r="AI1702" s="101">
        <f t="shared" si="247"/>
        <v>1000000</v>
      </c>
      <c r="AJ1702" s="153">
        <v>1</v>
      </c>
      <c r="AK1702" s="121">
        <f t="shared" si="250"/>
        <v>81</v>
      </c>
      <c r="AL1702" s="158">
        <f t="shared" si="248"/>
        <v>356.50599369458621</v>
      </c>
    </row>
    <row r="1703" spans="31:38" ht="15.75" hidden="1" thickBot="1">
      <c r="AE1703" s="795"/>
      <c r="AF1703" s="777"/>
      <c r="AH1703" s="101">
        <f t="shared" si="249"/>
        <v>1000000</v>
      </c>
      <c r="AI1703" s="101">
        <f t="shared" si="247"/>
        <v>1000000</v>
      </c>
      <c r="AJ1703" s="153">
        <v>1</v>
      </c>
      <c r="AK1703" s="121">
        <f t="shared" si="250"/>
        <v>82</v>
      </c>
      <c r="AL1703" s="158">
        <f t="shared" si="248"/>
        <v>355.19070210583857</v>
      </c>
    </row>
    <row r="1704" spans="31:38" ht="15.75" hidden="1" thickBot="1">
      <c r="AE1704" s="795"/>
      <c r="AF1704" s="777"/>
      <c r="AH1704" s="101">
        <f t="shared" si="249"/>
        <v>1000000</v>
      </c>
      <c r="AI1704" s="101">
        <f t="shared" si="247"/>
        <v>0</v>
      </c>
      <c r="AJ1704" s="153">
        <v>1</v>
      </c>
      <c r="AK1704" s="121">
        <f t="shared" si="250"/>
        <v>83</v>
      </c>
      <c r="AL1704" s="158">
        <f t="shared" si="248"/>
        <v>353.87541051709081</v>
      </c>
    </row>
    <row r="1705" spans="31:38" ht="15.75" hidden="1" thickBot="1">
      <c r="AE1705" s="795"/>
      <c r="AF1705" s="777"/>
      <c r="AH1705" s="101">
        <f t="shared" si="249"/>
        <v>1000000</v>
      </c>
      <c r="AI1705" s="101">
        <f t="shared" si="247"/>
        <v>0</v>
      </c>
      <c r="AJ1705" s="153">
        <v>1</v>
      </c>
      <c r="AK1705" s="121">
        <f t="shared" si="250"/>
        <v>84</v>
      </c>
      <c r="AL1705" s="158">
        <f t="shared" si="248"/>
        <v>352.56011892834317</v>
      </c>
    </row>
    <row r="1706" spans="31:38" ht="15.75" hidden="1" thickBot="1">
      <c r="AE1706" s="795"/>
      <c r="AF1706" s="777"/>
      <c r="AH1706" s="101">
        <f t="shared" si="249"/>
        <v>1000000</v>
      </c>
      <c r="AI1706" s="101">
        <f t="shared" si="247"/>
        <v>0</v>
      </c>
      <c r="AJ1706" s="153">
        <v>1</v>
      </c>
      <c r="AK1706" s="121">
        <f t="shared" si="250"/>
        <v>85</v>
      </c>
      <c r="AL1706" s="158">
        <f t="shared" si="248"/>
        <v>351.24482733959553</v>
      </c>
    </row>
    <row r="1707" spans="31:38" ht="15.75" hidden="1" thickBot="1">
      <c r="AE1707" s="795"/>
      <c r="AF1707" s="777"/>
      <c r="AH1707" s="101">
        <f t="shared" si="249"/>
        <v>1000000</v>
      </c>
      <c r="AI1707" s="101">
        <f t="shared" si="247"/>
        <v>0</v>
      </c>
      <c r="AJ1707" s="153">
        <v>1</v>
      </c>
      <c r="AK1707" s="121">
        <f t="shared" si="250"/>
        <v>86</v>
      </c>
      <c r="AL1707" s="158">
        <f t="shared" si="248"/>
        <v>349.92953575084789</v>
      </c>
    </row>
    <row r="1708" spans="31:38" ht="15.75" hidden="1" thickBot="1">
      <c r="AE1708" s="795"/>
      <c r="AF1708" s="777"/>
      <c r="AH1708" s="101">
        <f t="shared" si="249"/>
        <v>1000000</v>
      </c>
      <c r="AI1708" s="101">
        <f t="shared" si="247"/>
        <v>0</v>
      </c>
      <c r="AJ1708" s="153">
        <v>1</v>
      </c>
      <c r="AK1708" s="121">
        <f t="shared" si="250"/>
        <v>87</v>
      </c>
      <c r="AL1708" s="158">
        <f t="shared" si="248"/>
        <v>348.61424416210014</v>
      </c>
    </row>
    <row r="1709" spans="31:38" ht="15.75" hidden="1" thickBot="1">
      <c r="AE1709" s="795"/>
      <c r="AF1709" s="777"/>
      <c r="AH1709" s="101">
        <f t="shared" si="249"/>
        <v>1000000</v>
      </c>
      <c r="AI1709" s="101">
        <f t="shared" si="247"/>
        <v>0</v>
      </c>
      <c r="AJ1709" s="153">
        <v>1</v>
      </c>
      <c r="AK1709" s="121">
        <f t="shared" si="250"/>
        <v>88</v>
      </c>
      <c r="AL1709" s="158">
        <f t="shared" si="248"/>
        <v>347.29895257335249</v>
      </c>
    </row>
    <row r="1710" spans="31:38" ht="15.75" hidden="1" thickBot="1">
      <c r="AE1710" s="795"/>
      <c r="AF1710" s="777"/>
      <c r="AH1710" s="101">
        <f t="shared" si="249"/>
        <v>1000000</v>
      </c>
      <c r="AI1710" s="101">
        <f t="shared" si="247"/>
        <v>0</v>
      </c>
      <c r="AJ1710" s="153">
        <v>1</v>
      </c>
      <c r="AK1710" s="121">
        <f t="shared" si="250"/>
        <v>89</v>
      </c>
      <c r="AL1710" s="158">
        <f t="shared" si="248"/>
        <v>345.98366098460485</v>
      </c>
    </row>
    <row r="1711" spans="31:38" ht="15.75" hidden="1" thickBot="1">
      <c r="AE1711" s="795"/>
      <c r="AF1711" s="777"/>
      <c r="AH1711" s="101">
        <f t="shared" si="249"/>
        <v>1000000</v>
      </c>
      <c r="AI1711" s="101">
        <f t="shared" si="247"/>
        <v>0</v>
      </c>
      <c r="AJ1711" s="153">
        <v>1</v>
      </c>
      <c r="AK1711" s="121">
        <f t="shared" si="250"/>
        <v>90</v>
      </c>
      <c r="AL1711" s="158">
        <f t="shared" si="248"/>
        <v>344.66836939585716</v>
      </c>
    </row>
    <row r="1712" spans="31:38" ht="15.75" hidden="1" thickBot="1">
      <c r="AE1712" s="795"/>
      <c r="AF1712" s="777"/>
      <c r="AH1712" s="101">
        <f t="shared" si="249"/>
        <v>1000000</v>
      </c>
      <c r="AI1712" s="101">
        <f t="shared" si="247"/>
        <v>0</v>
      </c>
      <c r="AJ1712" s="153">
        <v>1</v>
      </c>
      <c r="AK1712" s="121">
        <f t="shared" si="250"/>
        <v>91</v>
      </c>
      <c r="AL1712" s="158">
        <f t="shared" si="248"/>
        <v>343.35307780710946</v>
      </c>
    </row>
    <row r="1713" spans="31:38" ht="15.75" hidden="1" thickBot="1">
      <c r="AE1713" s="795"/>
      <c r="AF1713" s="777"/>
      <c r="AH1713" s="101">
        <f t="shared" si="249"/>
        <v>1000000</v>
      </c>
      <c r="AI1713" s="101">
        <f t="shared" si="247"/>
        <v>0</v>
      </c>
      <c r="AJ1713" s="153">
        <v>1</v>
      </c>
      <c r="AK1713" s="121">
        <f t="shared" si="250"/>
        <v>92</v>
      </c>
      <c r="AL1713" s="158">
        <f t="shared" si="248"/>
        <v>342.03778621836182</v>
      </c>
    </row>
    <row r="1714" spans="31:38" ht="15.75" hidden="1" thickBot="1">
      <c r="AE1714" s="795"/>
      <c r="AF1714" s="777"/>
      <c r="AH1714" s="101">
        <f t="shared" si="249"/>
        <v>1000000</v>
      </c>
      <c r="AI1714" s="101">
        <f t="shared" si="247"/>
        <v>0</v>
      </c>
      <c r="AJ1714" s="153">
        <v>1</v>
      </c>
      <c r="AK1714" s="121">
        <f t="shared" si="250"/>
        <v>93</v>
      </c>
      <c r="AL1714" s="158">
        <f t="shared" si="248"/>
        <v>340.72249462961418</v>
      </c>
    </row>
    <row r="1715" spans="31:38" ht="15.75" hidden="1" thickBot="1">
      <c r="AE1715" s="795"/>
      <c r="AF1715" s="777"/>
      <c r="AH1715" s="101">
        <f t="shared" si="249"/>
        <v>1000000</v>
      </c>
      <c r="AI1715" s="101">
        <f t="shared" si="247"/>
        <v>0</v>
      </c>
      <c r="AJ1715" s="153">
        <v>1</v>
      </c>
      <c r="AK1715" s="121">
        <f t="shared" si="250"/>
        <v>94</v>
      </c>
      <c r="AL1715" s="158">
        <f t="shared" si="248"/>
        <v>339.40720304086642</v>
      </c>
    </row>
    <row r="1716" spans="31:38" ht="15.75" hidden="1" thickBot="1">
      <c r="AE1716" s="795"/>
      <c r="AF1716" s="777"/>
      <c r="AH1716" s="101">
        <f t="shared" si="249"/>
        <v>1000000</v>
      </c>
      <c r="AI1716" s="101">
        <f t="shared" si="247"/>
        <v>0</v>
      </c>
      <c r="AJ1716" s="153">
        <v>1</v>
      </c>
      <c r="AK1716" s="121">
        <f t="shared" si="250"/>
        <v>95</v>
      </c>
      <c r="AL1716" s="158">
        <f t="shared" si="248"/>
        <v>338.09191145211878</v>
      </c>
    </row>
    <row r="1717" spans="31:38" ht="15.75" hidden="1" thickBot="1">
      <c r="AE1717" s="795"/>
      <c r="AF1717" s="777"/>
      <c r="AH1717" s="101">
        <f t="shared" si="249"/>
        <v>1000000</v>
      </c>
      <c r="AI1717" s="101">
        <f t="shared" si="247"/>
        <v>0</v>
      </c>
      <c r="AJ1717" s="153">
        <v>1</v>
      </c>
      <c r="AK1717" s="121">
        <f t="shared" si="250"/>
        <v>96</v>
      </c>
      <c r="AL1717" s="158">
        <f>Z401</f>
        <v>336.77661986337114</v>
      </c>
    </row>
    <row r="1718" spans="31:38" ht="15.75" hidden="1" thickBot="1">
      <c r="AE1718" s="795"/>
      <c r="AF1718" s="777"/>
      <c r="AH1718" s="101">
        <f t="shared" si="249"/>
        <v>1000000</v>
      </c>
      <c r="AI1718" s="101">
        <f t="shared" si="247"/>
        <v>0</v>
      </c>
      <c r="AJ1718" s="153">
        <v>1</v>
      </c>
      <c r="AK1718" s="121">
        <f t="shared" si="250"/>
        <v>97</v>
      </c>
      <c r="AL1718" s="158">
        <f>Z402</f>
        <v>335.4613282746235</v>
      </c>
    </row>
    <row r="1719" spans="31:38" ht="15.75" hidden="1" thickBot="1">
      <c r="AE1719" s="795"/>
      <c r="AF1719" s="777"/>
      <c r="AH1719" s="101">
        <f t="shared" si="249"/>
        <v>1000000</v>
      </c>
      <c r="AI1719" s="101">
        <f t="shared" si="247"/>
        <v>0</v>
      </c>
      <c r="AJ1719" s="153">
        <v>1</v>
      </c>
      <c r="AK1719" s="121">
        <f t="shared" si="250"/>
        <v>98</v>
      </c>
      <c r="AL1719" s="158">
        <f>Z403</f>
        <v>334.14603668587586</v>
      </c>
    </row>
    <row r="1720" spans="31:38" ht="15.75" hidden="1" thickBot="1">
      <c r="AE1720" s="795"/>
      <c r="AF1720" s="777"/>
      <c r="AH1720" s="101">
        <f t="shared" si="249"/>
        <v>1000000</v>
      </c>
      <c r="AI1720" s="101">
        <f t="shared" si="247"/>
        <v>0</v>
      </c>
      <c r="AJ1720" s="153">
        <v>1</v>
      </c>
      <c r="AK1720" s="121">
        <f t="shared" si="250"/>
        <v>99</v>
      </c>
      <c r="AL1720" s="158">
        <f>Z404</f>
        <v>332.8307450971281</v>
      </c>
    </row>
    <row r="1721" spans="31:38" ht="15.75" hidden="1" thickBot="1">
      <c r="AE1721" s="795"/>
      <c r="AF1721" s="778"/>
      <c r="AH1721" s="101">
        <f t="shared" si="249"/>
        <v>1000000</v>
      </c>
      <c r="AI1721" s="101">
        <f t="shared" si="247"/>
        <v>0</v>
      </c>
      <c r="AJ1721" s="155">
        <v>1</v>
      </c>
      <c r="AK1721" s="121">
        <f t="shared" si="250"/>
        <v>100</v>
      </c>
      <c r="AL1721" s="158">
        <f>Z405</f>
        <v>331.51545350838046</v>
      </c>
    </row>
    <row r="1722" spans="31:38" ht="15.75" hidden="1" thickBot="1">
      <c r="AE1722" s="795"/>
      <c r="AF1722" s="776" t="s">
        <v>290</v>
      </c>
      <c r="AH1722" s="101">
        <f>AX305</f>
        <v>171.97499912191631</v>
      </c>
      <c r="AI1722" s="101">
        <f t="shared" si="247"/>
        <v>171.97499912191631</v>
      </c>
      <c r="AJ1722" s="155">
        <v>2</v>
      </c>
      <c r="AK1722" s="121">
        <v>0</v>
      </c>
      <c r="AL1722" s="152">
        <f t="shared" ref="AL1722:AL1753" si="251">AA305</f>
        <v>694.56691857472117</v>
      </c>
    </row>
    <row r="1723" spans="31:38" ht="15.75" hidden="1" thickBot="1">
      <c r="AE1723" s="795"/>
      <c r="AF1723" s="777"/>
      <c r="AH1723" s="101">
        <f t="shared" ref="AH1723:AH1753" si="252">AX306</f>
        <v>1000000</v>
      </c>
      <c r="AI1723" s="101">
        <f t="shared" si="247"/>
        <v>1000000</v>
      </c>
      <c r="AJ1723" s="155">
        <v>2</v>
      </c>
      <c r="AK1723" s="121">
        <f t="shared" ref="AK1723:AK1786" si="253">AK1722+1</f>
        <v>1</v>
      </c>
      <c r="AL1723" s="152">
        <f t="shared" si="251"/>
        <v>692.5939811915996</v>
      </c>
    </row>
    <row r="1724" spans="31:38" ht="15.75" hidden="1" thickBot="1">
      <c r="AE1724" s="795"/>
      <c r="AF1724" s="777"/>
      <c r="AH1724" s="101">
        <f t="shared" si="252"/>
        <v>1000000</v>
      </c>
      <c r="AI1724" s="101">
        <f t="shared" si="247"/>
        <v>1000000</v>
      </c>
      <c r="AJ1724" s="155">
        <v>2</v>
      </c>
      <c r="AK1724" s="121">
        <f t="shared" si="253"/>
        <v>2</v>
      </c>
      <c r="AL1724" s="152">
        <f t="shared" si="251"/>
        <v>690.62104380847813</v>
      </c>
    </row>
    <row r="1725" spans="31:38" ht="15.75" hidden="1" thickBot="1">
      <c r="AE1725" s="795"/>
      <c r="AF1725" s="777"/>
      <c r="AH1725" s="101">
        <f t="shared" si="252"/>
        <v>1000000</v>
      </c>
      <c r="AI1725" s="101">
        <f t="shared" si="247"/>
        <v>1000000</v>
      </c>
      <c r="AJ1725" s="155">
        <v>2</v>
      </c>
      <c r="AK1725" s="121">
        <f t="shared" si="253"/>
        <v>3</v>
      </c>
      <c r="AL1725" s="152">
        <f t="shared" si="251"/>
        <v>688.64810642535667</v>
      </c>
    </row>
    <row r="1726" spans="31:38" ht="15.75" hidden="1" thickBot="1">
      <c r="AE1726" s="795"/>
      <c r="AF1726" s="777"/>
      <c r="AH1726" s="101">
        <f t="shared" si="252"/>
        <v>1000000</v>
      </c>
      <c r="AI1726" s="101">
        <f t="shared" si="247"/>
        <v>1000000</v>
      </c>
      <c r="AJ1726" s="155">
        <v>2</v>
      </c>
      <c r="AK1726" s="121">
        <f t="shared" si="253"/>
        <v>4</v>
      </c>
      <c r="AL1726" s="152">
        <f t="shared" si="251"/>
        <v>686.67516904223521</v>
      </c>
    </row>
    <row r="1727" spans="31:38" ht="15.75" hidden="1" thickBot="1">
      <c r="AE1727" s="795"/>
      <c r="AF1727" s="777"/>
      <c r="AH1727" s="101">
        <f t="shared" si="252"/>
        <v>1000000</v>
      </c>
      <c r="AI1727" s="101">
        <f t="shared" si="247"/>
        <v>1000000</v>
      </c>
      <c r="AJ1727" s="155">
        <v>2</v>
      </c>
      <c r="AK1727" s="121">
        <f t="shared" si="253"/>
        <v>5</v>
      </c>
      <c r="AL1727" s="152">
        <f t="shared" si="251"/>
        <v>684.70223165911364</v>
      </c>
    </row>
    <row r="1728" spans="31:38" ht="15.75" hidden="1" thickBot="1">
      <c r="AE1728" s="795"/>
      <c r="AF1728" s="777"/>
      <c r="AH1728" s="101">
        <f t="shared" si="252"/>
        <v>1000000</v>
      </c>
      <c r="AI1728" s="101">
        <f t="shared" si="247"/>
        <v>1000000</v>
      </c>
      <c r="AJ1728" s="155">
        <v>2</v>
      </c>
      <c r="AK1728" s="121">
        <f t="shared" si="253"/>
        <v>6</v>
      </c>
      <c r="AL1728" s="152">
        <f t="shared" si="251"/>
        <v>682.72929427599217</v>
      </c>
    </row>
    <row r="1729" spans="31:38" ht="15.75" hidden="1" thickBot="1">
      <c r="AE1729" s="795"/>
      <c r="AF1729" s="777"/>
      <c r="AH1729" s="101">
        <f t="shared" si="252"/>
        <v>1000000</v>
      </c>
      <c r="AI1729" s="101">
        <f t="shared" si="247"/>
        <v>1000000</v>
      </c>
      <c r="AJ1729" s="155">
        <v>2</v>
      </c>
      <c r="AK1729" s="121">
        <f t="shared" si="253"/>
        <v>7</v>
      </c>
      <c r="AL1729" s="152">
        <f t="shared" si="251"/>
        <v>680.7563568928706</v>
      </c>
    </row>
    <row r="1730" spans="31:38" ht="15.75" hidden="1" thickBot="1">
      <c r="AE1730" s="795"/>
      <c r="AF1730" s="777"/>
      <c r="AH1730" s="101">
        <f t="shared" si="252"/>
        <v>1000000</v>
      </c>
      <c r="AI1730" s="101">
        <f t="shared" si="247"/>
        <v>1000000</v>
      </c>
      <c r="AJ1730" s="155">
        <v>2</v>
      </c>
      <c r="AK1730" s="121">
        <f t="shared" si="253"/>
        <v>8</v>
      </c>
      <c r="AL1730" s="152">
        <f t="shared" si="251"/>
        <v>678.78341950974914</v>
      </c>
    </row>
    <row r="1731" spans="31:38" ht="15.75" hidden="1" thickBot="1">
      <c r="AE1731" s="795"/>
      <c r="AF1731" s="777"/>
      <c r="AH1731" s="101">
        <f t="shared" si="252"/>
        <v>1000000</v>
      </c>
      <c r="AI1731" s="101">
        <f t="shared" si="247"/>
        <v>1000000</v>
      </c>
      <c r="AJ1731" s="155">
        <v>2</v>
      </c>
      <c r="AK1731" s="121">
        <f t="shared" si="253"/>
        <v>9</v>
      </c>
      <c r="AL1731" s="152">
        <f t="shared" si="251"/>
        <v>676.81048212662768</v>
      </c>
    </row>
    <row r="1732" spans="31:38" ht="15.75" hidden="1" thickBot="1">
      <c r="AE1732" s="795"/>
      <c r="AF1732" s="777"/>
      <c r="AH1732" s="101">
        <f t="shared" si="252"/>
        <v>1000000</v>
      </c>
      <c r="AI1732" s="101">
        <f t="shared" si="247"/>
        <v>1000000</v>
      </c>
      <c r="AJ1732" s="155">
        <v>2</v>
      </c>
      <c r="AK1732" s="121">
        <f t="shared" si="253"/>
        <v>10</v>
      </c>
      <c r="AL1732" s="152">
        <f t="shared" si="251"/>
        <v>674.83754474350621</v>
      </c>
    </row>
    <row r="1733" spans="31:38" ht="15.75" hidden="1" thickBot="1">
      <c r="AE1733" s="795"/>
      <c r="AF1733" s="777"/>
      <c r="AH1733" s="101">
        <f t="shared" si="252"/>
        <v>1000000</v>
      </c>
      <c r="AI1733" s="101">
        <f t="shared" si="247"/>
        <v>1000000</v>
      </c>
      <c r="AJ1733" s="155">
        <v>2</v>
      </c>
      <c r="AK1733" s="121">
        <f t="shared" si="253"/>
        <v>11</v>
      </c>
      <c r="AL1733" s="152">
        <f t="shared" si="251"/>
        <v>672.86460736038475</v>
      </c>
    </row>
    <row r="1734" spans="31:38" ht="15.75" hidden="1" thickBot="1">
      <c r="AE1734" s="795"/>
      <c r="AF1734" s="777"/>
      <c r="AH1734" s="101">
        <f t="shared" si="252"/>
        <v>1000000</v>
      </c>
      <c r="AI1734" s="101">
        <f t="shared" si="247"/>
        <v>1000000</v>
      </c>
      <c r="AJ1734" s="155">
        <v>2</v>
      </c>
      <c r="AK1734" s="121">
        <f t="shared" si="253"/>
        <v>12</v>
      </c>
      <c r="AL1734" s="152">
        <f t="shared" si="251"/>
        <v>670.89166997726318</v>
      </c>
    </row>
    <row r="1735" spans="31:38" ht="15.75" hidden="1" thickBot="1">
      <c r="AE1735" s="795"/>
      <c r="AF1735" s="777"/>
      <c r="AH1735" s="101">
        <f t="shared" si="252"/>
        <v>1000000</v>
      </c>
      <c r="AI1735" s="101">
        <f t="shared" si="247"/>
        <v>1000000</v>
      </c>
      <c r="AJ1735" s="155">
        <v>2</v>
      </c>
      <c r="AK1735" s="121">
        <f t="shared" si="253"/>
        <v>13</v>
      </c>
      <c r="AL1735" s="152">
        <f t="shared" si="251"/>
        <v>668.9187325941416</v>
      </c>
    </row>
    <row r="1736" spans="31:38" ht="15.75" hidden="1" thickBot="1">
      <c r="AE1736" s="795"/>
      <c r="AF1736" s="777"/>
      <c r="AH1736" s="101">
        <f t="shared" si="252"/>
        <v>1000000</v>
      </c>
      <c r="AI1736" s="101">
        <f t="shared" si="247"/>
        <v>1000000</v>
      </c>
      <c r="AJ1736" s="155">
        <v>2</v>
      </c>
      <c r="AK1736" s="121">
        <f t="shared" si="253"/>
        <v>14</v>
      </c>
      <c r="AL1736" s="152">
        <f t="shared" si="251"/>
        <v>666.94579521102014</v>
      </c>
    </row>
    <row r="1737" spans="31:38" ht="15.75" hidden="1" thickBot="1">
      <c r="AE1737" s="795"/>
      <c r="AF1737" s="777"/>
      <c r="AH1737" s="101">
        <f t="shared" si="252"/>
        <v>1000000</v>
      </c>
      <c r="AI1737" s="101">
        <f t="shared" si="247"/>
        <v>1000000</v>
      </c>
      <c r="AJ1737" s="155">
        <v>2</v>
      </c>
      <c r="AK1737" s="121">
        <f t="shared" si="253"/>
        <v>15</v>
      </c>
      <c r="AL1737" s="152">
        <f t="shared" si="251"/>
        <v>664.97285782789857</v>
      </c>
    </row>
    <row r="1738" spans="31:38" ht="15.75" hidden="1" thickBot="1">
      <c r="AE1738" s="795"/>
      <c r="AF1738" s="777"/>
      <c r="AH1738" s="101">
        <f t="shared" si="252"/>
        <v>1000000</v>
      </c>
      <c r="AI1738" s="101">
        <f t="shared" si="247"/>
        <v>1000000</v>
      </c>
      <c r="AJ1738" s="155">
        <v>2</v>
      </c>
      <c r="AK1738" s="121">
        <f t="shared" si="253"/>
        <v>16</v>
      </c>
      <c r="AL1738" s="152">
        <f t="shared" si="251"/>
        <v>662.9999204447771</v>
      </c>
    </row>
    <row r="1739" spans="31:38" ht="15.75" hidden="1" thickBot="1">
      <c r="AE1739" s="795"/>
      <c r="AF1739" s="777"/>
      <c r="AH1739" s="101">
        <f t="shared" si="252"/>
        <v>1000000</v>
      </c>
      <c r="AI1739" s="101">
        <f t="shared" si="247"/>
        <v>1000000</v>
      </c>
      <c r="AJ1739" s="155">
        <v>2</v>
      </c>
      <c r="AK1739" s="121">
        <f t="shared" si="253"/>
        <v>17</v>
      </c>
      <c r="AL1739" s="152">
        <f t="shared" si="251"/>
        <v>661.02698306165553</v>
      </c>
    </row>
    <row r="1740" spans="31:38" ht="15.75" hidden="1" thickBot="1">
      <c r="AE1740" s="795"/>
      <c r="AF1740" s="777"/>
      <c r="AH1740" s="101">
        <f t="shared" si="252"/>
        <v>1000000</v>
      </c>
      <c r="AI1740" s="101">
        <f t="shared" si="247"/>
        <v>1000000</v>
      </c>
      <c r="AJ1740" s="155">
        <v>2</v>
      </c>
      <c r="AK1740" s="121">
        <f t="shared" si="253"/>
        <v>18</v>
      </c>
      <c r="AL1740" s="152">
        <f t="shared" si="251"/>
        <v>659.05404567853407</v>
      </c>
    </row>
    <row r="1741" spans="31:38" ht="15.75" hidden="1" thickBot="1">
      <c r="AE1741" s="795"/>
      <c r="AF1741" s="777"/>
      <c r="AH1741" s="101">
        <f t="shared" si="252"/>
        <v>1000000</v>
      </c>
      <c r="AI1741" s="101">
        <f t="shared" si="247"/>
        <v>1000000</v>
      </c>
      <c r="AJ1741" s="155">
        <v>2</v>
      </c>
      <c r="AK1741" s="121">
        <f t="shared" si="253"/>
        <v>19</v>
      </c>
      <c r="AL1741" s="152">
        <f t="shared" si="251"/>
        <v>657.08110829541261</v>
      </c>
    </row>
    <row r="1742" spans="31:38" ht="15.75" hidden="1" thickBot="1">
      <c r="AE1742" s="795"/>
      <c r="AF1742" s="777"/>
      <c r="AH1742" s="101">
        <f t="shared" si="252"/>
        <v>1000000</v>
      </c>
      <c r="AI1742" s="101">
        <f t="shared" si="247"/>
        <v>1000000</v>
      </c>
      <c r="AJ1742" s="155">
        <v>2</v>
      </c>
      <c r="AK1742" s="121">
        <f t="shared" si="253"/>
        <v>20</v>
      </c>
      <c r="AL1742" s="152">
        <f t="shared" si="251"/>
        <v>655.10817091229114</v>
      </c>
    </row>
    <row r="1743" spans="31:38" ht="15.75" hidden="1" thickBot="1">
      <c r="AE1743" s="795"/>
      <c r="AF1743" s="777"/>
      <c r="AH1743" s="101">
        <f t="shared" si="252"/>
        <v>1000000</v>
      </c>
      <c r="AI1743" s="101">
        <f t="shared" si="247"/>
        <v>1000000</v>
      </c>
      <c r="AJ1743" s="155">
        <v>2</v>
      </c>
      <c r="AK1743" s="121">
        <f t="shared" si="253"/>
        <v>21</v>
      </c>
      <c r="AL1743" s="152">
        <f t="shared" si="251"/>
        <v>653.13523352916957</v>
      </c>
    </row>
    <row r="1744" spans="31:38" ht="15.75" hidden="1" thickBot="1">
      <c r="AE1744" s="795"/>
      <c r="AF1744" s="777"/>
      <c r="AH1744" s="101">
        <f t="shared" si="252"/>
        <v>1000000</v>
      </c>
      <c r="AI1744" s="101">
        <f t="shared" si="247"/>
        <v>1000000</v>
      </c>
      <c r="AJ1744" s="155">
        <v>2</v>
      </c>
      <c r="AK1744" s="121">
        <f t="shared" si="253"/>
        <v>22</v>
      </c>
      <c r="AL1744" s="152">
        <f t="shared" si="251"/>
        <v>651.16229614604811</v>
      </c>
    </row>
    <row r="1745" spans="31:38" ht="15.75" hidden="1" thickBot="1">
      <c r="AE1745" s="795"/>
      <c r="AF1745" s="777"/>
      <c r="AH1745" s="101">
        <f t="shared" si="252"/>
        <v>1000000</v>
      </c>
      <c r="AI1745" s="101">
        <f t="shared" si="247"/>
        <v>1000000</v>
      </c>
      <c r="AJ1745" s="155">
        <v>2</v>
      </c>
      <c r="AK1745" s="121">
        <f t="shared" si="253"/>
        <v>23</v>
      </c>
      <c r="AL1745" s="152">
        <f t="shared" si="251"/>
        <v>649.18935876292653</v>
      </c>
    </row>
    <row r="1746" spans="31:38" ht="15.75" hidden="1" thickBot="1">
      <c r="AE1746" s="795"/>
      <c r="AF1746" s="777"/>
      <c r="AH1746" s="101">
        <f t="shared" si="252"/>
        <v>1000000</v>
      </c>
      <c r="AI1746" s="101">
        <f t="shared" si="247"/>
        <v>1000000</v>
      </c>
      <c r="AJ1746" s="155">
        <v>2</v>
      </c>
      <c r="AK1746" s="121">
        <f t="shared" si="253"/>
        <v>24</v>
      </c>
      <c r="AL1746" s="152">
        <f t="shared" si="251"/>
        <v>647.21642137980507</v>
      </c>
    </row>
    <row r="1747" spans="31:38" ht="15.75" hidden="1" thickBot="1">
      <c r="AE1747" s="795"/>
      <c r="AF1747" s="777"/>
      <c r="AH1747" s="101">
        <f t="shared" si="252"/>
        <v>1000000</v>
      </c>
      <c r="AI1747" s="101">
        <f t="shared" si="247"/>
        <v>1000000</v>
      </c>
      <c r="AJ1747" s="155">
        <v>2</v>
      </c>
      <c r="AK1747" s="121">
        <f t="shared" si="253"/>
        <v>25</v>
      </c>
      <c r="AL1747" s="152">
        <f t="shared" si="251"/>
        <v>645.24348399668361</v>
      </c>
    </row>
    <row r="1748" spans="31:38" ht="15.75" hidden="1" thickBot="1">
      <c r="AE1748" s="795"/>
      <c r="AF1748" s="777"/>
      <c r="AH1748" s="101">
        <f t="shared" si="252"/>
        <v>1000000</v>
      </c>
      <c r="AI1748" s="101">
        <f t="shared" si="247"/>
        <v>1000000</v>
      </c>
      <c r="AJ1748" s="155">
        <v>2</v>
      </c>
      <c r="AK1748" s="121">
        <f t="shared" si="253"/>
        <v>26</v>
      </c>
      <c r="AL1748" s="152">
        <f t="shared" si="251"/>
        <v>643.27054661356215</v>
      </c>
    </row>
    <row r="1749" spans="31:38" ht="15.75" hidden="1" thickBot="1">
      <c r="AE1749" s="795"/>
      <c r="AF1749" s="777"/>
      <c r="AH1749" s="101">
        <f t="shared" si="252"/>
        <v>1000000</v>
      </c>
      <c r="AI1749" s="101">
        <f t="shared" ref="AI1749:AI1812" si="254">IF(AL1749&lt;$D$88,0,AH1749)</f>
        <v>1000000</v>
      </c>
      <c r="AJ1749" s="155">
        <v>2</v>
      </c>
      <c r="AK1749" s="121">
        <f t="shared" si="253"/>
        <v>27</v>
      </c>
      <c r="AL1749" s="152">
        <f t="shared" si="251"/>
        <v>641.29760923044057</v>
      </c>
    </row>
    <row r="1750" spans="31:38" ht="15.75" hidden="1" thickBot="1">
      <c r="AE1750" s="795"/>
      <c r="AF1750" s="777"/>
      <c r="AH1750" s="101">
        <f t="shared" si="252"/>
        <v>1000000</v>
      </c>
      <c r="AI1750" s="101">
        <f t="shared" si="254"/>
        <v>1000000</v>
      </c>
      <c r="AJ1750" s="155">
        <v>2</v>
      </c>
      <c r="AK1750" s="121">
        <f t="shared" si="253"/>
        <v>28</v>
      </c>
      <c r="AL1750" s="152">
        <f t="shared" si="251"/>
        <v>639.32467184731911</v>
      </c>
    </row>
    <row r="1751" spans="31:38" ht="15.75" hidden="1" thickBot="1">
      <c r="AE1751" s="795"/>
      <c r="AF1751" s="777"/>
      <c r="AH1751" s="101">
        <f t="shared" si="252"/>
        <v>1000000</v>
      </c>
      <c r="AI1751" s="101">
        <f t="shared" si="254"/>
        <v>1000000</v>
      </c>
      <c r="AJ1751" s="155">
        <v>2</v>
      </c>
      <c r="AK1751" s="121">
        <f t="shared" si="253"/>
        <v>29</v>
      </c>
      <c r="AL1751" s="152">
        <f t="shared" si="251"/>
        <v>637.35173446419753</v>
      </c>
    </row>
    <row r="1752" spans="31:38" ht="15.75" hidden="1" thickBot="1">
      <c r="AE1752" s="795"/>
      <c r="AF1752" s="777"/>
      <c r="AH1752" s="101">
        <f t="shared" si="252"/>
        <v>1000000</v>
      </c>
      <c r="AI1752" s="101">
        <f t="shared" si="254"/>
        <v>1000000</v>
      </c>
      <c r="AJ1752" s="155">
        <v>2</v>
      </c>
      <c r="AK1752" s="121">
        <f t="shared" si="253"/>
        <v>30</v>
      </c>
      <c r="AL1752" s="152">
        <f t="shared" si="251"/>
        <v>635.37879708107607</v>
      </c>
    </row>
    <row r="1753" spans="31:38" ht="15.75" hidden="1" thickBot="1">
      <c r="AE1753" s="795"/>
      <c r="AF1753" s="777"/>
      <c r="AH1753" s="101">
        <f t="shared" si="252"/>
        <v>1000000</v>
      </c>
      <c r="AI1753" s="101">
        <f t="shared" si="254"/>
        <v>1000000</v>
      </c>
      <c r="AJ1753" s="155">
        <v>2</v>
      </c>
      <c r="AK1753" s="121">
        <f t="shared" si="253"/>
        <v>31</v>
      </c>
      <c r="AL1753" s="152">
        <f t="shared" si="251"/>
        <v>633.40585969795461</v>
      </c>
    </row>
    <row r="1754" spans="31:38" ht="15.75" hidden="1" thickBot="1">
      <c r="AE1754" s="795"/>
      <c r="AF1754" s="777"/>
      <c r="AH1754" s="101">
        <f t="shared" ref="AH1754:AH1785" si="255">AX337</f>
        <v>1000000</v>
      </c>
      <c r="AI1754" s="101">
        <f t="shared" si="254"/>
        <v>1000000</v>
      </c>
      <c r="AJ1754" s="155">
        <v>2</v>
      </c>
      <c r="AK1754" s="121">
        <f t="shared" si="253"/>
        <v>32</v>
      </c>
      <c r="AL1754" s="152">
        <f t="shared" ref="AL1754:AL1785" si="256">AA337</f>
        <v>631.43292231483292</v>
      </c>
    </row>
    <row r="1755" spans="31:38" ht="15.75" hidden="1" thickBot="1">
      <c r="AE1755" s="795"/>
      <c r="AF1755" s="777"/>
      <c r="AH1755" s="101">
        <f t="shared" si="255"/>
        <v>1000000</v>
      </c>
      <c r="AI1755" s="101">
        <f t="shared" si="254"/>
        <v>1000000</v>
      </c>
      <c r="AJ1755" s="155">
        <v>2</v>
      </c>
      <c r="AK1755" s="121">
        <f t="shared" si="253"/>
        <v>33</v>
      </c>
      <c r="AL1755" s="152">
        <f t="shared" si="256"/>
        <v>629.45998493171146</v>
      </c>
    </row>
    <row r="1756" spans="31:38" ht="15.75" hidden="1" thickBot="1">
      <c r="AE1756" s="795"/>
      <c r="AF1756" s="777"/>
      <c r="AH1756" s="101">
        <f t="shared" si="255"/>
        <v>1000000</v>
      </c>
      <c r="AI1756" s="101">
        <f t="shared" si="254"/>
        <v>1000000</v>
      </c>
      <c r="AJ1756" s="155">
        <v>2</v>
      </c>
      <c r="AK1756" s="121">
        <f t="shared" si="253"/>
        <v>34</v>
      </c>
      <c r="AL1756" s="152">
        <f t="shared" si="256"/>
        <v>627.48704754859</v>
      </c>
    </row>
    <row r="1757" spans="31:38" ht="15.75" hidden="1" thickBot="1">
      <c r="AE1757" s="795"/>
      <c r="AF1757" s="777"/>
      <c r="AH1757" s="101">
        <f t="shared" si="255"/>
        <v>1000000</v>
      </c>
      <c r="AI1757" s="101">
        <f t="shared" si="254"/>
        <v>1000000</v>
      </c>
      <c r="AJ1757" s="155">
        <v>2</v>
      </c>
      <c r="AK1757" s="121">
        <f t="shared" si="253"/>
        <v>35</v>
      </c>
      <c r="AL1757" s="152">
        <f t="shared" si="256"/>
        <v>625.51411016546854</v>
      </c>
    </row>
    <row r="1758" spans="31:38" ht="15.75" hidden="1" thickBot="1">
      <c r="AE1758" s="795"/>
      <c r="AF1758" s="777"/>
      <c r="AH1758" s="101">
        <f t="shared" si="255"/>
        <v>1000000</v>
      </c>
      <c r="AI1758" s="101">
        <f t="shared" si="254"/>
        <v>1000000</v>
      </c>
      <c r="AJ1758" s="155">
        <v>2</v>
      </c>
      <c r="AK1758" s="121">
        <f t="shared" si="253"/>
        <v>36</v>
      </c>
      <c r="AL1758" s="152">
        <f t="shared" si="256"/>
        <v>623.54117278234708</v>
      </c>
    </row>
    <row r="1759" spans="31:38" ht="15.75" hidden="1" thickBot="1">
      <c r="AE1759" s="795"/>
      <c r="AF1759" s="777"/>
      <c r="AH1759" s="101">
        <f t="shared" si="255"/>
        <v>1000000</v>
      </c>
      <c r="AI1759" s="101">
        <f t="shared" si="254"/>
        <v>1000000</v>
      </c>
      <c r="AJ1759" s="155">
        <v>2</v>
      </c>
      <c r="AK1759" s="121">
        <f t="shared" si="253"/>
        <v>37</v>
      </c>
      <c r="AL1759" s="152">
        <f t="shared" si="256"/>
        <v>621.5682353992255</v>
      </c>
    </row>
    <row r="1760" spans="31:38" ht="15.75" hidden="1" thickBot="1">
      <c r="AE1760" s="795"/>
      <c r="AF1760" s="777"/>
      <c r="AH1760" s="101">
        <f t="shared" si="255"/>
        <v>1000000</v>
      </c>
      <c r="AI1760" s="101">
        <f t="shared" si="254"/>
        <v>1000000</v>
      </c>
      <c r="AJ1760" s="155">
        <v>2</v>
      </c>
      <c r="AK1760" s="121">
        <f t="shared" si="253"/>
        <v>38</v>
      </c>
      <c r="AL1760" s="152">
        <f t="shared" si="256"/>
        <v>619.59529801610404</v>
      </c>
    </row>
    <row r="1761" spans="31:38" ht="15.75" hidden="1" thickBot="1">
      <c r="AE1761" s="795"/>
      <c r="AF1761" s="777"/>
      <c r="AH1761" s="101">
        <f t="shared" si="255"/>
        <v>1000000</v>
      </c>
      <c r="AI1761" s="101">
        <f t="shared" si="254"/>
        <v>1000000</v>
      </c>
      <c r="AJ1761" s="155">
        <v>2</v>
      </c>
      <c r="AK1761" s="121">
        <f t="shared" si="253"/>
        <v>39</v>
      </c>
      <c r="AL1761" s="152">
        <f t="shared" si="256"/>
        <v>617.62236063298246</v>
      </c>
    </row>
    <row r="1762" spans="31:38" ht="15.75" hidden="1" thickBot="1">
      <c r="AE1762" s="795"/>
      <c r="AF1762" s="777"/>
      <c r="AH1762" s="101">
        <f t="shared" si="255"/>
        <v>1000000</v>
      </c>
      <c r="AI1762" s="101">
        <f t="shared" si="254"/>
        <v>1000000</v>
      </c>
      <c r="AJ1762" s="155">
        <v>2</v>
      </c>
      <c r="AK1762" s="121">
        <f t="shared" si="253"/>
        <v>40</v>
      </c>
      <c r="AL1762" s="152">
        <f t="shared" si="256"/>
        <v>615.649423249861</v>
      </c>
    </row>
    <row r="1763" spans="31:38" ht="15.75" hidden="1" thickBot="1">
      <c r="AE1763" s="795"/>
      <c r="AF1763" s="777"/>
      <c r="AH1763" s="101">
        <f t="shared" si="255"/>
        <v>1000000</v>
      </c>
      <c r="AI1763" s="101">
        <f t="shared" si="254"/>
        <v>1000000</v>
      </c>
      <c r="AJ1763" s="155">
        <v>2</v>
      </c>
      <c r="AK1763" s="121">
        <f t="shared" si="253"/>
        <v>41</v>
      </c>
      <c r="AL1763" s="152">
        <f t="shared" si="256"/>
        <v>613.67648586673954</v>
      </c>
    </row>
    <row r="1764" spans="31:38" ht="15.75" hidden="1" thickBot="1">
      <c r="AE1764" s="795"/>
      <c r="AF1764" s="777"/>
      <c r="AH1764" s="101">
        <f t="shared" si="255"/>
        <v>1000000</v>
      </c>
      <c r="AI1764" s="101">
        <f t="shared" si="254"/>
        <v>1000000</v>
      </c>
      <c r="AJ1764" s="155">
        <v>2</v>
      </c>
      <c r="AK1764" s="121">
        <f t="shared" si="253"/>
        <v>42</v>
      </c>
      <c r="AL1764" s="152">
        <f t="shared" si="256"/>
        <v>611.70354848361808</v>
      </c>
    </row>
    <row r="1765" spans="31:38" ht="15.75" hidden="1" thickBot="1">
      <c r="AE1765" s="795"/>
      <c r="AF1765" s="777"/>
      <c r="AH1765" s="101">
        <f t="shared" si="255"/>
        <v>1000000</v>
      </c>
      <c r="AI1765" s="101">
        <f t="shared" si="254"/>
        <v>1000000</v>
      </c>
      <c r="AJ1765" s="155">
        <v>2</v>
      </c>
      <c r="AK1765" s="121">
        <f t="shared" si="253"/>
        <v>43</v>
      </c>
      <c r="AL1765" s="152">
        <f t="shared" si="256"/>
        <v>609.7306111004965</v>
      </c>
    </row>
    <row r="1766" spans="31:38" ht="15.75" hidden="1" thickBot="1">
      <c r="AE1766" s="795"/>
      <c r="AF1766" s="777"/>
      <c r="AH1766" s="101">
        <f t="shared" si="255"/>
        <v>1000000</v>
      </c>
      <c r="AI1766" s="101">
        <f t="shared" si="254"/>
        <v>1000000</v>
      </c>
      <c r="AJ1766" s="155">
        <v>2</v>
      </c>
      <c r="AK1766" s="121">
        <f t="shared" si="253"/>
        <v>44</v>
      </c>
      <c r="AL1766" s="152">
        <f t="shared" si="256"/>
        <v>607.75767371737493</v>
      </c>
    </row>
    <row r="1767" spans="31:38" ht="15.75" hidden="1" thickBot="1">
      <c r="AE1767" s="795"/>
      <c r="AF1767" s="777"/>
      <c r="AH1767" s="101">
        <f t="shared" si="255"/>
        <v>1000000</v>
      </c>
      <c r="AI1767" s="101">
        <f t="shared" si="254"/>
        <v>1000000</v>
      </c>
      <c r="AJ1767" s="155">
        <v>2</v>
      </c>
      <c r="AK1767" s="121">
        <f t="shared" si="253"/>
        <v>45</v>
      </c>
      <c r="AL1767" s="152">
        <f t="shared" si="256"/>
        <v>605.78473633425347</v>
      </c>
    </row>
    <row r="1768" spans="31:38" ht="15.75" hidden="1" thickBot="1">
      <c r="AE1768" s="795"/>
      <c r="AF1768" s="777"/>
      <c r="AH1768" s="101">
        <f t="shared" si="255"/>
        <v>1000000</v>
      </c>
      <c r="AI1768" s="101">
        <f t="shared" si="254"/>
        <v>1000000</v>
      </c>
      <c r="AJ1768" s="155">
        <v>2</v>
      </c>
      <c r="AK1768" s="121">
        <f t="shared" si="253"/>
        <v>46</v>
      </c>
      <c r="AL1768" s="152">
        <f t="shared" si="256"/>
        <v>603.811798951132</v>
      </c>
    </row>
    <row r="1769" spans="31:38" ht="15.75" hidden="1" thickBot="1">
      <c r="AE1769" s="795"/>
      <c r="AF1769" s="777"/>
      <c r="AH1769" s="101">
        <f t="shared" si="255"/>
        <v>1000000</v>
      </c>
      <c r="AI1769" s="101">
        <f t="shared" si="254"/>
        <v>1000000</v>
      </c>
      <c r="AJ1769" s="155">
        <v>2</v>
      </c>
      <c r="AK1769" s="121">
        <f t="shared" si="253"/>
        <v>47</v>
      </c>
      <c r="AL1769" s="152">
        <f t="shared" si="256"/>
        <v>601.83886156801043</v>
      </c>
    </row>
    <row r="1770" spans="31:38" ht="15.75" hidden="1" thickBot="1">
      <c r="AE1770" s="795"/>
      <c r="AF1770" s="777"/>
      <c r="AH1770" s="101">
        <f t="shared" si="255"/>
        <v>1000000</v>
      </c>
      <c r="AI1770" s="101">
        <f t="shared" si="254"/>
        <v>1000000</v>
      </c>
      <c r="AJ1770" s="155">
        <v>2</v>
      </c>
      <c r="AK1770" s="121">
        <f t="shared" si="253"/>
        <v>48</v>
      </c>
      <c r="AL1770" s="152">
        <f t="shared" si="256"/>
        <v>599.86592418488897</v>
      </c>
    </row>
    <row r="1771" spans="31:38" ht="15.75" hidden="1" thickBot="1">
      <c r="AE1771" s="795"/>
      <c r="AF1771" s="777"/>
      <c r="AH1771" s="101">
        <f t="shared" si="255"/>
        <v>1000000</v>
      </c>
      <c r="AI1771" s="101">
        <f t="shared" si="254"/>
        <v>1000000</v>
      </c>
      <c r="AJ1771" s="155">
        <v>2</v>
      </c>
      <c r="AK1771" s="121">
        <f t="shared" si="253"/>
        <v>49</v>
      </c>
      <c r="AL1771" s="152">
        <f t="shared" si="256"/>
        <v>597.89298680176739</v>
      </c>
    </row>
    <row r="1772" spans="31:38" ht="15.75" hidden="1" thickBot="1">
      <c r="AE1772" s="795"/>
      <c r="AF1772" s="777"/>
      <c r="AH1772" s="101">
        <f t="shared" si="255"/>
        <v>1000000</v>
      </c>
      <c r="AI1772" s="101">
        <f t="shared" si="254"/>
        <v>1000000</v>
      </c>
      <c r="AJ1772" s="155">
        <v>2</v>
      </c>
      <c r="AK1772" s="121">
        <f t="shared" si="253"/>
        <v>50</v>
      </c>
      <c r="AL1772" s="152">
        <f t="shared" si="256"/>
        <v>595.92004941864593</v>
      </c>
    </row>
    <row r="1773" spans="31:38" ht="15.75" hidden="1" thickBot="1">
      <c r="AE1773" s="795"/>
      <c r="AF1773" s="777"/>
      <c r="AH1773" s="101">
        <f t="shared" si="255"/>
        <v>1000000</v>
      </c>
      <c r="AI1773" s="101">
        <f t="shared" si="254"/>
        <v>1000000</v>
      </c>
      <c r="AJ1773" s="155">
        <v>2</v>
      </c>
      <c r="AK1773" s="121">
        <f t="shared" si="253"/>
        <v>51</v>
      </c>
      <c r="AL1773" s="152">
        <f t="shared" si="256"/>
        <v>593.94711203552447</v>
      </c>
    </row>
    <row r="1774" spans="31:38" ht="15.75" hidden="1" thickBot="1">
      <c r="AE1774" s="795"/>
      <c r="AF1774" s="777"/>
      <c r="AH1774" s="101">
        <f t="shared" si="255"/>
        <v>1000000</v>
      </c>
      <c r="AI1774" s="101">
        <f t="shared" si="254"/>
        <v>1000000</v>
      </c>
      <c r="AJ1774" s="155">
        <v>2</v>
      </c>
      <c r="AK1774" s="121">
        <f t="shared" si="253"/>
        <v>52</v>
      </c>
      <c r="AL1774" s="152">
        <f t="shared" si="256"/>
        <v>591.97417465240301</v>
      </c>
    </row>
    <row r="1775" spans="31:38" ht="15.75" hidden="1" thickBot="1">
      <c r="AE1775" s="795"/>
      <c r="AF1775" s="777"/>
      <c r="AH1775" s="101">
        <f t="shared" si="255"/>
        <v>1000000</v>
      </c>
      <c r="AI1775" s="101">
        <f t="shared" si="254"/>
        <v>1000000</v>
      </c>
      <c r="AJ1775" s="155">
        <v>2</v>
      </c>
      <c r="AK1775" s="121">
        <f t="shared" si="253"/>
        <v>53</v>
      </c>
      <c r="AL1775" s="152">
        <f t="shared" si="256"/>
        <v>590.00123726928143</v>
      </c>
    </row>
    <row r="1776" spans="31:38" ht="15.75" hidden="1" thickBot="1">
      <c r="AE1776" s="795"/>
      <c r="AF1776" s="777"/>
      <c r="AH1776" s="101">
        <f t="shared" si="255"/>
        <v>1000000</v>
      </c>
      <c r="AI1776" s="101">
        <f t="shared" si="254"/>
        <v>1000000</v>
      </c>
      <c r="AJ1776" s="155">
        <v>2</v>
      </c>
      <c r="AK1776" s="121">
        <f t="shared" si="253"/>
        <v>54</v>
      </c>
      <c r="AL1776" s="152">
        <f t="shared" si="256"/>
        <v>588.02829988615986</v>
      </c>
    </row>
    <row r="1777" spans="31:38" ht="15.75" hidden="1" thickBot="1">
      <c r="AE1777" s="795"/>
      <c r="AF1777" s="777"/>
      <c r="AH1777" s="101">
        <f t="shared" si="255"/>
        <v>1000000</v>
      </c>
      <c r="AI1777" s="101">
        <f t="shared" si="254"/>
        <v>1000000</v>
      </c>
      <c r="AJ1777" s="155">
        <v>2</v>
      </c>
      <c r="AK1777" s="121">
        <f t="shared" si="253"/>
        <v>55</v>
      </c>
      <c r="AL1777" s="152">
        <f t="shared" si="256"/>
        <v>586.0553625030384</v>
      </c>
    </row>
    <row r="1778" spans="31:38" ht="15.75" hidden="1" thickBot="1">
      <c r="AE1778" s="795"/>
      <c r="AF1778" s="777"/>
      <c r="AH1778" s="101">
        <f t="shared" si="255"/>
        <v>1000000</v>
      </c>
      <c r="AI1778" s="101">
        <f t="shared" si="254"/>
        <v>1000000</v>
      </c>
      <c r="AJ1778" s="155">
        <v>2</v>
      </c>
      <c r="AK1778" s="121">
        <f t="shared" si="253"/>
        <v>56</v>
      </c>
      <c r="AL1778" s="152">
        <f t="shared" si="256"/>
        <v>584.08242511991693</v>
      </c>
    </row>
    <row r="1779" spans="31:38" ht="15.75" hidden="1" thickBot="1">
      <c r="AE1779" s="795"/>
      <c r="AF1779" s="777"/>
      <c r="AH1779" s="101">
        <f t="shared" si="255"/>
        <v>1000000</v>
      </c>
      <c r="AI1779" s="101">
        <f t="shared" si="254"/>
        <v>1000000</v>
      </c>
      <c r="AJ1779" s="155">
        <v>2</v>
      </c>
      <c r="AK1779" s="121">
        <f t="shared" si="253"/>
        <v>57</v>
      </c>
      <c r="AL1779" s="152">
        <f t="shared" si="256"/>
        <v>582.10948773679547</v>
      </c>
    </row>
    <row r="1780" spans="31:38" ht="15.75" hidden="1" thickBot="1">
      <c r="AE1780" s="795"/>
      <c r="AF1780" s="777"/>
      <c r="AH1780" s="101">
        <f t="shared" si="255"/>
        <v>1000000</v>
      </c>
      <c r="AI1780" s="101">
        <f t="shared" si="254"/>
        <v>1000000</v>
      </c>
      <c r="AJ1780" s="155">
        <v>2</v>
      </c>
      <c r="AK1780" s="121">
        <f t="shared" si="253"/>
        <v>58</v>
      </c>
      <c r="AL1780" s="152">
        <f t="shared" si="256"/>
        <v>580.13655035367401</v>
      </c>
    </row>
    <row r="1781" spans="31:38" ht="15.75" hidden="1" thickBot="1">
      <c r="AE1781" s="795"/>
      <c r="AF1781" s="777"/>
      <c r="AH1781" s="101">
        <f t="shared" si="255"/>
        <v>1000000</v>
      </c>
      <c r="AI1781" s="101">
        <f t="shared" si="254"/>
        <v>1000000</v>
      </c>
      <c r="AJ1781" s="155">
        <v>2</v>
      </c>
      <c r="AK1781" s="121">
        <f t="shared" si="253"/>
        <v>59</v>
      </c>
      <c r="AL1781" s="152">
        <f t="shared" si="256"/>
        <v>578.16361297055244</v>
      </c>
    </row>
    <row r="1782" spans="31:38" ht="15.75" hidden="1" thickBot="1">
      <c r="AE1782" s="795"/>
      <c r="AF1782" s="777"/>
      <c r="AH1782" s="101">
        <f t="shared" si="255"/>
        <v>1000000</v>
      </c>
      <c r="AI1782" s="101">
        <f t="shared" si="254"/>
        <v>1000000</v>
      </c>
      <c r="AJ1782" s="155">
        <v>2</v>
      </c>
      <c r="AK1782" s="121">
        <f t="shared" si="253"/>
        <v>60</v>
      </c>
      <c r="AL1782" s="152">
        <f t="shared" si="256"/>
        <v>576.19067558743086</v>
      </c>
    </row>
    <row r="1783" spans="31:38" ht="15.75" hidden="1" thickBot="1">
      <c r="AE1783" s="795"/>
      <c r="AF1783" s="777"/>
      <c r="AH1783" s="101">
        <f t="shared" si="255"/>
        <v>1000000</v>
      </c>
      <c r="AI1783" s="101">
        <f t="shared" si="254"/>
        <v>1000000</v>
      </c>
      <c r="AJ1783" s="155">
        <v>2</v>
      </c>
      <c r="AK1783" s="121">
        <f t="shared" si="253"/>
        <v>61</v>
      </c>
      <c r="AL1783" s="152">
        <f t="shared" si="256"/>
        <v>574.2177382043094</v>
      </c>
    </row>
    <row r="1784" spans="31:38" ht="15.75" hidden="1" thickBot="1">
      <c r="AE1784" s="795"/>
      <c r="AF1784" s="777"/>
      <c r="AH1784" s="101">
        <f t="shared" si="255"/>
        <v>1000000</v>
      </c>
      <c r="AI1784" s="101">
        <f t="shared" si="254"/>
        <v>1000000</v>
      </c>
      <c r="AJ1784" s="155">
        <v>2</v>
      </c>
      <c r="AK1784" s="121">
        <f t="shared" si="253"/>
        <v>62</v>
      </c>
      <c r="AL1784" s="152">
        <f t="shared" si="256"/>
        <v>572.24480082118782</v>
      </c>
    </row>
    <row r="1785" spans="31:38" ht="15.75" hidden="1" thickBot="1">
      <c r="AE1785" s="795"/>
      <c r="AF1785" s="777"/>
      <c r="AH1785" s="101">
        <f t="shared" si="255"/>
        <v>1000000</v>
      </c>
      <c r="AI1785" s="101">
        <f t="shared" si="254"/>
        <v>1000000</v>
      </c>
      <c r="AJ1785" s="155">
        <v>2</v>
      </c>
      <c r="AK1785" s="121">
        <f t="shared" si="253"/>
        <v>63</v>
      </c>
      <c r="AL1785" s="152">
        <f t="shared" si="256"/>
        <v>570.27186343806636</v>
      </c>
    </row>
    <row r="1786" spans="31:38" ht="15.75" hidden="1" thickBot="1">
      <c r="AE1786" s="795"/>
      <c r="AF1786" s="777"/>
      <c r="AH1786" s="101">
        <f t="shared" ref="AH1786:AH1817" si="257">AX369</f>
        <v>1000000</v>
      </c>
      <c r="AI1786" s="101">
        <f t="shared" si="254"/>
        <v>1000000</v>
      </c>
      <c r="AJ1786" s="155">
        <v>2</v>
      </c>
      <c r="AK1786" s="121">
        <f t="shared" si="253"/>
        <v>64</v>
      </c>
      <c r="AL1786" s="152">
        <f t="shared" ref="AL1786:AL1817" si="258">AA369</f>
        <v>568.29892605494479</v>
      </c>
    </row>
    <row r="1787" spans="31:38" ht="15.75" hidden="1" thickBot="1">
      <c r="AE1787" s="795"/>
      <c r="AF1787" s="777"/>
      <c r="AH1787" s="101">
        <f t="shared" si="257"/>
        <v>1000000</v>
      </c>
      <c r="AI1787" s="101">
        <f t="shared" si="254"/>
        <v>1000000</v>
      </c>
      <c r="AJ1787" s="155">
        <v>2</v>
      </c>
      <c r="AK1787" s="121">
        <f t="shared" ref="AK1787:AK1822" si="259">AK1786+1</f>
        <v>65</v>
      </c>
      <c r="AL1787" s="152">
        <f t="shared" si="258"/>
        <v>566.32598867182332</v>
      </c>
    </row>
    <row r="1788" spans="31:38" ht="15.75" hidden="1" thickBot="1">
      <c r="AE1788" s="795"/>
      <c r="AF1788" s="777"/>
      <c r="AH1788" s="101">
        <f t="shared" si="257"/>
        <v>1000000</v>
      </c>
      <c r="AI1788" s="101">
        <f t="shared" si="254"/>
        <v>1000000</v>
      </c>
      <c r="AJ1788" s="155">
        <v>2</v>
      </c>
      <c r="AK1788" s="121">
        <f t="shared" si="259"/>
        <v>66</v>
      </c>
      <c r="AL1788" s="152">
        <f t="shared" si="258"/>
        <v>564.35305128870186</v>
      </c>
    </row>
    <row r="1789" spans="31:38" ht="15.75" hidden="1" thickBot="1">
      <c r="AE1789" s="795"/>
      <c r="AF1789" s="777"/>
      <c r="AH1789" s="101">
        <f t="shared" si="257"/>
        <v>1000000</v>
      </c>
      <c r="AI1789" s="101">
        <f t="shared" si="254"/>
        <v>1000000</v>
      </c>
      <c r="AJ1789" s="155">
        <v>2</v>
      </c>
      <c r="AK1789" s="121">
        <f t="shared" si="259"/>
        <v>67</v>
      </c>
      <c r="AL1789" s="152">
        <f t="shared" si="258"/>
        <v>562.38011390558029</v>
      </c>
    </row>
    <row r="1790" spans="31:38" ht="15.75" hidden="1" thickBot="1">
      <c r="AE1790" s="795"/>
      <c r="AF1790" s="777"/>
      <c r="AH1790" s="101">
        <f t="shared" si="257"/>
        <v>1000000</v>
      </c>
      <c r="AI1790" s="101">
        <f t="shared" si="254"/>
        <v>1000000</v>
      </c>
      <c r="AJ1790" s="155">
        <v>2</v>
      </c>
      <c r="AK1790" s="121">
        <f t="shared" si="259"/>
        <v>68</v>
      </c>
      <c r="AL1790" s="152">
        <f t="shared" si="258"/>
        <v>560.40717652245883</v>
      </c>
    </row>
    <row r="1791" spans="31:38" ht="15.75" hidden="1" thickBot="1">
      <c r="AE1791" s="795"/>
      <c r="AF1791" s="777"/>
      <c r="AH1791" s="101">
        <f t="shared" si="257"/>
        <v>1000000</v>
      </c>
      <c r="AI1791" s="101">
        <f t="shared" si="254"/>
        <v>1000000</v>
      </c>
      <c r="AJ1791" s="155">
        <v>2</v>
      </c>
      <c r="AK1791" s="121">
        <f t="shared" si="259"/>
        <v>69</v>
      </c>
      <c r="AL1791" s="152">
        <f t="shared" si="258"/>
        <v>558.43423913933736</v>
      </c>
    </row>
    <row r="1792" spans="31:38" ht="15.75" hidden="1" thickBot="1">
      <c r="AE1792" s="795"/>
      <c r="AF1792" s="777"/>
      <c r="AH1792" s="101">
        <f t="shared" si="257"/>
        <v>1000000</v>
      </c>
      <c r="AI1792" s="101">
        <f t="shared" si="254"/>
        <v>1000000</v>
      </c>
      <c r="AJ1792" s="155">
        <v>2</v>
      </c>
      <c r="AK1792" s="121">
        <f t="shared" si="259"/>
        <v>70</v>
      </c>
      <c r="AL1792" s="152">
        <f t="shared" si="258"/>
        <v>556.4613017562159</v>
      </c>
    </row>
    <row r="1793" spans="31:38" ht="15.75" hidden="1" thickBot="1">
      <c r="AE1793" s="795"/>
      <c r="AF1793" s="777"/>
      <c r="AH1793" s="101">
        <f t="shared" si="257"/>
        <v>1000000</v>
      </c>
      <c r="AI1793" s="101">
        <f t="shared" si="254"/>
        <v>1000000</v>
      </c>
      <c r="AJ1793" s="155">
        <v>2</v>
      </c>
      <c r="AK1793" s="121">
        <f t="shared" si="259"/>
        <v>71</v>
      </c>
      <c r="AL1793" s="152">
        <f t="shared" si="258"/>
        <v>554.48836437309433</v>
      </c>
    </row>
    <row r="1794" spans="31:38" ht="15.75" hidden="1" thickBot="1">
      <c r="AE1794" s="795"/>
      <c r="AF1794" s="777"/>
      <c r="AH1794" s="101">
        <f t="shared" si="257"/>
        <v>1000000</v>
      </c>
      <c r="AI1794" s="101">
        <f t="shared" si="254"/>
        <v>1000000</v>
      </c>
      <c r="AJ1794" s="155">
        <v>2</v>
      </c>
      <c r="AK1794" s="121">
        <f t="shared" si="259"/>
        <v>72</v>
      </c>
      <c r="AL1794" s="152">
        <f t="shared" si="258"/>
        <v>552.51542698997287</v>
      </c>
    </row>
    <row r="1795" spans="31:38" ht="15.75" hidden="1" thickBot="1">
      <c r="AE1795" s="795"/>
      <c r="AF1795" s="777"/>
      <c r="AH1795" s="101">
        <f t="shared" si="257"/>
        <v>1000000</v>
      </c>
      <c r="AI1795" s="101">
        <f t="shared" si="254"/>
        <v>1000000</v>
      </c>
      <c r="AJ1795" s="155">
        <v>2</v>
      </c>
      <c r="AK1795" s="121">
        <f t="shared" si="259"/>
        <v>73</v>
      </c>
      <c r="AL1795" s="152">
        <f t="shared" si="258"/>
        <v>550.5424896068514</v>
      </c>
    </row>
    <row r="1796" spans="31:38" ht="15.75" hidden="1" thickBot="1">
      <c r="AE1796" s="795"/>
      <c r="AF1796" s="777"/>
      <c r="AH1796" s="101">
        <f t="shared" si="257"/>
        <v>1000000</v>
      </c>
      <c r="AI1796" s="101">
        <f t="shared" si="254"/>
        <v>1000000</v>
      </c>
      <c r="AJ1796" s="155">
        <v>2</v>
      </c>
      <c r="AK1796" s="121">
        <f t="shared" si="259"/>
        <v>74</v>
      </c>
      <c r="AL1796" s="152">
        <f t="shared" si="258"/>
        <v>548.56955222372983</v>
      </c>
    </row>
    <row r="1797" spans="31:38" ht="15.75" hidden="1" thickBot="1">
      <c r="AE1797" s="795"/>
      <c r="AF1797" s="777"/>
      <c r="AH1797" s="101">
        <f t="shared" si="257"/>
        <v>1000000</v>
      </c>
      <c r="AI1797" s="101">
        <f t="shared" si="254"/>
        <v>1000000</v>
      </c>
      <c r="AJ1797" s="155">
        <v>2</v>
      </c>
      <c r="AK1797" s="121">
        <f t="shared" si="259"/>
        <v>75</v>
      </c>
      <c r="AL1797" s="152">
        <f t="shared" si="258"/>
        <v>546.59661484060837</v>
      </c>
    </row>
    <row r="1798" spans="31:38" ht="15.75" hidden="1" thickBot="1">
      <c r="AE1798" s="795"/>
      <c r="AF1798" s="777"/>
      <c r="AH1798" s="101">
        <f t="shared" si="257"/>
        <v>1000000</v>
      </c>
      <c r="AI1798" s="101">
        <f t="shared" si="254"/>
        <v>1000000</v>
      </c>
      <c r="AJ1798" s="155">
        <v>2</v>
      </c>
      <c r="AK1798" s="121">
        <f t="shared" si="259"/>
        <v>76</v>
      </c>
      <c r="AL1798" s="152">
        <f t="shared" si="258"/>
        <v>544.62367745748679</v>
      </c>
    </row>
    <row r="1799" spans="31:38" ht="15.75" hidden="1" thickBot="1">
      <c r="AE1799" s="795"/>
      <c r="AF1799" s="777"/>
      <c r="AH1799" s="101">
        <f t="shared" si="257"/>
        <v>1000000</v>
      </c>
      <c r="AI1799" s="101">
        <f t="shared" si="254"/>
        <v>1000000</v>
      </c>
      <c r="AJ1799" s="155">
        <v>2</v>
      </c>
      <c r="AK1799" s="121">
        <f t="shared" si="259"/>
        <v>77</v>
      </c>
      <c r="AL1799" s="152">
        <f t="shared" si="258"/>
        <v>542.65074007436533</v>
      </c>
    </row>
    <row r="1800" spans="31:38" ht="15.75" hidden="1" thickBot="1">
      <c r="AE1800" s="795"/>
      <c r="AF1800" s="777"/>
      <c r="AH1800" s="101">
        <f t="shared" si="257"/>
        <v>1000000</v>
      </c>
      <c r="AI1800" s="101">
        <f t="shared" si="254"/>
        <v>1000000</v>
      </c>
      <c r="AJ1800" s="155">
        <v>2</v>
      </c>
      <c r="AK1800" s="121">
        <f t="shared" si="259"/>
        <v>78</v>
      </c>
      <c r="AL1800" s="152">
        <f t="shared" si="258"/>
        <v>540.67780269124376</v>
      </c>
    </row>
    <row r="1801" spans="31:38" ht="15.75" hidden="1" thickBot="1">
      <c r="AE1801" s="795"/>
      <c r="AF1801" s="777"/>
      <c r="AH1801" s="101">
        <f t="shared" si="257"/>
        <v>1000000</v>
      </c>
      <c r="AI1801" s="101">
        <f t="shared" si="254"/>
        <v>1000000</v>
      </c>
      <c r="AJ1801" s="155">
        <v>2</v>
      </c>
      <c r="AK1801" s="121">
        <f t="shared" si="259"/>
        <v>79</v>
      </c>
      <c r="AL1801" s="152">
        <f t="shared" si="258"/>
        <v>538.70486530812218</v>
      </c>
    </row>
    <row r="1802" spans="31:38" ht="15.75" hidden="1" thickBot="1">
      <c r="AE1802" s="795"/>
      <c r="AF1802" s="777"/>
      <c r="AH1802" s="101">
        <f t="shared" si="257"/>
        <v>1000000</v>
      </c>
      <c r="AI1802" s="101">
        <f t="shared" si="254"/>
        <v>1000000</v>
      </c>
      <c r="AJ1802" s="155">
        <v>2</v>
      </c>
      <c r="AK1802" s="121">
        <f t="shared" si="259"/>
        <v>80</v>
      </c>
      <c r="AL1802" s="152">
        <f t="shared" si="258"/>
        <v>536.73192792500072</v>
      </c>
    </row>
    <row r="1803" spans="31:38" ht="15.75" hidden="1" thickBot="1">
      <c r="AE1803" s="795"/>
      <c r="AF1803" s="777"/>
      <c r="AH1803" s="101">
        <f t="shared" si="257"/>
        <v>1000000</v>
      </c>
      <c r="AI1803" s="101">
        <f t="shared" si="254"/>
        <v>1000000</v>
      </c>
      <c r="AJ1803" s="155">
        <v>2</v>
      </c>
      <c r="AK1803" s="121">
        <f t="shared" si="259"/>
        <v>81</v>
      </c>
      <c r="AL1803" s="152">
        <f t="shared" si="258"/>
        <v>534.75899054187926</v>
      </c>
    </row>
    <row r="1804" spans="31:38" ht="15.75" hidden="1" thickBot="1">
      <c r="AE1804" s="795"/>
      <c r="AF1804" s="777"/>
      <c r="AH1804" s="101">
        <f t="shared" si="257"/>
        <v>1000000</v>
      </c>
      <c r="AI1804" s="101">
        <f t="shared" si="254"/>
        <v>1000000</v>
      </c>
      <c r="AJ1804" s="155">
        <v>2</v>
      </c>
      <c r="AK1804" s="121">
        <f t="shared" si="259"/>
        <v>82</v>
      </c>
      <c r="AL1804" s="152">
        <f t="shared" si="258"/>
        <v>532.7860531587578</v>
      </c>
    </row>
    <row r="1805" spans="31:38" ht="15.75" hidden="1" thickBot="1">
      <c r="AE1805" s="795"/>
      <c r="AF1805" s="777"/>
      <c r="AH1805" s="101">
        <f t="shared" si="257"/>
        <v>1000000</v>
      </c>
      <c r="AI1805" s="101">
        <f t="shared" si="254"/>
        <v>1000000</v>
      </c>
      <c r="AJ1805" s="155">
        <v>2</v>
      </c>
      <c r="AK1805" s="121">
        <f t="shared" si="259"/>
        <v>83</v>
      </c>
      <c r="AL1805" s="152">
        <f t="shared" si="258"/>
        <v>530.81311577563622</v>
      </c>
    </row>
    <row r="1806" spans="31:38" ht="15.75" hidden="1" thickBot="1">
      <c r="AE1806" s="795"/>
      <c r="AF1806" s="777"/>
      <c r="AH1806" s="101">
        <f t="shared" si="257"/>
        <v>1000000</v>
      </c>
      <c r="AI1806" s="101">
        <f t="shared" si="254"/>
        <v>1000000</v>
      </c>
      <c r="AJ1806" s="155">
        <v>2</v>
      </c>
      <c r="AK1806" s="121">
        <f t="shared" si="259"/>
        <v>84</v>
      </c>
      <c r="AL1806" s="152">
        <f t="shared" si="258"/>
        <v>528.84017839251476</v>
      </c>
    </row>
    <row r="1807" spans="31:38" ht="15.75" hidden="1" thickBot="1">
      <c r="AE1807" s="795"/>
      <c r="AF1807" s="777"/>
      <c r="AH1807" s="101">
        <f t="shared" si="257"/>
        <v>1000000</v>
      </c>
      <c r="AI1807" s="101">
        <f t="shared" si="254"/>
        <v>1000000</v>
      </c>
      <c r="AJ1807" s="155">
        <v>2</v>
      </c>
      <c r="AK1807" s="121">
        <f t="shared" si="259"/>
        <v>85</v>
      </c>
      <c r="AL1807" s="152">
        <f t="shared" si="258"/>
        <v>526.8672410093933</v>
      </c>
    </row>
    <row r="1808" spans="31:38" ht="15.75" hidden="1" thickBot="1">
      <c r="AE1808" s="795"/>
      <c r="AF1808" s="777"/>
      <c r="AH1808" s="101">
        <f t="shared" si="257"/>
        <v>1000000</v>
      </c>
      <c r="AI1808" s="101">
        <f t="shared" si="254"/>
        <v>1000000</v>
      </c>
      <c r="AJ1808" s="155">
        <v>2</v>
      </c>
      <c r="AK1808" s="121">
        <f t="shared" si="259"/>
        <v>86</v>
      </c>
      <c r="AL1808" s="152">
        <f t="shared" si="258"/>
        <v>524.89430362627184</v>
      </c>
    </row>
    <row r="1809" spans="31:38" ht="15.75" hidden="1" thickBot="1">
      <c r="AE1809" s="795"/>
      <c r="AF1809" s="777"/>
      <c r="AH1809" s="101">
        <f t="shared" si="257"/>
        <v>1000000</v>
      </c>
      <c r="AI1809" s="101">
        <f t="shared" si="254"/>
        <v>1000000</v>
      </c>
      <c r="AJ1809" s="155">
        <v>2</v>
      </c>
      <c r="AK1809" s="121">
        <f t="shared" si="259"/>
        <v>87</v>
      </c>
      <c r="AL1809" s="152">
        <f t="shared" si="258"/>
        <v>522.92136624315026</v>
      </c>
    </row>
    <row r="1810" spans="31:38" ht="15.75" hidden="1" thickBot="1">
      <c r="AE1810" s="795"/>
      <c r="AF1810" s="777"/>
      <c r="AH1810" s="101">
        <f t="shared" si="257"/>
        <v>1000000</v>
      </c>
      <c r="AI1810" s="101">
        <f t="shared" si="254"/>
        <v>1000000</v>
      </c>
      <c r="AJ1810" s="155">
        <v>2</v>
      </c>
      <c r="AK1810" s="121">
        <f t="shared" si="259"/>
        <v>88</v>
      </c>
      <c r="AL1810" s="152">
        <f t="shared" si="258"/>
        <v>520.9484288600288</v>
      </c>
    </row>
    <row r="1811" spans="31:38" ht="15.75" hidden="1" thickBot="1">
      <c r="AE1811" s="795"/>
      <c r="AF1811" s="777"/>
      <c r="AH1811" s="101">
        <f t="shared" si="257"/>
        <v>1000000</v>
      </c>
      <c r="AI1811" s="101">
        <f t="shared" si="254"/>
        <v>1000000</v>
      </c>
      <c r="AJ1811" s="155">
        <v>2</v>
      </c>
      <c r="AK1811" s="121">
        <f t="shared" si="259"/>
        <v>89</v>
      </c>
      <c r="AL1811" s="152">
        <f t="shared" si="258"/>
        <v>518.97549147690734</v>
      </c>
    </row>
    <row r="1812" spans="31:38" ht="15.75" hidden="1" thickBot="1">
      <c r="AE1812" s="795"/>
      <c r="AF1812" s="777"/>
      <c r="AH1812" s="101">
        <f t="shared" si="257"/>
        <v>1000000</v>
      </c>
      <c r="AI1812" s="101">
        <f t="shared" si="254"/>
        <v>1000000</v>
      </c>
      <c r="AJ1812" s="155">
        <v>2</v>
      </c>
      <c r="AK1812" s="121">
        <f t="shared" si="259"/>
        <v>90</v>
      </c>
      <c r="AL1812" s="152">
        <f t="shared" si="258"/>
        <v>517.00255409378576</v>
      </c>
    </row>
    <row r="1813" spans="31:38" ht="15.75" hidden="1" thickBot="1">
      <c r="AE1813" s="795"/>
      <c r="AF1813" s="777"/>
      <c r="AH1813" s="101">
        <f t="shared" si="257"/>
        <v>1000000</v>
      </c>
      <c r="AI1813" s="101">
        <f t="shared" ref="AI1813:AI1876" si="260">IF(AL1813&lt;$D$88,0,AH1813)</f>
        <v>1000000</v>
      </c>
      <c r="AJ1813" s="155">
        <v>2</v>
      </c>
      <c r="AK1813" s="121">
        <f t="shared" si="259"/>
        <v>91</v>
      </c>
      <c r="AL1813" s="152">
        <f t="shared" si="258"/>
        <v>515.02961671066419</v>
      </c>
    </row>
    <row r="1814" spans="31:38" ht="15.75" hidden="1" thickBot="1">
      <c r="AE1814" s="795"/>
      <c r="AF1814" s="777"/>
      <c r="AH1814" s="101">
        <f t="shared" si="257"/>
        <v>1000000</v>
      </c>
      <c r="AI1814" s="101">
        <f t="shared" si="260"/>
        <v>1000000</v>
      </c>
      <c r="AJ1814" s="155">
        <v>2</v>
      </c>
      <c r="AK1814" s="121">
        <f t="shared" si="259"/>
        <v>92</v>
      </c>
      <c r="AL1814" s="152">
        <f t="shared" si="258"/>
        <v>513.05667932754272</v>
      </c>
    </row>
    <row r="1815" spans="31:38" ht="15.75" hidden="1" thickBot="1">
      <c r="AE1815" s="795"/>
      <c r="AF1815" s="777"/>
      <c r="AH1815" s="101">
        <f t="shared" si="257"/>
        <v>1000000</v>
      </c>
      <c r="AI1815" s="101">
        <f t="shared" si="260"/>
        <v>1000000</v>
      </c>
      <c r="AJ1815" s="155">
        <v>2</v>
      </c>
      <c r="AK1815" s="121">
        <f t="shared" si="259"/>
        <v>93</v>
      </c>
      <c r="AL1815" s="152">
        <f t="shared" si="258"/>
        <v>511.08374194442126</v>
      </c>
    </row>
    <row r="1816" spans="31:38" ht="15.75" hidden="1" thickBot="1">
      <c r="AE1816" s="795"/>
      <c r="AF1816" s="777"/>
      <c r="AH1816" s="101">
        <f t="shared" si="257"/>
        <v>1000000</v>
      </c>
      <c r="AI1816" s="101">
        <f t="shared" si="260"/>
        <v>1000000</v>
      </c>
      <c r="AJ1816" s="155">
        <v>2</v>
      </c>
      <c r="AK1816" s="121">
        <f t="shared" si="259"/>
        <v>94</v>
      </c>
      <c r="AL1816" s="152">
        <f t="shared" si="258"/>
        <v>509.11080456129963</v>
      </c>
    </row>
    <row r="1817" spans="31:38" ht="15.75" hidden="1" thickBot="1">
      <c r="AE1817" s="795"/>
      <c r="AF1817" s="777"/>
      <c r="AH1817" s="101">
        <f t="shared" si="257"/>
        <v>1000000</v>
      </c>
      <c r="AI1817" s="101">
        <f t="shared" si="260"/>
        <v>1000000</v>
      </c>
      <c r="AJ1817" s="155">
        <v>2</v>
      </c>
      <c r="AK1817" s="121">
        <f t="shared" si="259"/>
        <v>95</v>
      </c>
      <c r="AL1817" s="152">
        <f t="shared" si="258"/>
        <v>507.13786717817817</v>
      </c>
    </row>
    <row r="1818" spans="31:38" ht="15.75" hidden="1" thickBot="1">
      <c r="AE1818" s="795"/>
      <c r="AF1818" s="777"/>
      <c r="AH1818" s="101">
        <f>AX401</f>
        <v>1000000</v>
      </c>
      <c r="AI1818" s="101">
        <f t="shared" si="260"/>
        <v>1000000</v>
      </c>
      <c r="AJ1818" s="155">
        <v>2</v>
      </c>
      <c r="AK1818" s="121">
        <f t="shared" si="259"/>
        <v>96</v>
      </c>
      <c r="AL1818" s="152">
        <f>AA401</f>
        <v>505.16492979505671</v>
      </c>
    </row>
    <row r="1819" spans="31:38" ht="15.75" hidden="1" thickBot="1">
      <c r="AE1819" s="795"/>
      <c r="AF1819" s="777"/>
      <c r="AH1819" s="101">
        <f>AX402</f>
        <v>1000000</v>
      </c>
      <c r="AI1819" s="101">
        <f t="shared" si="260"/>
        <v>1000000</v>
      </c>
      <c r="AJ1819" s="155">
        <v>2</v>
      </c>
      <c r="AK1819" s="121">
        <f t="shared" si="259"/>
        <v>97</v>
      </c>
      <c r="AL1819" s="152">
        <f>AA402</f>
        <v>503.19199241193525</v>
      </c>
    </row>
    <row r="1820" spans="31:38" ht="15.75" hidden="1" thickBot="1">
      <c r="AE1820" s="795"/>
      <c r="AF1820" s="777"/>
      <c r="AH1820" s="101">
        <f>AX403</f>
        <v>1000000</v>
      </c>
      <c r="AI1820" s="101">
        <f t="shared" si="260"/>
        <v>1000000</v>
      </c>
      <c r="AJ1820" s="155">
        <v>2</v>
      </c>
      <c r="AK1820" s="121">
        <f t="shared" si="259"/>
        <v>98</v>
      </c>
      <c r="AL1820" s="152">
        <f>AA403</f>
        <v>501.21905502881378</v>
      </c>
    </row>
    <row r="1821" spans="31:38" ht="15.75" hidden="1" thickBot="1">
      <c r="AE1821" s="795"/>
      <c r="AF1821" s="777"/>
      <c r="AH1821" s="101">
        <f>AX404</f>
        <v>1000000</v>
      </c>
      <c r="AI1821" s="101">
        <f t="shared" si="260"/>
        <v>1000000</v>
      </c>
      <c r="AJ1821" s="155">
        <v>2</v>
      </c>
      <c r="AK1821" s="121">
        <f t="shared" si="259"/>
        <v>99</v>
      </c>
      <c r="AL1821" s="152">
        <f>AA404</f>
        <v>499.24611764569215</v>
      </c>
    </row>
    <row r="1822" spans="31:38" ht="15.75" hidden="1" thickBot="1">
      <c r="AE1822" s="795"/>
      <c r="AF1822" s="778"/>
      <c r="AH1822" s="101">
        <f>AX405</f>
        <v>1000000</v>
      </c>
      <c r="AI1822" s="101">
        <f t="shared" si="260"/>
        <v>1000000</v>
      </c>
      <c r="AJ1822" s="155">
        <v>2</v>
      </c>
      <c r="AK1822" s="121">
        <f t="shared" si="259"/>
        <v>100</v>
      </c>
      <c r="AL1822" s="152">
        <f>AA405</f>
        <v>497.27318026257069</v>
      </c>
    </row>
    <row r="1823" spans="31:38" ht="15.75" hidden="1" thickBot="1">
      <c r="AE1823" s="795"/>
      <c r="AF1823" s="776" t="s">
        <v>291</v>
      </c>
      <c r="AH1823" s="101">
        <f>BE305</f>
        <v>206.65077097997724</v>
      </c>
      <c r="AI1823" s="101">
        <f t="shared" si="260"/>
        <v>206.65077097997724</v>
      </c>
      <c r="AJ1823" s="155">
        <v>3</v>
      </c>
      <c r="AK1823" s="121">
        <v>0</v>
      </c>
      <c r="AL1823" s="152">
        <f t="shared" ref="AL1823:AL1854" si="261">AB305</f>
        <v>926.08922476629493</v>
      </c>
    </row>
    <row r="1824" spans="31:38" ht="15.75" hidden="1" thickBot="1">
      <c r="AE1824" s="795"/>
      <c r="AF1824" s="777"/>
      <c r="AH1824" s="101">
        <f t="shared" ref="AH1824:AH1854" si="262">BE306</f>
        <v>1000000</v>
      </c>
      <c r="AI1824" s="101">
        <f t="shared" si="260"/>
        <v>1000000</v>
      </c>
      <c r="AJ1824" s="155">
        <v>3</v>
      </c>
      <c r="AK1824" s="121">
        <f t="shared" ref="AK1824:AK1887" si="263">AK1823+1</f>
        <v>1</v>
      </c>
      <c r="AL1824" s="152">
        <f t="shared" si="261"/>
        <v>923.45864158879954</v>
      </c>
    </row>
    <row r="1825" spans="31:38" ht="15.75" hidden="1" thickBot="1">
      <c r="AE1825" s="795"/>
      <c r="AF1825" s="777"/>
      <c r="AH1825" s="101">
        <f t="shared" si="262"/>
        <v>1000000</v>
      </c>
      <c r="AI1825" s="101">
        <f t="shared" si="260"/>
        <v>1000000</v>
      </c>
      <c r="AJ1825" s="155">
        <v>3</v>
      </c>
      <c r="AK1825" s="121">
        <f t="shared" si="263"/>
        <v>2</v>
      </c>
      <c r="AL1825" s="152">
        <f t="shared" si="261"/>
        <v>920.82805841130426</v>
      </c>
    </row>
    <row r="1826" spans="31:38" ht="15.75" hidden="1" thickBot="1">
      <c r="AE1826" s="795"/>
      <c r="AF1826" s="777"/>
      <c r="AH1826" s="101">
        <f t="shared" si="262"/>
        <v>1000000</v>
      </c>
      <c r="AI1826" s="101">
        <f t="shared" si="260"/>
        <v>1000000</v>
      </c>
      <c r="AJ1826" s="155">
        <v>3</v>
      </c>
      <c r="AK1826" s="121">
        <f t="shared" si="263"/>
        <v>3</v>
      </c>
      <c r="AL1826" s="152">
        <f t="shared" si="261"/>
        <v>918.19747523380897</v>
      </c>
    </row>
    <row r="1827" spans="31:38" ht="15.75" hidden="1" thickBot="1">
      <c r="AE1827" s="795"/>
      <c r="AF1827" s="777"/>
      <c r="AH1827" s="101">
        <f t="shared" si="262"/>
        <v>1000000</v>
      </c>
      <c r="AI1827" s="101">
        <f t="shared" si="260"/>
        <v>1000000</v>
      </c>
      <c r="AJ1827" s="155">
        <v>3</v>
      </c>
      <c r="AK1827" s="121">
        <f t="shared" si="263"/>
        <v>4</v>
      </c>
      <c r="AL1827" s="152">
        <f t="shared" si="261"/>
        <v>915.56689205631358</v>
      </c>
    </row>
    <row r="1828" spans="31:38" ht="15.75" hidden="1" thickBot="1">
      <c r="AE1828" s="795"/>
      <c r="AF1828" s="777"/>
      <c r="AH1828" s="101">
        <f t="shared" si="262"/>
        <v>1000000</v>
      </c>
      <c r="AI1828" s="101">
        <f t="shared" si="260"/>
        <v>1000000</v>
      </c>
      <c r="AJ1828" s="155">
        <v>3</v>
      </c>
      <c r="AK1828" s="121">
        <f t="shared" si="263"/>
        <v>5</v>
      </c>
      <c r="AL1828" s="152">
        <f t="shared" si="261"/>
        <v>912.93630887881818</v>
      </c>
    </row>
    <row r="1829" spans="31:38" ht="15.75" hidden="1" thickBot="1">
      <c r="AE1829" s="795"/>
      <c r="AF1829" s="777"/>
      <c r="AH1829" s="101">
        <f t="shared" si="262"/>
        <v>1000000</v>
      </c>
      <c r="AI1829" s="101">
        <f t="shared" si="260"/>
        <v>1000000</v>
      </c>
      <c r="AJ1829" s="155">
        <v>3</v>
      </c>
      <c r="AK1829" s="121">
        <f t="shared" si="263"/>
        <v>6</v>
      </c>
      <c r="AL1829" s="152">
        <f t="shared" si="261"/>
        <v>910.3057257013229</v>
      </c>
    </row>
    <row r="1830" spans="31:38" ht="15.75" hidden="1" thickBot="1">
      <c r="AE1830" s="795"/>
      <c r="AF1830" s="777"/>
      <c r="AH1830" s="101">
        <f t="shared" si="262"/>
        <v>1000000</v>
      </c>
      <c r="AI1830" s="101">
        <f t="shared" si="260"/>
        <v>1000000</v>
      </c>
      <c r="AJ1830" s="155">
        <v>3</v>
      </c>
      <c r="AK1830" s="121">
        <f t="shared" si="263"/>
        <v>7</v>
      </c>
      <c r="AL1830" s="152">
        <f t="shared" si="261"/>
        <v>907.6751425238275</v>
      </c>
    </row>
    <row r="1831" spans="31:38" ht="15.75" hidden="1" thickBot="1">
      <c r="AE1831" s="795"/>
      <c r="AF1831" s="777"/>
      <c r="AH1831" s="101">
        <f t="shared" si="262"/>
        <v>1000000</v>
      </c>
      <c r="AI1831" s="101">
        <f t="shared" si="260"/>
        <v>1000000</v>
      </c>
      <c r="AJ1831" s="155">
        <v>3</v>
      </c>
      <c r="AK1831" s="121">
        <f t="shared" si="263"/>
        <v>8</v>
      </c>
      <c r="AL1831" s="152">
        <f t="shared" si="261"/>
        <v>905.04455934633222</v>
      </c>
    </row>
    <row r="1832" spans="31:38" ht="15.75" hidden="1" thickBot="1">
      <c r="AE1832" s="795"/>
      <c r="AF1832" s="777"/>
      <c r="AH1832" s="101">
        <f t="shared" si="262"/>
        <v>1000000</v>
      </c>
      <c r="AI1832" s="101">
        <f t="shared" si="260"/>
        <v>1000000</v>
      </c>
      <c r="AJ1832" s="155">
        <v>3</v>
      </c>
      <c r="AK1832" s="121">
        <f t="shared" si="263"/>
        <v>9</v>
      </c>
      <c r="AL1832" s="152">
        <f t="shared" si="261"/>
        <v>902.41397616883683</v>
      </c>
    </row>
    <row r="1833" spans="31:38" ht="15.75" hidden="1" thickBot="1">
      <c r="AE1833" s="795"/>
      <c r="AF1833" s="777"/>
      <c r="AH1833" s="101">
        <f t="shared" si="262"/>
        <v>1000000</v>
      </c>
      <c r="AI1833" s="101">
        <f t="shared" si="260"/>
        <v>1000000</v>
      </c>
      <c r="AJ1833" s="155">
        <v>3</v>
      </c>
      <c r="AK1833" s="121">
        <f t="shared" si="263"/>
        <v>10</v>
      </c>
      <c r="AL1833" s="152">
        <f t="shared" si="261"/>
        <v>899.78339299134154</v>
      </c>
    </row>
    <row r="1834" spans="31:38" ht="15.75" hidden="1" thickBot="1">
      <c r="AE1834" s="795"/>
      <c r="AF1834" s="777"/>
      <c r="AH1834" s="101">
        <f t="shared" si="262"/>
        <v>1000000</v>
      </c>
      <c r="AI1834" s="101">
        <f t="shared" si="260"/>
        <v>1000000</v>
      </c>
      <c r="AJ1834" s="155">
        <v>3</v>
      </c>
      <c r="AK1834" s="121">
        <f t="shared" si="263"/>
        <v>11</v>
      </c>
      <c r="AL1834" s="152">
        <f t="shared" si="261"/>
        <v>897.15280981384626</v>
      </c>
    </row>
    <row r="1835" spans="31:38" ht="15.75" hidden="1" thickBot="1">
      <c r="AE1835" s="795"/>
      <c r="AF1835" s="777"/>
      <c r="AH1835" s="101">
        <f t="shared" si="262"/>
        <v>1000000</v>
      </c>
      <c r="AI1835" s="101">
        <f t="shared" si="260"/>
        <v>1000000</v>
      </c>
      <c r="AJ1835" s="155">
        <v>3</v>
      </c>
      <c r="AK1835" s="121">
        <f t="shared" si="263"/>
        <v>12</v>
      </c>
      <c r="AL1835" s="152">
        <f t="shared" si="261"/>
        <v>894.52222663635087</v>
      </c>
    </row>
    <row r="1836" spans="31:38" ht="15.75" hidden="1" thickBot="1">
      <c r="AE1836" s="795"/>
      <c r="AF1836" s="777"/>
      <c r="AH1836" s="101">
        <f t="shared" si="262"/>
        <v>1000000</v>
      </c>
      <c r="AI1836" s="101">
        <f t="shared" si="260"/>
        <v>1000000</v>
      </c>
      <c r="AJ1836" s="155">
        <v>3</v>
      </c>
      <c r="AK1836" s="121">
        <f t="shared" si="263"/>
        <v>13</v>
      </c>
      <c r="AL1836" s="152">
        <f t="shared" si="261"/>
        <v>891.89164345885547</v>
      </c>
    </row>
    <row r="1837" spans="31:38" ht="15.75" hidden="1" thickBot="1">
      <c r="AE1837" s="795"/>
      <c r="AF1837" s="777"/>
      <c r="AH1837" s="101">
        <f t="shared" si="262"/>
        <v>1000000</v>
      </c>
      <c r="AI1837" s="101">
        <f t="shared" si="260"/>
        <v>1000000</v>
      </c>
      <c r="AJ1837" s="155">
        <v>3</v>
      </c>
      <c r="AK1837" s="121">
        <f t="shared" si="263"/>
        <v>14</v>
      </c>
      <c r="AL1837" s="152">
        <f t="shared" si="261"/>
        <v>889.26106028136019</v>
      </c>
    </row>
    <row r="1838" spans="31:38" ht="15.75" hidden="1" thickBot="1">
      <c r="AE1838" s="795"/>
      <c r="AF1838" s="777"/>
      <c r="AH1838" s="101">
        <f t="shared" si="262"/>
        <v>1000000</v>
      </c>
      <c r="AI1838" s="101">
        <f t="shared" si="260"/>
        <v>1000000</v>
      </c>
      <c r="AJ1838" s="155">
        <v>3</v>
      </c>
      <c r="AK1838" s="121">
        <f t="shared" si="263"/>
        <v>15</v>
      </c>
      <c r="AL1838" s="152">
        <f t="shared" si="261"/>
        <v>886.63047710386479</v>
      </c>
    </row>
    <row r="1839" spans="31:38" ht="15.75" hidden="1" thickBot="1">
      <c r="AE1839" s="795"/>
      <c r="AF1839" s="777"/>
      <c r="AH1839" s="101">
        <f t="shared" si="262"/>
        <v>1000000</v>
      </c>
      <c r="AI1839" s="101">
        <f t="shared" si="260"/>
        <v>1000000</v>
      </c>
      <c r="AJ1839" s="155">
        <v>3</v>
      </c>
      <c r="AK1839" s="121">
        <f t="shared" si="263"/>
        <v>16</v>
      </c>
      <c r="AL1839" s="152">
        <f t="shared" si="261"/>
        <v>883.99989392636951</v>
      </c>
    </row>
    <row r="1840" spans="31:38" ht="15.75" hidden="1" thickBot="1">
      <c r="AE1840" s="795"/>
      <c r="AF1840" s="777"/>
      <c r="AH1840" s="101">
        <f t="shared" si="262"/>
        <v>1000000</v>
      </c>
      <c r="AI1840" s="101">
        <f t="shared" si="260"/>
        <v>1000000</v>
      </c>
      <c r="AJ1840" s="155">
        <v>3</v>
      </c>
      <c r="AK1840" s="121">
        <f t="shared" si="263"/>
        <v>17</v>
      </c>
      <c r="AL1840" s="152">
        <f t="shared" si="261"/>
        <v>881.36931074887411</v>
      </c>
    </row>
    <row r="1841" spans="31:38" ht="15.75" hidden="1" thickBot="1">
      <c r="AE1841" s="795"/>
      <c r="AF1841" s="777"/>
      <c r="AH1841" s="101">
        <f t="shared" si="262"/>
        <v>1000000</v>
      </c>
      <c r="AI1841" s="101">
        <f t="shared" si="260"/>
        <v>1000000</v>
      </c>
      <c r="AJ1841" s="155">
        <v>3</v>
      </c>
      <c r="AK1841" s="121">
        <f t="shared" si="263"/>
        <v>18</v>
      </c>
      <c r="AL1841" s="152">
        <f t="shared" si="261"/>
        <v>878.73872757137883</v>
      </c>
    </row>
    <row r="1842" spans="31:38" ht="15.75" hidden="1" thickBot="1">
      <c r="AE1842" s="795"/>
      <c r="AF1842" s="777"/>
      <c r="AH1842" s="101">
        <f t="shared" si="262"/>
        <v>1000000</v>
      </c>
      <c r="AI1842" s="101">
        <f t="shared" si="260"/>
        <v>1000000</v>
      </c>
      <c r="AJ1842" s="155">
        <v>3</v>
      </c>
      <c r="AK1842" s="121">
        <f t="shared" si="263"/>
        <v>19</v>
      </c>
      <c r="AL1842" s="152">
        <f t="shared" si="261"/>
        <v>876.10814439388355</v>
      </c>
    </row>
    <row r="1843" spans="31:38" ht="15.75" hidden="1" thickBot="1">
      <c r="AE1843" s="795"/>
      <c r="AF1843" s="777"/>
      <c r="AH1843" s="101">
        <f t="shared" si="262"/>
        <v>1000000</v>
      </c>
      <c r="AI1843" s="101">
        <f t="shared" si="260"/>
        <v>1000000</v>
      </c>
      <c r="AJ1843" s="155">
        <v>3</v>
      </c>
      <c r="AK1843" s="121">
        <f t="shared" si="263"/>
        <v>20</v>
      </c>
      <c r="AL1843" s="152">
        <f t="shared" si="261"/>
        <v>873.47756121638815</v>
      </c>
    </row>
    <row r="1844" spans="31:38" ht="15.75" hidden="1" thickBot="1">
      <c r="AE1844" s="795"/>
      <c r="AF1844" s="777"/>
      <c r="AH1844" s="101">
        <f t="shared" si="262"/>
        <v>1000000</v>
      </c>
      <c r="AI1844" s="101">
        <f t="shared" si="260"/>
        <v>1000000</v>
      </c>
      <c r="AJ1844" s="155">
        <v>3</v>
      </c>
      <c r="AK1844" s="121">
        <f t="shared" si="263"/>
        <v>21</v>
      </c>
      <c r="AL1844" s="152">
        <f t="shared" si="261"/>
        <v>870.84697803889276</v>
      </c>
    </row>
    <row r="1845" spans="31:38" ht="15.75" hidden="1" thickBot="1">
      <c r="AE1845" s="795"/>
      <c r="AF1845" s="777"/>
      <c r="AH1845" s="101">
        <f t="shared" si="262"/>
        <v>1000000</v>
      </c>
      <c r="AI1845" s="101">
        <f t="shared" si="260"/>
        <v>1000000</v>
      </c>
      <c r="AJ1845" s="155">
        <v>3</v>
      </c>
      <c r="AK1845" s="121">
        <f t="shared" si="263"/>
        <v>22</v>
      </c>
      <c r="AL1845" s="152">
        <f t="shared" si="261"/>
        <v>868.21639486139748</v>
      </c>
    </row>
    <row r="1846" spans="31:38" ht="15.75" hidden="1" thickBot="1">
      <c r="AE1846" s="795"/>
      <c r="AF1846" s="777"/>
      <c r="AH1846" s="101">
        <f t="shared" si="262"/>
        <v>1000000</v>
      </c>
      <c r="AI1846" s="101">
        <f t="shared" si="260"/>
        <v>1000000</v>
      </c>
      <c r="AJ1846" s="155">
        <v>3</v>
      </c>
      <c r="AK1846" s="121">
        <f t="shared" si="263"/>
        <v>23</v>
      </c>
      <c r="AL1846" s="152">
        <f t="shared" si="261"/>
        <v>865.58581168390208</v>
      </c>
    </row>
    <row r="1847" spans="31:38" ht="15.75" hidden="1" thickBot="1">
      <c r="AE1847" s="795"/>
      <c r="AF1847" s="777"/>
      <c r="AH1847" s="101">
        <f t="shared" si="262"/>
        <v>1000000</v>
      </c>
      <c r="AI1847" s="101">
        <f t="shared" si="260"/>
        <v>1000000</v>
      </c>
      <c r="AJ1847" s="155">
        <v>3</v>
      </c>
      <c r="AK1847" s="121">
        <f t="shared" si="263"/>
        <v>24</v>
      </c>
      <c r="AL1847" s="152">
        <f t="shared" si="261"/>
        <v>862.9552285064068</v>
      </c>
    </row>
    <row r="1848" spans="31:38" ht="15.75" hidden="1" thickBot="1">
      <c r="AE1848" s="795"/>
      <c r="AF1848" s="777"/>
      <c r="AH1848" s="101">
        <f t="shared" si="262"/>
        <v>1000000</v>
      </c>
      <c r="AI1848" s="101">
        <f t="shared" si="260"/>
        <v>1000000</v>
      </c>
      <c r="AJ1848" s="155">
        <v>3</v>
      </c>
      <c r="AK1848" s="121">
        <f t="shared" si="263"/>
        <v>25</v>
      </c>
      <c r="AL1848" s="152">
        <f t="shared" si="261"/>
        <v>860.3246453289114</v>
      </c>
    </row>
    <row r="1849" spans="31:38" ht="15.75" hidden="1" thickBot="1">
      <c r="AE1849" s="795"/>
      <c r="AF1849" s="777"/>
      <c r="AH1849" s="101">
        <f t="shared" si="262"/>
        <v>1000000</v>
      </c>
      <c r="AI1849" s="101">
        <f t="shared" si="260"/>
        <v>1000000</v>
      </c>
      <c r="AJ1849" s="155">
        <v>3</v>
      </c>
      <c r="AK1849" s="121">
        <f t="shared" si="263"/>
        <v>26</v>
      </c>
      <c r="AL1849" s="152">
        <f t="shared" si="261"/>
        <v>857.69406215141612</v>
      </c>
    </row>
    <row r="1850" spans="31:38" ht="15.75" hidden="1" thickBot="1">
      <c r="AE1850" s="795"/>
      <c r="AF1850" s="777"/>
      <c r="AH1850" s="101">
        <f t="shared" si="262"/>
        <v>1000000</v>
      </c>
      <c r="AI1850" s="101">
        <f t="shared" si="260"/>
        <v>1000000</v>
      </c>
      <c r="AJ1850" s="155">
        <v>3</v>
      </c>
      <c r="AK1850" s="121">
        <f t="shared" si="263"/>
        <v>27</v>
      </c>
      <c r="AL1850" s="152">
        <f t="shared" si="261"/>
        <v>855.06347897392072</v>
      </c>
    </row>
    <row r="1851" spans="31:38" ht="15.75" hidden="1" thickBot="1">
      <c r="AE1851" s="795"/>
      <c r="AF1851" s="777"/>
      <c r="AH1851" s="101">
        <f t="shared" si="262"/>
        <v>1000000</v>
      </c>
      <c r="AI1851" s="101">
        <f t="shared" si="260"/>
        <v>1000000</v>
      </c>
      <c r="AJ1851" s="155">
        <v>3</v>
      </c>
      <c r="AK1851" s="121">
        <f t="shared" si="263"/>
        <v>28</v>
      </c>
      <c r="AL1851" s="152">
        <f t="shared" si="261"/>
        <v>852.43289579642544</v>
      </c>
    </row>
    <row r="1852" spans="31:38" ht="15.75" hidden="1" thickBot="1">
      <c r="AE1852" s="795"/>
      <c r="AF1852" s="777"/>
      <c r="AH1852" s="101">
        <f t="shared" si="262"/>
        <v>1000000</v>
      </c>
      <c r="AI1852" s="101">
        <f t="shared" si="260"/>
        <v>1000000</v>
      </c>
      <c r="AJ1852" s="155">
        <v>3</v>
      </c>
      <c r="AK1852" s="121">
        <f t="shared" si="263"/>
        <v>29</v>
      </c>
      <c r="AL1852" s="152">
        <f t="shared" si="261"/>
        <v>849.80231261893005</v>
      </c>
    </row>
    <row r="1853" spans="31:38" ht="15.75" hidden="1" thickBot="1">
      <c r="AE1853" s="795"/>
      <c r="AF1853" s="777"/>
      <c r="AH1853" s="101">
        <f t="shared" si="262"/>
        <v>1000000</v>
      </c>
      <c r="AI1853" s="101">
        <f t="shared" si="260"/>
        <v>1000000</v>
      </c>
      <c r="AJ1853" s="155">
        <v>3</v>
      </c>
      <c r="AK1853" s="121">
        <f t="shared" si="263"/>
        <v>30</v>
      </c>
      <c r="AL1853" s="152">
        <f t="shared" si="261"/>
        <v>847.17172944143476</v>
      </c>
    </row>
    <row r="1854" spans="31:38" ht="15.75" hidden="1" thickBot="1">
      <c r="AE1854" s="795"/>
      <c r="AF1854" s="777"/>
      <c r="AH1854" s="101">
        <f t="shared" si="262"/>
        <v>1000000</v>
      </c>
      <c r="AI1854" s="101">
        <f t="shared" si="260"/>
        <v>1000000</v>
      </c>
      <c r="AJ1854" s="155">
        <v>3</v>
      </c>
      <c r="AK1854" s="121">
        <f t="shared" si="263"/>
        <v>31</v>
      </c>
      <c r="AL1854" s="152">
        <f t="shared" si="261"/>
        <v>844.54114626393948</v>
      </c>
    </row>
    <row r="1855" spans="31:38" ht="15.75" hidden="1" thickBot="1">
      <c r="AE1855" s="795"/>
      <c r="AF1855" s="777"/>
      <c r="AH1855" s="101">
        <f t="shared" ref="AH1855:AH1886" si="264">BE337</f>
        <v>1000000</v>
      </c>
      <c r="AI1855" s="101">
        <f t="shared" si="260"/>
        <v>1000000</v>
      </c>
      <c r="AJ1855" s="155">
        <v>3</v>
      </c>
      <c r="AK1855" s="121">
        <f t="shared" si="263"/>
        <v>32</v>
      </c>
      <c r="AL1855" s="152">
        <f t="shared" ref="AL1855:AL1886" si="265">AB337</f>
        <v>841.91056308644397</v>
      </c>
    </row>
    <row r="1856" spans="31:38" ht="15.75" hidden="1" thickBot="1">
      <c r="AE1856" s="795"/>
      <c r="AF1856" s="777"/>
      <c r="AH1856" s="101">
        <f t="shared" si="264"/>
        <v>1000000</v>
      </c>
      <c r="AI1856" s="101">
        <f t="shared" si="260"/>
        <v>1000000</v>
      </c>
      <c r="AJ1856" s="155">
        <v>3</v>
      </c>
      <c r="AK1856" s="121">
        <f t="shared" si="263"/>
        <v>33</v>
      </c>
      <c r="AL1856" s="152">
        <f t="shared" si="265"/>
        <v>839.27997990894869</v>
      </c>
    </row>
    <row r="1857" spans="31:38" ht="15.75" hidden="1" thickBot="1">
      <c r="AE1857" s="795"/>
      <c r="AF1857" s="777"/>
      <c r="AH1857" s="101">
        <f t="shared" si="264"/>
        <v>1000000</v>
      </c>
      <c r="AI1857" s="101">
        <f t="shared" si="260"/>
        <v>1000000</v>
      </c>
      <c r="AJ1857" s="155">
        <v>3</v>
      </c>
      <c r="AK1857" s="121">
        <f t="shared" si="263"/>
        <v>34</v>
      </c>
      <c r="AL1857" s="152">
        <f t="shared" si="265"/>
        <v>836.64939673145341</v>
      </c>
    </row>
    <row r="1858" spans="31:38" ht="15.75" hidden="1" thickBot="1">
      <c r="AE1858" s="795"/>
      <c r="AF1858" s="777"/>
      <c r="AH1858" s="101">
        <f t="shared" si="264"/>
        <v>1000000</v>
      </c>
      <c r="AI1858" s="101">
        <f t="shared" si="260"/>
        <v>1000000</v>
      </c>
      <c r="AJ1858" s="155">
        <v>3</v>
      </c>
      <c r="AK1858" s="121">
        <f t="shared" si="263"/>
        <v>35</v>
      </c>
      <c r="AL1858" s="152">
        <f t="shared" si="265"/>
        <v>834.01881355395801</v>
      </c>
    </row>
    <row r="1859" spans="31:38" ht="15.75" hidden="1" thickBot="1">
      <c r="AE1859" s="795"/>
      <c r="AF1859" s="777"/>
      <c r="AH1859" s="101">
        <f t="shared" si="264"/>
        <v>1000000</v>
      </c>
      <c r="AI1859" s="101">
        <f t="shared" si="260"/>
        <v>1000000</v>
      </c>
      <c r="AJ1859" s="155">
        <v>3</v>
      </c>
      <c r="AK1859" s="121">
        <f t="shared" si="263"/>
        <v>36</v>
      </c>
      <c r="AL1859" s="152">
        <f t="shared" si="265"/>
        <v>831.38823037646273</v>
      </c>
    </row>
    <row r="1860" spans="31:38" ht="15.75" hidden="1" thickBot="1">
      <c r="AE1860" s="795"/>
      <c r="AF1860" s="777"/>
      <c r="AH1860" s="101">
        <f t="shared" si="264"/>
        <v>1000000</v>
      </c>
      <c r="AI1860" s="101">
        <f t="shared" si="260"/>
        <v>1000000</v>
      </c>
      <c r="AJ1860" s="155">
        <v>3</v>
      </c>
      <c r="AK1860" s="121">
        <f t="shared" si="263"/>
        <v>37</v>
      </c>
      <c r="AL1860" s="152">
        <f t="shared" si="265"/>
        <v>828.75764719896733</v>
      </c>
    </row>
    <row r="1861" spans="31:38" ht="15.75" hidden="1" thickBot="1">
      <c r="AE1861" s="795"/>
      <c r="AF1861" s="777"/>
      <c r="AH1861" s="101">
        <f t="shared" si="264"/>
        <v>1000000</v>
      </c>
      <c r="AI1861" s="101">
        <f t="shared" si="260"/>
        <v>1000000</v>
      </c>
      <c r="AJ1861" s="155">
        <v>3</v>
      </c>
      <c r="AK1861" s="121">
        <f t="shared" si="263"/>
        <v>38</v>
      </c>
      <c r="AL1861" s="152">
        <f t="shared" si="265"/>
        <v>826.12706402147205</v>
      </c>
    </row>
    <row r="1862" spans="31:38" ht="15.75" hidden="1" thickBot="1">
      <c r="AE1862" s="795"/>
      <c r="AF1862" s="777"/>
      <c r="AH1862" s="101">
        <f t="shared" si="264"/>
        <v>1000000</v>
      </c>
      <c r="AI1862" s="101">
        <f t="shared" si="260"/>
        <v>1000000</v>
      </c>
      <c r="AJ1862" s="155">
        <v>3</v>
      </c>
      <c r="AK1862" s="121">
        <f t="shared" si="263"/>
        <v>39</v>
      </c>
      <c r="AL1862" s="152">
        <f t="shared" si="265"/>
        <v>823.49648084397666</v>
      </c>
    </row>
    <row r="1863" spans="31:38" ht="15.75" hidden="1" thickBot="1">
      <c r="AE1863" s="795"/>
      <c r="AF1863" s="777"/>
      <c r="AH1863" s="101">
        <f t="shared" si="264"/>
        <v>1000000</v>
      </c>
      <c r="AI1863" s="101">
        <f t="shared" si="260"/>
        <v>1000000</v>
      </c>
      <c r="AJ1863" s="155">
        <v>3</v>
      </c>
      <c r="AK1863" s="121">
        <f t="shared" si="263"/>
        <v>40</v>
      </c>
      <c r="AL1863" s="152">
        <f t="shared" si="265"/>
        <v>820.86589766648126</v>
      </c>
    </row>
    <row r="1864" spans="31:38" ht="15.75" hidden="1" thickBot="1">
      <c r="AE1864" s="795"/>
      <c r="AF1864" s="777"/>
      <c r="AH1864" s="101">
        <f t="shared" si="264"/>
        <v>1000000</v>
      </c>
      <c r="AI1864" s="101">
        <f t="shared" si="260"/>
        <v>1000000</v>
      </c>
      <c r="AJ1864" s="155">
        <v>3</v>
      </c>
      <c r="AK1864" s="121">
        <f t="shared" si="263"/>
        <v>41</v>
      </c>
      <c r="AL1864" s="152">
        <f t="shared" si="265"/>
        <v>818.23531448898598</v>
      </c>
    </row>
    <row r="1865" spans="31:38" ht="15.75" hidden="1" thickBot="1">
      <c r="AE1865" s="795"/>
      <c r="AF1865" s="777"/>
      <c r="AH1865" s="101">
        <f t="shared" si="264"/>
        <v>1000000</v>
      </c>
      <c r="AI1865" s="101">
        <f t="shared" si="260"/>
        <v>1000000</v>
      </c>
      <c r="AJ1865" s="155">
        <v>3</v>
      </c>
      <c r="AK1865" s="121">
        <f t="shared" si="263"/>
        <v>42</v>
      </c>
      <c r="AL1865" s="152">
        <f t="shared" si="265"/>
        <v>815.6047313114907</v>
      </c>
    </row>
    <row r="1866" spans="31:38" ht="15.75" hidden="1" thickBot="1">
      <c r="AE1866" s="795"/>
      <c r="AF1866" s="777"/>
      <c r="AH1866" s="101">
        <f t="shared" si="264"/>
        <v>1000000</v>
      </c>
      <c r="AI1866" s="101">
        <f t="shared" si="260"/>
        <v>1000000</v>
      </c>
      <c r="AJ1866" s="155">
        <v>3</v>
      </c>
      <c r="AK1866" s="121">
        <f t="shared" si="263"/>
        <v>43</v>
      </c>
      <c r="AL1866" s="152">
        <f t="shared" si="265"/>
        <v>812.9741481339953</v>
      </c>
    </row>
    <row r="1867" spans="31:38" ht="15.75" hidden="1" thickBot="1">
      <c r="AE1867" s="795"/>
      <c r="AF1867" s="777"/>
      <c r="AH1867" s="101">
        <f t="shared" si="264"/>
        <v>1000000</v>
      </c>
      <c r="AI1867" s="101">
        <f t="shared" si="260"/>
        <v>1000000</v>
      </c>
      <c r="AJ1867" s="155">
        <v>3</v>
      </c>
      <c r="AK1867" s="121">
        <f t="shared" si="263"/>
        <v>44</v>
      </c>
      <c r="AL1867" s="152">
        <f t="shared" si="265"/>
        <v>810.3435649564999</v>
      </c>
    </row>
    <row r="1868" spans="31:38" ht="15.75" hidden="1" thickBot="1">
      <c r="AE1868" s="795"/>
      <c r="AF1868" s="777"/>
      <c r="AH1868" s="101">
        <f t="shared" si="264"/>
        <v>1000000</v>
      </c>
      <c r="AI1868" s="101">
        <f t="shared" si="260"/>
        <v>1000000</v>
      </c>
      <c r="AJ1868" s="155">
        <v>3</v>
      </c>
      <c r="AK1868" s="121">
        <f t="shared" si="263"/>
        <v>45</v>
      </c>
      <c r="AL1868" s="152">
        <f t="shared" si="265"/>
        <v>807.71298177900462</v>
      </c>
    </row>
    <row r="1869" spans="31:38" ht="15.75" hidden="1" thickBot="1">
      <c r="AE1869" s="795"/>
      <c r="AF1869" s="777"/>
      <c r="AH1869" s="101">
        <f t="shared" si="264"/>
        <v>1000000</v>
      </c>
      <c r="AI1869" s="101">
        <f t="shared" si="260"/>
        <v>1000000</v>
      </c>
      <c r="AJ1869" s="155">
        <v>3</v>
      </c>
      <c r="AK1869" s="121">
        <f t="shared" si="263"/>
        <v>46</v>
      </c>
      <c r="AL1869" s="152">
        <f t="shared" si="265"/>
        <v>805.08239860150934</v>
      </c>
    </row>
    <row r="1870" spans="31:38" ht="15.75" hidden="1" thickBot="1">
      <c r="AE1870" s="795"/>
      <c r="AF1870" s="777"/>
      <c r="AH1870" s="101">
        <f t="shared" si="264"/>
        <v>1000000</v>
      </c>
      <c r="AI1870" s="101">
        <f t="shared" si="260"/>
        <v>1000000</v>
      </c>
      <c r="AJ1870" s="155">
        <v>3</v>
      </c>
      <c r="AK1870" s="121">
        <f t="shared" si="263"/>
        <v>47</v>
      </c>
      <c r="AL1870" s="152">
        <f t="shared" si="265"/>
        <v>802.45181542401394</v>
      </c>
    </row>
    <row r="1871" spans="31:38" ht="15.75" hidden="1" thickBot="1">
      <c r="AE1871" s="795"/>
      <c r="AF1871" s="777"/>
      <c r="AH1871" s="101">
        <f t="shared" si="264"/>
        <v>1000000</v>
      </c>
      <c r="AI1871" s="101">
        <f t="shared" si="260"/>
        <v>1000000</v>
      </c>
      <c r="AJ1871" s="155">
        <v>3</v>
      </c>
      <c r="AK1871" s="121">
        <f t="shared" si="263"/>
        <v>48</v>
      </c>
      <c r="AL1871" s="152">
        <f t="shared" si="265"/>
        <v>799.82123224651866</v>
      </c>
    </row>
    <row r="1872" spans="31:38" ht="15.75" hidden="1" thickBot="1">
      <c r="AE1872" s="795"/>
      <c r="AF1872" s="777"/>
      <c r="AH1872" s="101">
        <f t="shared" si="264"/>
        <v>1000000</v>
      </c>
      <c r="AI1872" s="101">
        <f t="shared" si="260"/>
        <v>1000000</v>
      </c>
      <c r="AJ1872" s="155">
        <v>3</v>
      </c>
      <c r="AK1872" s="121">
        <f t="shared" si="263"/>
        <v>49</v>
      </c>
      <c r="AL1872" s="152">
        <f t="shared" si="265"/>
        <v>797.19064906902327</v>
      </c>
    </row>
    <row r="1873" spans="31:38" ht="15.75" hidden="1" thickBot="1">
      <c r="AE1873" s="795"/>
      <c r="AF1873" s="777"/>
      <c r="AH1873" s="101">
        <f t="shared" si="264"/>
        <v>1000000</v>
      </c>
      <c r="AI1873" s="101">
        <f t="shared" si="260"/>
        <v>1000000</v>
      </c>
      <c r="AJ1873" s="155">
        <v>3</v>
      </c>
      <c r="AK1873" s="121">
        <f t="shared" si="263"/>
        <v>50</v>
      </c>
      <c r="AL1873" s="152">
        <f t="shared" si="265"/>
        <v>794.56006589152787</v>
      </c>
    </row>
    <row r="1874" spans="31:38" ht="15.75" hidden="1" thickBot="1">
      <c r="AE1874" s="795"/>
      <c r="AF1874" s="777"/>
      <c r="AH1874" s="101">
        <f t="shared" si="264"/>
        <v>1000000</v>
      </c>
      <c r="AI1874" s="101">
        <f t="shared" si="260"/>
        <v>1000000</v>
      </c>
      <c r="AJ1874" s="155">
        <v>3</v>
      </c>
      <c r="AK1874" s="121">
        <f t="shared" si="263"/>
        <v>51</v>
      </c>
      <c r="AL1874" s="152">
        <f t="shared" si="265"/>
        <v>791.92948271403259</v>
      </c>
    </row>
    <row r="1875" spans="31:38" ht="15.75" hidden="1" thickBot="1">
      <c r="AE1875" s="795"/>
      <c r="AF1875" s="777"/>
      <c r="AH1875" s="101">
        <f t="shared" si="264"/>
        <v>1000000</v>
      </c>
      <c r="AI1875" s="101">
        <f t="shared" si="260"/>
        <v>1000000</v>
      </c>
      <c r="AJ1875" s="155">
        <v>3</v>
      </c>
      <c r="AK1875" s="121">
        <f t="shared" si="263"/>
        <v>52</v>
      </c>
      <c r="AL1875" s="152">
        <f t="shared" si="265"/>
        <v>789.29889953653731</v>
      </c>
    </row>
    <row r="1876" spans="31:38" ht="15.75" hidden="1" thickBot="1">
      <c r="AE1876" s="795"/>
      <c r="AF1876" s="777"/>
      <c r="AH1876" s="101">
        <f t="shared" si="264"/>
        <v>1000000</v>
      </c>
      <c r="AI1876" s="101">
        <f t="shared" si="260"/>
        <v>1000000</v>
      </c>
      <c r="AJ1876" s="155">
        <v>3</v>
      </c>
      <c r="AK1876" s="121">
        <f t="shared" si="263"/>
        <v>53</v>
      </c>
      <c r="AL1876" s="152">
        <f t="shared" si="265"/>
        <v>786.66831635904191</v>
      </c>
    </row>
    <row r="1877" spans="31:38" ht="15.75" hidden="1" thickBot="1">
      <c r="AE1877" s="795"/>
      <c r="AF1877" s="777"/>
      <c r="AH1877" s="101">
        <f t="shared" si="264"/>
        <v>1000000</v>
      </c>
      <c r="AI1877" s="101">
        <f t="shared" ref="AI1877:AI1940" si="266">IF(AL1877&lt;$D$88,0,AH1877)</f>
        <v>1000000</v>
      </c>
      <c r="AJ1877" s="155">
        <v>3</v>
      </c>
      <c r="AK1877" s="121">
        <f t="shared" si="263"/>
        <v>54</v>
      </c>
      <c r="AL1877" s="152">
        <f t="shared" si="265"/>
        <v>784.03773318154651</v>
      </c>
    </row>
    <row r="1878" spans="31:38" ht="15.75" hidden="1" thickBot="1">
      <c r="AE1878" s="795"/>
      <c r="AF1878" s="777"/>
      <c r="AH1878" s="101">
        <f t="shared" si="264"/>
        <v>1000000</v>
      </c>
      <c r="AI1878" s="101">
        <f t="shared" si="266"/>
        <v>1000000</v>
      </c>
      <c r="AJ1878" s="155">
        <v>3</v>
      </c>
      <c r="AK1878" s="121">
        <f t="shared" si="263"/>
        <v>55</v>
      </c>
      <c r="AL1878" s="152">
        <f t="shared" si="265"/>
        <v>781.40715000405123</v>
      </c>
    </row>
    <row r="1879" spans="31:38" ht="15.75" hidden="1" thickBot="1">
      <c r="AE1879" s="795"/>
      <c r="AF1879" s="777"/>
      <c r="AH1879" s="101">
        <f t="shared" si="264"/>
        <v>1000000</v>
      </c>
      <c r="AI1879" s="101">
        <f t="shared" si="266"/>
        <v>1000000</v>
      </c>
      <c r="AJ1879" s="155">
        <v>3</v>
      </c>
      <c r="AK1879" s="121">
        <f t="shared" si="263"/>
        <v>56</v>
      </c>
      <c r="AL1879" s="152">
        <f t="shared" si="265"/>
        <v>778.77656682655584</v>
      </c>
    </row>
    <row r="1880" spans="31:38" ht="15.75" hidden="1" thickBot="1">
      <c r="AE1880" s="795"/>
      <c r="AF1880" s="777"/>
      <c r="AH1880" s="101">
        <f t="shared" si="264"/>
        <v>1000000</v>
      </c>
      <c r="AI1880" s="101">
        <f t="shared" si="266"/>
        <v>1000000</v>
      </c>
      <c r="AJ1880" s="155">
        <v>3</v>
      </c>
      <c r="AK1880" s="121">
        <f t="shared" si="263"/>
        <v>57</v>
      </c>
      <c r="AL1880" s="152">
        <f t="shared" si="265"/>
        <v>776.14598364906055</v>
      </c>
    </row>
    <row r="1881" spans="31:38" ht="15.75" hidden="1" thickBot="1">
      <c r="AE1881" s="795"/>
      <c r="AF1881" s="777"/>
      <c r="AH1881" s="101">
        <f t="shared" si="264"/>
        <v>1000000</v>
      </c>
      <c r="AI1881" s="101">
        <f t="shared" si="266"/>
        <v>1000000</v>
      </c>
      <c r="AJ1881" s="155">
        <v>3</v>
      </c>
      <c r="AK1881" s="121">
        <f t="shared" si="263"/>
        <v>58</v>
      </c>
      <c r="AL1881" s="152">
        <f t="shared" si="265"/>
        <v>773.51540047156527</v>
      </c>
    </row>
    <row r="1882" spans="31:38" ht="15.75" hidden="1" thickBot="1">
      <c r="AE1882" s="795"/>
      <c r="AF1882" s="777"/>
      <c r="AH1882" s="101">
        <f t="shared" si="264"/>
        <v>1000000</v>
      </c>
      <c r="AI1882" s="101">
        <f t="shared" si="266"/>
        <v>1000000</v>
      </c>
      <c r="AJ1882" s="155">
        <v>3</v>
      </c>
      <c r="AK1882" s="121">
        <f t="shared" si="263"/>
        <v>59</v>
      </c>
      <c r="AL1882" s="152">
        <f t="shared" si="265"/>
        <v>770.88481729406988</v>
      </c>
    </row>
    <row r="1883" spans="31:38" ht="15.75" hidden="1" thickBot="1">
      <c r="AE1883" s="795"/>
      <c r="AF1883" s="777"/>
      <c r="AH1883" s="101">
        <f t="shared" si="264"/>
        <v>1000000</v>
      </c>
      <c r="AI1883" s="101">
        <f t="shared" si="266"/>
        <v>1000000</v>
      </c>
      <c r="AJ1883" s="155">
        <v>3</v>
      </c>
      <c r="AK1883" s="121">
        <f t="shared" si="263"/>
        <v>60</v>
      </c>
      <c r="AL1883" s="152">
        <f t="shared" si="265"/>
        <v>768.25423411657448</v>
      </c>
    </row>
    <row r="1884" spans="31:38" ht="15.75" hidden="1" thickBot="1">
      <c r="AE1884" s="795"/>
      <c r="AF1884" s="777"/>
      <c r="AH1884" s="101">
        <f t="shared" si="264"/>
        <v>1000000</v>
      </c>
      <c r="AI1884" s="101">
        <f t="shared" si="266"/>
        <v>1000000</v>
      </c>
      <c r="AJ1884" s="155">
        <v>3</v>
      </c>
      <c r="AK1884" s="121">
        <f t="shared" si="263"/>
        <v>61</v>
      </c>
      <c r="AL1884" s="152">
        <f t="shared" si="265"/>
        <v>765.6236509390792</v>
      </c>
    </row>
    <row r="1885" spans="31:38" ht="15.75" hidden="1" thickBot="1">
      <c r="AE1885" s="795"/>
      <c r="AF1885" s="777"/>
      <c r="AH1885" s="101">
        <f t="shared" si="264"/>
        <v>1000000</v>
      </c>
      <c r="AI1885" s="101">
        <f t="shared" si="266"/>
        <v>1000000</v>
      </c>
      <c r="AJ1885" s="155">
        <v>3</v>
      </c>
      <c r="AK1885" s="121">
        <f t="shared" si="263"/>
        <v>62</v>
      </c>
      <c r="AL1885" s="152">
        <f t="shared" si="265"/>
        <v>762.9930677615838</v>
      </c>
    </row>
    <row r="1886" spans="31:38" ht="15.75" hidden="1" thickBot="1">
      <c r="AE1886" s="795"/>
      <c r="AF1886" s="777"/>
      <c r="AH1886" s="101">
        <f t="shared" si="264"/>
        <v>1000000</v>
      </c>
      <c r="AI1886" s="101">
        <f t="shared" si="266"/>
        <v>1000000</v>
      </c>
      <c r="AJ1886" s="155">
        <v>3</v>
      </c>
      <c r="AK1886" s="121">
        <f t="shared" si="263"/>
        <v>63</v>
      </c>
      <c r="AL1886" s="152">
        <f t="shared" si="265"/>
        <v>760.36248458408852</v>
      </c>
    </row>
    <row r="1887" spans="31:38" ht="15.75" hidden="1" thickBot="1">
      <c r="AE1887" s="795"/>
      <c r="AF1887" s="777"/>
      <c r="AH1887" s="101">
        <f t="shared" ref="AH1887:AH1918" si="267">BE369</f>
        <v>1000000</v>
      </c>
      <c r="AI1887" s="101">
        <f t="shared" si="266"/>
        <v>1000000</v>
      </c>
      <c r="AJ1887" s="155">
        <v>3</v>
      </c>
      <c r="AK1887" s="121">
        <f t="shared" si="263"/>
        <v>64</v>
      </c>
      <c r="AL1887" s="152">
        <f t="shared" ref="AL1887:AL1918" si="268">AB369</f>
        <v>757.73190140659312</v>
      </c>
    </row>
    <row r="1888" spans="31:38" ht="15.75" hidden="1" thickBot="1">
      <c r="AE1888" s="795"/>
      <c r="AF1888" s="777"/>
      <c r="AH1888" s="101">
        <f t="shared" si="267"/>
        <v>1000000</v>
      </c>
      <c r="AI1888" s="101">
        <f t="shared" si="266"/>
        <v>1000000</v>
      </c>
      <c r="AJ1888" s="155">
        <v>3</v>
      </c>
      <c r="AK1888" s="121">
        <f t="shared" ref="AK1888:AK1923" si="269">AK1887+1</f>
        <v>65</v>
      </c>
      <c r="AL1888" s="152">
        <f t="shared" si="268"/>
        <v>755.10131822909784</v>
      </c>
    </row>
    <row r="1889" spans="31:38" ht="15.75" hidden="1" thickBot="1">
      <c r="AE1889" s="795"/>
      <c r="AF1889" s="777"/>
      <c r="AH1889" s="101">
        <f t="shared" si="267"/>
        <v>1000000</v>
      </c>
      <c r="AI1889" s="101">
        <f t="shared" si="266"/>
        <v>1000000</v>
      </c>
      <c r="AJ1889" s="155">
        <v>3</v>
      </c>
      <c r="AK1889" s="121">
        <f t="shared" si="269"/>
        <v>66</v>
      </c>
      <c r="AL1889" s="152">
        <f t="shared" si="268"/>
        <v>752.47073505160245</v>
      </c>
    </row>
    <row r="1890" spans="31:38" ht="15.75" hidden="1" thickBot="1">
      <c r="AE1890" s="795"/>
      <c r="AF1890" s="777"/>
      <c r="AH1890" s="101">
        <f t="shared" si="267"/>
        <v>1000000</v>
      </c>
      <c r="AI1890" s="101">
        <f t="shared" si="266"/>
        <v>1000000</v>
      </c>
      <c r="AJ1890" s="155">
        <v>3</v>
      </c>
      <c r="AK1890" s="121">
        <f t="shared" si="269"/>
        <v>67</v>
      </c>
      <c r="AL1890" s="152">
        <f t="shared" si="268"/>
        <v>749.84015187410705</v>
      </c>
    </row>
    <row r="1891" spans="31:38" ht="15.75" hidden="1" thickBot="1">
      <c r="AE1891" s="795"/>
      <c r="AF1891" s="777"/>
      <c r="AH1891" s="101">
        <f t="shared" si="267"/>
        <v>1000000</v>
      </c>
      <c r="AI1891" s="101">
        <f t="shared" si="266"/>
        <v>1000000</v>
      </c>
      <c r="AJ1891" s="155">
        <v>3</v>
      </c>
      <c r="AK1891" s="121">
        <f t="shared" si="269"/>
        <v>68</v>
      </c>
      <c r="AL1891" s="152">
        <f t="shared" si="268"/>
        <v>747.20956869661177</v>
      </c>
    </row>
    <row r="1892" spans="31:38" ht="15.75" hidden="1" thickBot="1">
      <c r="AE1892" s="795"/>
      <c r="AF1892" s="777"/>
      <c r="AH1892" s="101">
        <f t="shared" si="267"/>
        <v>1000000</v>
      </c>
      <c r="AI1892" s="101">
        <f t="shared" si="266"/>
        <v>1000000</v>
      </c>
      <c r="AJ1892" s="155">
        <v>3</v>
      </c>
      <c r="AK1892" s="121">
        <f t="shared" si="269"/>
        <v>69</v>
      </c>
      <c r="AL1892" s="152">
        <f t="shared" si="268"/>
        <v>744.57898551911649</v>
      </c>
    </row>
    <row r="1893" spans="31:38" ht="15.75" hidden="1" thickBot="1">
      <c r="AE1893" s="795"/>
      <c r="AF1893" s="777"/>
      <c r="AH1893" s="101">
        <f t="shared" si="267"/>
        <v>1000000</v>
      </c>
      <c r="AI1893" s="101">
        <f t="shared" si="266"/>
        <v>1000000</v>
      </c>
      <c r="AJ1893" s="155">
        <v>3</v>
      </c>
      <c r="AK1893" s="121">
        <f t="shared" si="269"/>
        <v>70</v>
      </c>
      <c r="AL1893" s="152">
        <f t="shared" si="268"/>
        <v>741.9484023416212</v>
      </c>
    </row>
    <row r="1894" spans="31:38" ht="15.75" hidden="1" thickBot="1">
      <c r="AE1894" s="795"/>
      <c r="AF1894" s="777"/>
      <c r="AH1894" s="101">
        <f t="shared" si="267"/>
        <v>1000000</v>
      </c>
      <c r="AI1894" s="101">
        <f t="shared" si="266"/>
        <v>1000000</v>
      </c>
      <c r="AJ1894" s="155">
        <v>3</v>
      </c>
      <c r="AK1894" s="121">
        <f t="shared" si="269"/>
        <v>71</v>
      </c>
      <c r="AL1894" s="152">
        <f t="shared" si="268"/>
        <v>739.31781916412569</v>
      </c>
    </row>
    <row r="1895" spans="31:38" ht="15.75" hidden="1" thickBot="1">
      <c r="AE1895" s="795"/>
      <c r="AF1895" s="777"/>
      <c r="AH1895" s="101">
        <f t="shared" si="267"/>
        <v>1000000</v>
      </c>
      <c r="AI1895" s="101">
        <f t="shared" si="266"/>
        <v>1000000</v>
      </c>
      <c r="AJ1895" s="155">
        <v>3</v>
      </c>
      <c r="AK1895" s="121">
        <f t="shared" si="269"/>
        <v>72</v>
      </c>
      <c r="AL1895" s="152">
        <f t="shared" si="268"/>
        <v>736.68723598663041</v>
      </c>
    </row>
    <row r="1896" spans="31:38" ht="15.75" hidden="1" thickBot="1">
      <c r="AE1896" s="795"/>
      <c r="AF1896" s="777"/>
      <c r="AH1896" s="101">
        <f t="shared" si="267"/>
        <v>1000000</v>
      </c>
      <c r="AI1896" s="101">
        <f t="shared" si="266"/>
        <v>1000000</v>
      </c>
      <c r="AJ1896" s="155">
        <v>3</v>
      </c>
      <c r="AK1896" s="121">
        <f t="shared" si="269"/>
        <v>73</v>
      </c>
      <c r="AL1896" s="152">
        <f t="shared" si="268"/>
        <v>734.05665280913513</v>
      </c>
    </row>
    <row r="1897" spans="31:38" ht="15.75" hidden="1" thickBot="1">
      <c r="AE1897" s="795"/>
      <c r="AF1897" s="777"/>
      <c r="AH1897" s="101">
        <f t="shared" si="267"/>
        <v>1000000</v>
      </c>
      <c r="AI1897" s="101">
        <f t="shared" si="266"/>
        <v>1000000</v>
      </c>
      <c r="AJ1897" s="155">
        <v>3</v>
      </c>
      <c r="AK1897" s="121">
        <f t="shared" si="269"/>
        <v>74</v>
      </c>
      <c r="AL1897" s="152">
        <f t="shared" si="268"/>
        <v>731.42606963163973</v>
      </c>
    </row>
    <row r="1898" spans="31:38" ht="15.75" hidden="1" thickBot="1">
      <c r="AE1898" s="795"/>
      <c r="AF1898" s="777"/>
      <c r="AH1898" s="101">
        <f t="shared" si="267"/>
        <v>1000000</v>
      </c>
      <c r="AI1898" s="101">
        <f t="shared" si="266"/>
        <v>1000000</v>
      </c>
      <c r="AJ1898" s="155">
        <v>3</v>
      </c>
      <c r="AK1898" s="121">
        <f t="shared" si="269"/>
        <v>75</v>
      </c>
      <c r="AL1898" s="152">
        <f t="shared" si="268"/>
        <v>728.79548645414445</v>
      </c>
    </row>
    <row r="1899" spans="31:38" ht="15.75" hidden="1" thickBot="1">
      <c r="AE1899" s="795"/>
      <c r="AF1899" s="777"/>
      <c r="AH1899" s="101">
        <f t="shared" si="267"/>
        <v>1000000</v>
      </c>
      <c r="AI1899" s="101">
        <f t="shared" si="266"/>
        <v>1000000</v>
      </c>
      <c r="AJ1899" s="155">
        <v>3</v>
      </c>
      <c r="AK1899" s="121">
        <f t="shared" si="269"/>
        <v>76</v>
      </c>
      <c r="AL1899" s="152">
        <f t="shared" si="268"/>
        <v>726.16490327664906</v>
      </c>
    </row>
    <row r="1900" spans="31:38" ht="15.75" hidden="1" thickBot="1">
      <c r="AE1900" s="795"/>
      <c r="AF1900" s="777"/>
      <c r="AH1900" s="101">
        <f t="shared" si="267"/>
        <v>1000000</v>
      </c>
      <c r="AI1900" s="101">
        <f t="shared" si="266"/>
        <v>1000000</v>
      </c>
      <c r="AJ1900" s="155">
        <v>3</v>
      </c>
      <c r="AK1900" s="121">
        <f t="shared" si="269"/>
        <v>77</v>
      </c>
      <c r="AL1900" s="152">
        <f t="shared" si="268"/>
        <v>723.53432009915377</v>
      </c>
    </row>
    <row r="1901" spans="31:38" ht="15.75" hidden="1" thickBot="1">
      <c r="AE1901" s="795"/>
      <c r="AF1901" s="777"/>
      <c r="AH1901" s="101">
        <f t="shared" si="267"/>
        <v>1000000</v>
      </c>
      <c r="AI1901" s="101">
        <f t="shared" si="266"/>
        <v>1000000</v>
      </c>
      <c r="AJ1901" s="155">
        <v>3</v>
      </c>
      <c r="AK1901" s="121">
        <f t="shared" si="269"/>
        <v>78</v>
      </c>
      <c r="AL1901" s="152">
        <f t="shared" si="268"/>
        <v>720.90373692165838</v>
      </c>
    </row>
    <row r="1902" spans="31:38" ht="15.75" hidden="1" thickBot="1">
      <c r="AE1902" s="795"/>
      <c r="AF1902" s="777"/>
      <c r="AH1902" s="101">
        <f t="shared" si="267"/>
        <v>1000000</v>
      </c>
      <c r="AI1902" s="101">
        <f t="shared" si="266"/>
        <v>1000000</v>
      </c>
      <c r="AJ1902" s="155">
        <v>3</v>
      </c>
      <c r="AK1902" s="121">
        <f t="shared" si="269"/>
        <v>79</v>
      </c>
      <c r="AL1902" s="152">
        <f t="shared" si="268"/>
        <v>718.27315374416298</v>
      </c>
    </row>
    <row r="1903" spans="31:38" ht="15.75" hidden="1" thickBot="1">
      <c r="AE1903" s="795"/>
      <c r="AF1903" s="777"/>
      <c r="AH1903" s="101">
        <f t="shared" si="267"/>
        <v>1000000</v>
      </c>
      <c r="AI1903" s="101">
        <f t="shared" si="266"/>
        <v>1000000</v>
      </c>
      <c r="AJ1903" s="155">
        <v>3</v>
      </c>
      <c r="AK1903" s="121">
        <f t="shared" si="269"/>
        <v>80</v>
      </c>
      <c r="AL1903" s="152">
        <f t="shared" si="268"/>
        <v>715.6425705666677</v>
      </c>
    </row>
    <row r="1904" spans="31:38" ht="15.75" hidden="1" thickBot="1">
      <c r="AE1904" s="795"/>
      <c r="AF1904" s="777"/>
      <c r="AH1904" s="101">
        <f t="shared" si="267"/>
        <v>1000000</v>
      </c>
      <c r="AI1904" s="101">
        <f t="shared" si="266"/>
        <v>1000000</v>
      </c>
      <c r="AJ1904" s="155">
        <v>3</v>
      </c>
      <c r="AK1904" s="121">
        <f t="shared" si="269"/>
        <v>81</v>
      </c>
      <c r="AL1904" s="152">
        <f t="shared" si="268"/>
        <v>713.01198738917242</v>
      </c>
    </row>
    <row r="1905" spans="31:38" ht="15.75" hidden="1" thickBot="1">
      <c r="AE1905" s="795"/>
      <c r="AF1905" s="777"/>
      <c r="AH1905" s="101">
        <f t="shared" si="267"/>
        <v>1000000</v>
      </c>
      <c r="AI1905" s="101">
        <f t="shared" si="266"/>
        <v>1000000</v>
      </c>
      <c r="AJ1905" s="155">
        <v>3</v>
      </c>
      <c r="AK1905" s="121">
        <f t="shared" si="269"/>
        <v>82</v>
      </c>
      <c r="AL1905" s="152">
        <f t="shared" si="268"/>
        <v>710.38140421167714</v>
      </c>
    </row>
    <row r="1906" spans="31:38" ht="15.75" hidden="1" thickBot="1">
      <c r="AE1906" s="795"/>
      <c r="AF1906" s="777"/>
      <c r="AH1906" s="101">
        <f t="shared" si="267"/>
        <v>1000000</v>
      </c>
      <c r="AI1906" s="101">
        <f t="shared" si="266"/>
        <v>1000000</v>
      </c>
      <c r="AJ1906" s="155">
        <v>3</v>
      </c>
      <c r="AK1906" s="121">
        <f t="shared" si="269"/>
        <v>83</v>
      </c>
      <c r="AL1906" s="152">
        <f t="shared" si="268"/>
        <v>707.75082103418163</v>
      </c>
    </row>
    <row r="1907" spans="31:38" ht="15.75" hidden="1" thickBot="1">
      <c r="AE1907" s="795"/>
      <c r="AF1907" s="777"/>
      <c r="AH1907" s="101">
        <f t="shared" si="267"/>
        <v>1000000</v>
      </c>
      <c r="AI1907" s="101">
        <f t="shared" si="266"/>
        <v>1000000</v>
      </c>
      <c r="AJ1907" s="155">
        <v>3</v>
      </c>
      <c r="AK1907" s="121">
        <f t="shared" si="269"/>
        <v>84</v>
      </c>
      <c r="AL1907" s="152">
        <f t="shared" si="268"/>
        <v>705.12023785668634</v>
      </c>
    </row>
    <row r="1908" spans="31:38" ht="15.75" hidden="1" thickBot="1">
      <c r="AE1908" s="795"/>
      <c r="AF1908" s="777"/>
      <c r="AH1908" s="101">
        <f t="shared" si="267"/>
        <v>1000000</v>
      </c>
      <c r="AI1908" s="101">
        <f t="shared" si="266"/>
        <v>1000000</v>
      </c>
      <c r="AJ1908" s="155">
        <v>3</v>
      </c>
      <c r="AK1908" s="121">
        <f t="shared" si="269"/>
        <v>85</v>
      </c>
      <c r="AL1908" s="152">
        <f t="shared" si="268"/>
        <v>702.48965467919106</v>
      </c>
    </row>
    <row r="1909" spans="31:38" ht="15.75" hidden="1" thickBot="1">
      <c r="AE1909" s="795"/>
      <c r="AF1909" s="777"/>
      <c r="AH1909" s="101">
        <f t="shared" si="267"/>
        <v>1000000</v>
      </c>
      <c r="AI1909" s="101">
        <f t="shared" si="266"/>
        <v>1000000</v>
      </c>
      <c r="AJ1909" s="155">
        <v>3</v>
      </c>
      <c r="AK1909" s="121">
        <f t="shared" si="269"/>
        <v>86</v>
      </c>
      <c r="AL1909" s="152">
        <f t="shared" si="268"/>
        <v>699.85907150169578</v>
      </c>
    </row>
    <row r="1910" spans="31:38" ht="15.75" hidden="1" thickBot="1">
      <c r="AE1910" s="795"/>
      <c r="AF1910" s="777"/>
      <c r="AH1910" s="101">
        <f t="shared" si="267"/>
        <v>1000000</v>
      </c>
      <c r="AI1910" s="101">
        <f t="shared" si="266"/>
        <v>1000000</v>
      </c>
      <c r="AJ1910" s="155">
        <v>3</v>
      </c>
      <c r="AK1910" s="121">
        <f t="shared" si="269"/>
        <v>87</v>
      </c>
      <c r="AL1910" s="152">
        <f t="shared" si="268"/>
        <v>697.22848832420027</v>
      </c>
    </row>
    <row r="1911" spans="31:38" ht="15.75" hidden="1" thickBot="1">
      <c r="AE1911" s="795"/>
      <c r="AF1911" s="777"/>
      <c r="AH1911" s="101">
        <f t="shared" si="267"/>
        <v>1000000</v>
      </c>
      <c r="AI1911" s="101">
        <f t="shared" si="266"/>
        <v>1000000</v>
      </c>
      <c r="AJ1911" s="155">
        <v>3</v>
      </c>
      <c r="AK1911" s="121">
        <f t="shared" si="269"/>
        <v>88</v>
      </c>
      <c r="AL1911" s="152">
        <f t="shared" si="268"/>
        <v>694.59790514670499</v>
      </c>
    </row>
    <row r="1912" spans="31:38" ht="15.75" hidden="1" thickBot="1">
      <c r="AE1912" s="795"/>
      <c r="AF1912" s="777"/>
      <c r="AH1912" s="101">
        <f t="shared" si="267"/>
        <v>1000000</v>
      </c>
      <c r="AI1912" s="101">
        <f t="shared" si="266"/>
        <v>1000000</v>
      </c>
      <c r="AJ1912" s="155">
        <v>3</v>
      </c>
      <c r="AK1912" s="121">
        <f t="shared" si="269"/>
        <v>89</v>
      </c>
      <c r="AL1912" s="152">
        <f t="shared" si="268"/>
        <v>691.96732196920971</v>
      </c>
    </row>
    <row r="1913" spans="31:38" ht="15.75" hidden="1" thickBot="1">
      <c r="AE1913" s="795"/>
      <c r="AF1913" s="777"/>
      <c r="AH1913" s="101">
        <f t="shared" si="267"/>
        <v>1000000</v>
      </c>
      <c r="AI1913" s="101">
        <f t="shared" si="266"/>
        <v>1000000</v>
      </c>
      <c r="AJ1913" s="155">
        <v>3</v>
      </c>
      <c r="AK1913" s="121">
        <f t="shared" si="269"/>
        <v>90</v>
      </c>
      <c r="AL1913" s="152">
        <f t="shared" si="268"/>
        <v>689.33673879171431</v>
      </c>
    </row>
    <row r="1914" spans="31:38" ht="15.75" hidden="1" thickBot="1">
      <c r="AE1914" s="795"/>
      <c r="AF1914" s="777"/>
      <c r="AH1914" s="101">
        <f t="shared" si="267"/>
        <v>1000000</v>
      </c>
      <c r="AI1914" s="101">
        <f t="shared" si="266"/>
        <v>1000000</v>
      </c>
      <c r="AJ1914" s="155">
        <v>3</v>
      </c>
      <c r="AK1914" s="121">
        <f t="shared" si="269"/>
        <v>91</v>
      </c>
      <c r="AL1914" s="152">
        <f t="shared" si="268"/>
        <v>686.70615561421891</v>
      </c>
    </row>
    <row r="1915" spans="31:38" ht="15.75" hidden="1" thickBot="1">
      <c r="AE1915" s="795"/>
      <c r="AF1915" s="777"/>
      <c r="AH1915" s="101">
        <f t="shared" si="267"/>
        <v>1000000</v>
      </c>
      <c r="AI1915" s="101">
        <f t="shared" si="266"/>
        <v>1000000</v>
      </c>
      <c r="AJ1915" s="155">
        <v>3</v>
      </c>
      <c r="AK1915" s="121">
        <f t="shared" si="269"/>
        <v>92</v>
      </c>
      <c r="AL1915" s="152">
        <f t="shared" si="268"/>
        <v>684.07557243672363</v>
      </c>
    </row>
    <row r="1916" spans="31:38" ht="15.75" hidden="1" thickBot="1">
      <c r="AE1916" s="795"/>
      <c r="AF1916" s="777"/>
      <c r="AH1916" s="101">
        <f t="shared" si="267"/>
        <v>1000000</v>
      </c>
      <c r="AI1916" s="101">
        <f t="shared" si="266"/>
        <v>1000000</v>
      </c>
      <c r="AJ1916" s="155">
        <v>3</v>
      </c>
      <c r="AK1916" s="121">
        <f t="shared" si="269"/>
        <v>93</v>
      </c>
      <c r="AL1916" s="152">
        <f t="shared" si="268"/>
        <v>681.44498925922835</v>
      </c>
    </row>
    <row r="1917" spans="31:38" ht="15.75" hidden="1" thickBot="1">
      <c r="AE1917" s="795"/>
      <c r="AF1917" s="777"/>
      <c r="AH1917" s="101">
        <f t="shared" si="267"/>
        <v>1000000</v>
      </c>
      <c r="AI1917" s="101">
        <f t="shared" si="266"/>
        <v>1000000</v>
      </c>
      <c r="AJ1917" s="155">
        <v>3</v>
      </c>
      <c r="AK1917" s="121">
        <f t="shared" si="269"/>
        <v>94</v>
      </c>
      <c r="AL1917" s="152">
        <f t="shared" si="268"/>
        <v>678.81440608173284</v>
      </c>
    </row>
    <row r="1918" spans="31:38" ht="15.75" hidden="1" thickBot="1">
      <c r="AE1918" s="795"/>
      <c r="AF1918" s="777"/>
      <c r="AH1918" s="101">
        <f t="shared" si="267"/>
        <v>1000000</v>
      </c>
      <c r="AI1918" s="101">
        <f t="shared" si="266"/>
        <v>1000000</v>
      </c>
      <c r="AJ1918" s="155">
        <v>3</v>
      </c>
      <c r="AK1918" s="121">
        <f t="shared" si="269"/>
        <v>95</v>
      </c>
      <c r="AL1918" s="152">
        <f t="shared" si="268"/>
        <v>676.18382290423756</v>
      </c>
    </row>
    <row r="1919" spans="31:38" ht="15.75" hidden="1" thickBot="1">
      <c r="AE1919" s="795"/>
      <c r="AF1919" s="777"/>
      <c r="AH1919" s="101">
        <f>BE401</f>
        <v>1000000</v>
      </c>
      <c r="AI1919" s="101">
        <f t="shared" si="266"/>
        <v>1000000</v>
      </c>
      <c r="AJ1919" s="155">
        <v>3</v>
      </c>
      <c r="AK1919" s="121">
        <f t="shared" si="269"/>
        <v>96</v>
      </c>
      <c r="AL1919" s="152">
        <f>AB401</f>
        <v>673.55323972674228</v>
      </c>
    </row>
    <row r="1920" spans="31:38" ht="15.75" hidden="1" thickBot="1">
      <c r="AE1920" s="795"/>
      <c r="AF1920" s="777"/>
      <c r="AH1920" s="101">
        <f>BE402</f>
        <v>1000000</v>
      </c>
      <c r="AI1920" s="101">
        <f t="shared" si="266"/>
        <v>1000000</v>
      </c>
      <c r="AJ1920" s="155">
        <v>3</v>
      </c>
      <c r="AK1920" s="121">
        <f t="shared" si="269"/>
        <v>97</v>
      </c>
      <c r="AL1920" s="152">
        <f>AB402</f>
        <v>670.92265654924699</v>
      </c>
    </row>
    <row r="1921" spans="31:38" ht="15.75" hidden="1" thickBot="1">
      <c r="AE1921" s="795"/>
      <c r="AF1921" s="777"/>
      <c r="AH1921" s="101">
        <f>BE403</f>
        <v>1000000</v>
      </c>
      <c r="AI1921" s="101">
        <f t="shared" si="266"/>
        <v>1000000</v>
      </c>
      <c r="AJ1921" s="155">
        <v>3</v>
      </c>
      <c r="AK1921" s="121">
        <f t="shared" si="269"/>
        <v>98</v>
      </c>
      <c r="AL1921" s="152">
        <f>AB403</f>
        <v>668.29207337175171</v>
      </c>
    </row>
    <row r="1922" spans="31:38" ht="15.75" hidden="1" thickBot="1">
      <c r="AE1922" s="795"/>
      <c r="AF1922" s="777"/>
      <c r="AH1922" s="101">
        <f>BE404</f>
        <v>1000000</v>
      </c>
      <c r="AI1922" s="101">
        <f t="shared" si="266"/>
        <v>1000000</v>
      </c>
      <c r="AJ1922" s="155">
        <v>3</v>
      </c>
      <c r="AK1922" s="121">
        <f t="shared" si="269"/>
        <v>99</v>
      </c>
      <c r="AL1922" s="152">
        <f>AB404</f>
        <v>665.6614901942562</v>
      </c>
    </row>
    <row r="1923" spans="31:38" ht="15.75" hidden="1" thickBot="1">
      <c r="AE1923" s="795"/>
      <c r="AF1923" s="778"/>
      <c r="AH1923" s="101">
        <f>BE405</f>
        <v>1000000</v>
      </c>
      <c r="AI1923" s="101">
        <f t="shared" si="266"/>
        <v>1000000</v>
      </c>
      <c r="AJ1923" s="155">
        <v>3</v>
      </c>
      <c r="AK1923" s="121">
        <f t="shared" si="269"/>
        <v>100</v>
      </c>
      <c r="AL1923" s="152">
        <f>AB405</f>
        <v>663.03090701676092</v>
      </c>
    </row>
    <row r="1924" spans="31:38" ht="15.75" hidden="1" thickBot="1">
      <c r="AE1924" s="795"/>
      <c r="AF1924" s="776" t="s">
        <v>288</v>
      </c>
      <c r="AH1924" s="101">
        <f>BL305</f>
        <v>247.65623409481378</v>
      </c>
      <c r="AI1924" s="101">
        <f t="shared" si="266"/>
        <v>247.65623409481378</v>
      </c>
      <c r="AJ1924" s="155">
        <v>4</v>
      </c>
      <c r="AK1924" s="121">
        <v>0</v>
      </c>
      <c r="AL1924" s="152">
        <f t="shared" ref="AL1924:AL1955" si="270">AC305</f>
        <v>1157.6115309578686</v>
      </c>
    </row>
    <row r="1925" spans="31:38" ht="15.75" hidden="1" thickBot="1">
      <c r="AE1925" s="795"/>
      <c r="AF1925" s="777"/>
      <c r="AH1925" s="101">
        <f t="shared" ref="AH1925:AH1955" si="271">BL306</f>
        <v>1000000</v>
      </c>
      <c r="AI1925" s="101">
        <f t="shared" si="266"/>
        <v>1000000</v>
      </c>
      <c r="AJ1925" s="155">
        <v>4</v>
      </c>
      <c r="AK1925" s="121">
        <f t="shared" ref="AK1925:AK1988" si="272">AK1924+1</f>
        <v>1</v>
      </c>
      <c r="AL1925" s="152">
        <f t="shared" si="270"/>
        <v>1154.3233019859995</v>
      </c>
    </row>
    <row r="1926" spans="31:38" ht="15.75" hidden="1" thickBot="1">
      <c r="AE1926" s="795"/>
      <c r="AF1926" s="777"/>
      <c r="AH1926" s="101">
        <f t="shared" si="271"/>
        <v>1000000</v>
      </c>
      <c r="AI1926" s="101">
        <f t="shared" si="266"/>
        <v>1000000</v>
      </c>
      <c r="AJ1926" s="155">
        <v>4</v>
      </c>
      <c r="AK1926" s="121">
        <f t="shared" si="272"/>
        <v>2</v>
      </c>
      <c r="AL1926" s="152">
        <f t="shared" si="270"/>
        <v>1151.0350730141304</v>
      </c>
    </row>
    <row r="1927" spans="31:38" ht="15.75" hidden="1" thickBot="1">
      <c r="AE1927" s="795"/>
      <c r="AF1927" s="777"/>
      <c r="AH1927" s="101">
        <f t="shared" si="271"/>
        <v>1000000</v>
      </c>
      <c r="AI1927" s="101">
        <f t="shared" si="266"/>
        <v>1000000</v>
      </c>
      <c r="AJ1927" s="155">
        <v>4</v>
      </c>
      <c r="AK1927" s="121">
        <f t="shared" si="272"/>
        <v>3</v>
      </c>
      <c r="AL1927" s="152">
        <f t="shared" si="270"/>
        <v>1147.7468440422613</v>
      </c>
    </row>
    <row r="1928" spans="31:38" ht="15.75" hidden="1" thickBot="1">
      <c r="AE1928" s="795"/>
      <c r="AF1928" s="777"/>
      <c r="AH1928" s="101">
        <f t="shared" si="271"/>
        <v>1000000</v>
      </c>
      <c r="AI1928" s="101">
        <f t="shared" si="266"/>
        <v>1000000</v>
      </c>
      <c r="AJ1928" s="155">
        <v>4</v>
      </c>
      <c r="AK1928" s="121">
        <f t="shared" si="272"/>
        <v>4</v>
      </c>
      <c r="AL1928" s="152">
        <f t="shared" si="270"/>
        <v>1144.4586150703919</v>
      </c>
    </row>
    <row r="1929" spans="31:38" ht="15.75" hidden="1" thickBot="1">
      <c r="AE1929" s="795"/>
      <c r="AF1929" s="777"/>
      <c r="AH1929" s="101">
        <f t="shared" si="271"/>
        <v>1000000</v>
      </c>
      <c r="AI1929" s="101">
        <f t="shared" si="266"/>
        <v>1000000</v>
      </c>
      <c r="AJ1929" s="155">
        <v>4</v>
      </c>
      <c r="AK1929" s="121">
        <f t="shared" si="272"/>
        <v>5</v>
      </c>
      <c r="AL1929" s="152">
        <f t="shared" si="270"/>
        <v>1141.1703860985226</v>
      </c>
    </row>
    <row r="1930" spans="31:38" ht="15.75" hidden="1" thickBot="1">
      <c r="AE1930" s="795"/>
      <c r="AF1930" s="777"/>
      <c r="AH1930" s="101">
        <f t="shared" si="271"/>
        <v>1000000</v>
      </c>
      <c r="AI1930" s="101">
        <f t="shared" si="266"/>
        <v>1000000</v>
      </c>
      <c r="AJ1930" s="155">
        <v>4</v>
      </c>
      <c r="AK1930" s="121">
        <f t="shared" si="272"/>
        <v>6</v>
      </c>
      <c r="AL1930" s="152">
        <f t="shared" si="270"/>
        <v>1137.8821571266535</v>
      </c>
    </row>
    <row r="1931" spans="31:38" ht="15.75" hidden="1" thickBot="1">
      <c r="AE1931" s="795"/>
      <c r="AF1931" s="777"/>
      <c r="AH1931" s="101">
        <f t="shared" si="271"/>
        <v>1000000</v>
      </c>
      <c r="AI1931" s="101">
        <f t="shared" si="266"/>
        <v>1000000</v>
      </c>
      <c r="AJ1931" s="155">
        <v>4</v>
      </c>
      <c r="AK1931" s="121">
        <f t="shared" si="272"/>
        <v>7</v>
      </c>
      <c r="AL1931" s="152">
        <f t="shared" si="270"/>
        <v>1134.5939281547844</v>
      </c>
    </row>
    <row r="1932" spans="31:38" ht="15.75" hidden="1" thickBot="1">
      <c r="AE1932" s="795"/>
      <c r="AF1932" s="777"/>
      <c r="AH1932" s="101">
        <f t="shared" si="271"/>
        <v>1000000</v>
      </c>
      <c r="AI1932" s="101">
        <f t="shared" si="266"/>
        <v>1000000</v>
      </c>
      <c r="AJ1932" s="155">
        <v>4</v>
      </c>
      <c r="AK1932" s="121">
        <f t="shared" si="272"/>
        <v>8</v>
      </c>
      <c r="AL1932" s="152">
        <f t="shared" si="270"/>
        <v>1131.3056991829153</v>
      </c>
    </row>
    <row r="1933" spans="31:38" ht="15.75" hidden="1" thickBot="1">
      <c r="AE1933" s="795"/>
      <c r="AF1933" s="777"/>
      <c r="AH1933" s="101">
        <f t="shared" si="271"/>
        <v>1000000</v>
      </c>
      <c r="AI1933" s="101">
        <f t="shared" si="266"/>
        <v>1000000</v>
      </c>
      <c r="AJ1933" s="155">
        <v>4</v>
      </c>
      <c r="AK1933" s="121">
        <f t="shared" si="272"/>
        <v>9</v>
      </c>
      <c r="AL1933" s="152">
        <f t="shared" si="270"/>
        <v>1128.017470211046</v>
      </c>
    </row>
    <row r="1934" spans="31:38" ht="15.75" hidden="1" thickBot="1">
      <c r="AE1934" s="795"/>
      <c r="AF1934" s="777"/>
      <c r="AH1934" s="101">
        <f t="shared" si="271"/>
        <v>1000000</v>
      </c>
      <c r="AI1934" s="101">
        <f t="shared" si="266"/>
        <v>1000000</v>
      </c>
      <c r="AJ1934" s="155">
        <v>4</v>
      </c>
      <c r="AK1934" s="121">
        <f t="shared" si="272"/>
        <v>10</v>
      </c>
      <c r="AL1934" s="152">
        <f t="shared" si="270"/>
        <v>1124.7292412391769</v>
      </c>
    </row>
    <row r="1935" spans="31:38" ht="15.75" hidden="1" thickBot="1">
      <c r="AE1935" s="795"/>
      <c r="AF1935" s="777"/>
      <c r="AH1935" s="101">
        <f t="shared" si="271"/>
        <v>1000000</v>
      </c>
      <c r="AI1935" s="101">
        <f t="shared" si="266"/>
        <v>1000000</v>
      </c>
      <c r="AJ1935" s="155">
        <v>4</v>
      </c>
      <c r="AK1935" s="121">
        <f t="shared" si="272"/>
        <v>11</v>
      </c>
      <c r="AL1935" s="152">
        <f t="shared" si="270"/>
        <v>1121.4410122673078</v>
      </c>
    </row>
    <row r="1936" spans="31:38" ht="15.75" hidden="1" thickBot="1">
      <c r="AE1936" s="795"/>
      <c r="AF1936" s="777"/>
      <c r="AH1936" s="101">
        <f t="shared" si="271"/>
        <v>1000000</v>
      </c>
      <c r="AI1936" s="101">
        <f t="shared" si="266"/>
        <v>1000000</v>
      </c>
      <c r="AJ1936" s="155">
        <v>4</v>
      </c>
      <c r="AK1936" s="121">
        <f t="shared" si="272"/>
        <v>12</v>
      </c>
      <c r="AL1936" s="152">
        <f t="shared" si="270"/>
        <v>1118.1527832954387</v>
      </c>
    </row>
    <row r="1937" spans="31:38" ht="15.75" hidden="1" thickBot="1">
      <c r="AE1937" s="795"/>
      <c r="AF1937" s="777"/>
      <c r="AH1937" s="101">
        <f t="shared" si="271"/>
        <v>1000000</v>
      </c>
      <c r="AI1937" s="101">
        <f t="shared" si="266"/>
        <v>1000000</v>
      </c>
      <c r="AJ1937" s="155">
        <v>4</v>
      </c>
      <c r="AK1937" s="121">
        <f t="shared" si="272"/>
        <v>13</v>
      </c>
      <c r="AL1937" s="152">
        <f t="shared" si="270"/>
        <v>1114.8645543235693</v>
      </c>
    </row>
    <row r="1938" spans="31:38" ht="15.75" hidden="1" thickBot="1">
      <c r="AE1938" s="795"/>
      <c r="AF1938" s="777"/>
      <c r="AH1938" s="101">
        <f t="shared" si="271"/>
        <v>1000000</v>
      </c>
      <c r="AI1938" s="101">
        <f t="shared" si="266"/>
        <v>1000000</v>
      </c>
      <c r="AJ1938" s="155">
        <v>4</v>
      </c>
      <c r="AK1938" s="121">
        <f t="shared" si="272"/>
        <v>14</v>
      </c>
      <c r="AL1938" s="152">
        <f t="shared" si="270"/>
        <v>1111.5763253517002</v>
      </c>
    </row>
    <row r="1939" spans="31:38" ht="15.75" hidden="1" thickBot="1">
      <c r="AE1939" s="795"/>
      <c r="AF1939" s="777"/>
      <c r="AH1939" s="101">
        <f t="shared" si="271"/>
        <v>1000000</v>
      </c>
      <c r="AI1939" s="101">
        <f t="shared" si="266"/>
        <v>1000000</v>
      </c>
      <c r="AJ1939" s="155">
        <v>4</v>
      </c>
      <c r="AK1939" s="121">
        <f t="shared" si="272"/>
        <v>15</v>
      </c>
      <c r="AL1939" s="152">
        <f t="shared" si="270"/>
        <v>1108.2880963798309</v>
      </c>
    </row>
    <row r="1940" spans="31:38" ht="15.75" hidden="1" thickBot="1">
      <c r="AE1940" s="795"/>
      <c r="AF1940" s="777"/>
      <c r="AH1940" s="101">
        <f t="shared" si="271"/>
        <v>1000000</v>
      </c>
      <c r="AI1940" s="101">
        <f t="shared" si="266"/>
        <v>1000000</v>
      </c>
      <c r="AJ1940" s="155">
        <v>4</v>
      </c>
      <c r="AK1940" s="121">
        <f t="shared" si="272"/>
        <v>16</v>
      </c>
      <c r="AL1940" s="152">
        <f t="shared" si="270"/>
        <v>1104.9998674079618</v>
      </c>
    </row>
    <row r="1941" spans="31:38" ht="15.75" hidden="1" thickBot="1">
      <c r="AE1941" s="795"/>
      <c r="AF1941" s="777"/>
      <c r="AH1941" s="101">
        <f t="shared" si="271"/>
        <v>1000000</v>
      </c>
      <c r="AI1941" s="101">
        <f t="shared" ref="AI1941:AI2004" si="273">IF(AL1941&lt;$D$88,0,AH1941)</f>
        <v>1000000</v>
      </c>
      <c r="AJ1941" s="155">
        <v>4</v>
      </c>
      <c r="AK1941" s="121">
        <f t="shared" si="272"/>
        <v>17</v>
      </c>
      <c r="AL1941" s="152">
        <f t="shared" si="270"/>
        <v>1101.7116384360927</v>
      </c>
    </row>
    <row r="1942" spans="31:38" ht="15.75" hidden="1" thickBot="1">
      <c r="AE1942" s="795"/>
      <c r="AF1942" s="777"/>
      <c r="AH1942" s="101">
        <f t="shared" si="271"/>
        <v>1000000</v>
      </c>
      <c r="AI1942" s="101">
        <f t="shared" si="273"/>
        <v>1000000</v>
      </c>
      <c r="AJ1942" s="155">
        <v>4</v>
      </c>
      <c r="AK1942" s="121">
        <f t="shared" si="272"/>
        <v>18</v>
      </c>
      <c r="AL1942" s="152">
        <f t="shared" si="270"/>
        <v>1098.4234094642236</v>
      </c>
    </row>
    <row r="1943" spans="31:38" ht="15.75" hidden="1" thickBot="1">
      <c r="AE1943" s="795"/>
      <c r="AF1943" s="777"/>
      <c r="AH1943" s="101">
        <f t="shared" si="271"/>
        <v>1000000</v>
      </c>
      <c r="AI1943" s="101">
        <f t="shared" si="273"/>
        <v>1000000</v>
      </c>
      <c r="AJ1943" s="155">
        <v>4</v>
      </c>
      <c r="AK1943" s="121">
        <f t="shared" si="272"/>
        <v>19</v>
      </c>
      <c r="AL1943" s="152">
        <f t="shared" si="270"/>
        <v>1095.1351804923545</v>
      </c>
    </row>
    <row r="1944" spans="31:38" ht="15.75" hidden="1" thickBot="1">
      <c r="AE1944" s="795"/>
      <c r="AF1944" s="777"/>
      <c r="AH1944" s="101">
        <f t="shared" si="271"/>
        <v>1000000</v>
      </c>
      <c r="AI1944" s="101">
        <f t="shared" si="273"/>
        <v>1000000</v>
      </c>
      <c r="AJ1944" s="155">
        <v>4</v>
      </c>
      <c r="AK1944" s="121">
        <f t="shared" si="272"/>
        <v>20</v>
      </c>
      <c r="AL1944" s="152">
        <f t="shared" si="270"/>
        <v>1091.8469515204852</v>
      </c>
    </row>
    <row r="1945" spans="31:38" ht="15.75" hidden="1" thickBot="1">
      <c r="AE1945" s="795"/>
      <c r="AF1945" s="777"/>
      <c r="AH1945" s="101">
        <f t="shared" si="271"/>
        <v>1000000</v>
      </c>
      <c r="AI1945" s="101">
        <f t="shared" si="273"/>
        <v>1000000</v>
      </c>
      <c r="AJ1945" s="155">
        <v>4</v>
      </c>
      <c r="AK1945" s="121">
        <f t="shared" si="272"/>
        <v>21</v>
      </c>
      <c r="AL1945" s="152">
        <f t="shared" si="270"/>
        <v>1088.5587225486161</v>
      </c>
    </row>
    <row r="1946" spans="31:38" ht="15.75" hidden="1" thickBot="1">
      <c r="AE1946" s="795"/>
      <c r="AF1946" s="777"/>
      <c r="AH1946" s="101">
        <f t="shared" si="271"/>
        <v>1000000</v>
      </c>
      <c r="AI1946" s="101">
        <f t="shared" si="273"/>
        <v>1000000</v>
      </c>
      <c r="AJ1946" s="155">
        <v>4</v>
      </c>
      <c r="AK1946" s="121">
        <f t="shared" si="272"/>
        <v>22</v>
      </c>
      <c r="AL1946" s="152">
        <f t="shared" si="270"/>
        <v>1085.270493576747</v>
      </c>
    </row>
    <row r="1947" spans="31:38" ht="15.75" hidden="1" thickBot="1">
      <c r="AE1947" s="795"/>
      <c r="AF1947" s="777"/>
      <c r="AH1947" s="101">
        <f t="shared" si="271"/>
        <v>1000000</v>
      </c>
      <c r="AI1947" s="101">
        <f t="shared" si="273"/>
        <v>1000000</v>
      </c>
      <c r="AJ1947" s="155">
        <v>4</v>
      </c>
      <c r="AK1947" s="121">
        <f t="shared" si="272"/>
        <v>23</v>
      </c>
      <c r="AL1947" s="152">
        <f t="shared" si="270"/>
        <v>1081.9822646048776</v>
      </c>
    </row>
    <row r="1948" spans="31:38" ht="15.75" hidden="1" thickBot="1">
      <c r="AE1948" s="795"/>
      <c r="AF1948" s="777"/>
      <c r="AH1948" s="101">
        <f t="shared" si="271"/>
        <v>1000000</v>
      </c>
      <c r="AI1948" s="101">
        <f t="shared" si="273"/>
        <v>1000000</v>
      </c>
      <c r="AJ1948" s="155">
        <v>4</v>
      </c>
      <c r="AK1948" s="121">
        <f t="shared" si="272"/>
        <v>24</v>
      </c>
      <c r="AL1948" s="152">
        <f t="shared" si="270"/>
        <v>1078.6940356330085</v>
      </c>
    </row>
    <row r="1949" spans="31:38" ht="15.75" hidden="1" thickBot="1">
      <c r="AE1949" s="795"/>
      <c r="AF1949" s="777"/>
      <c r="AH1949" s="101">
        <f t="shared" si="271"/>
        <v>1000000</v>
      </c>
      <c r="AI1949" s="101">
        <f t="shared" si="273"/>
        <v>1000000</v>
      </c>
      <c r="AJ1949" s="155">
        <v>4</v>
      </c>
      <c r="AK1949" s="121">
        <f t="shared" si="272"/>
        <v>25</v>
      </c>
      <c r="AL1949" s="152">
        <f t="shared" si="270"/>
        <v>1075.4058066611392</v>
      </c>
    </row>
    <row r="1950" spans="31:38" ht="15.75" hidden="1" thickBot="1">
      <c r="AE1950" s="795"/>
      <c r="AF1950" s="777"/>
      <c r="AH1950" s="101">
        <f t="shared" si="271"/>
        <v>1000000</v>
      </c>
      <c r="AI1950" s="101">
        <f t="shared" si="273"/>
        <v>1000000</v>
      </c>
      <c r="AJ1950" s="155">
        <v>4</v>
      </c>
      <c r="AK1950" s="121">
        <f t="shared" si="272"/>
        <v>26</v>
      </c>
      <c r="AL1950" s="152">
        <f t="shared" si="270"/>
        <v>1072.1175776892701</v>
      </c>
    </row>
    <row r="1951" spans="31:38" ht="15.75" hidden="1" thickBot="1">
      <c r="AE1951" s="795"/>
      <c r="AF1951" s="777"/>
      <c r="AH1951" s="101">
        <f t="shared" si="271"/>
        <v>1000000</v>
      </c>
      <c r="AI1951" s="101">
        <f t="shared" si="273"/>
        <v>1000000</v>
      </c>
      <c r="AJ1951" s="155">
        <v>4</v>
      </c>
      <c r="AK1951" s="121">
        <f t="shared" si="272"/>
        <v>27</v>
      </c>
      <c r="AL1951" s="152">
        <f t="shared" si="270"/>
        <v>1068.829348717401</v>
      </c>
    </row>
    <row r="1952" spans="31:38" ht="15.75" hidden="1" thickBot="1">
      <c r="AE1952" s="795"/>
      <c r="AF1952" s="777"/>
      <c r="AH1952" s="101">
        <f t="shared" si="271"/>
        <v>1000000</v>
      </c>
      <c r="AI1952" s="101">
        <f t="shared" si="273"/>
        <v>1000000</v>
      </c>
      <c r="AJ1952" s="155">
        <v>4</v>
      </c>
      <c r="AK1952" s="121">
        <f t="shared" si="272"/>
        <v>28</v>
      </c>
      <c r="AL1952" s="152">
        <f t="shared" si="270"/>
        <v>1065.5411197455319</v>
      </c>
    </row>
    <row r="1953" spans="31:38" ht="15.75" hidden="1" thickBot="1">
      <c r="AE1953" s="795"/>
      <c r="AF1953" s="777"/>
      <c r="AH1953" s="101">
        <f t="shared" si="271"/>
        <v>1000000</v>
      </c>
      <c r="AI1953" s="101">
        <f t="shared" si="273"/>
        <v>1000000</v>
      </c>
      <c r="AJ1953" s="155">
        <v>4</v>
      </c>
      <c r="AK1953" s="121">
        <f t="shared" si="272"/>
        <v>29</v>
      </c>
      <c r="AL1953" s="152">
        <f t="shared" si="270"/>
        <v>1062.2528907736626</v>
      </c>
    </row>
    <row r="1954" spans="31:38" ht="15.75" hidden="1" thickBot="1">
      <c r="AE1954" s="795"/>
      <c r="AF1954" s="777"/>
      <c r="AH1954" s="101">
        <f t="shared" si="271"/>
        <v>1000000</v>
      </c>
      <c r="AI1954" s="101">
        <f t="shared" si="273"/>
        <v>1000000</v>
      </c>
      <c r="AJ1954" s="155">
        <v>4</v>
      </c>
      <c r="AK1954" s="121">
        <f t="shared" si="272"/>
        <v>30</v>
      </c>
      <c r="AL1954" s="152">
        <f t="shared" si="270"/>
        <v>1058.9646618017935</v>
      </c>
    </row>
    <row r="1955" spans="31:38" ht="15.75" hidden="1" thickBot="1">
      <c r="AE1955" s="795"/>
      <c r="AF1955" s="777"/>
      <c r="AH1955" s="101">
        <f t="shared" si="271"/>
        <v>1000000</v>
      </c>
      <c r="AI1955" s="101">
        <f t="shared" si="273"/>
        <v>1000000</v>
      </c>
      <c r="AJ1955" s="155">
        <v>4</v>
      </c>
      <c r="AK1955" s="121">
        <f t="shared" si="272"/>
        <v>31</v>
      </c>
      <c r="AL1955" s="152">
        <f t="shared" si="270"/>
        <v>1055.6764328299244</v>
      </c>
    </row>
    <row r="1956" spans="31:38" ht="15.75" hidden="1" thickBot="1">
      <c r="AE1956" s="795"/>
      <c r="AF1956" s="777"/>
      <c r="AH1956" s="101">
        <f t="shared" ref="AH1956:AH1987" si="274">BL337</f>
        <v>1000000</v>
      </c>
      <c r="AI1956" s="101">
        <f t="shared" si="273"/>
        <v>1000000</v>
      </c>
      <c r="AJ1956" s="155">
        <v>4</v>
      </c>
      <c r="AK1956" s="121">
        <f t="shared" si="272"/>
        <v>32</v>
      </c>
      <c r="AL1956" s="152">
        <f t="shared" ref="AL1956:AL1987" si="275">AC337</f>
        <v>1052.388203858055</v>
      </c>
    </row>
    <row r="1957" spans="31:38" ht="15.75" hidden="1" thickBot="1">
      <c r="AE1957" s="795"/>
      <c r="AF1957" s="777"/>
      <c r="AH1957" s="101">
        <f t="shared" si="274"/>
        <v>1000000</v>
      </c>
      <c r="AI1957" s="101">
        <f t="shared" si="273"/>
        <v>1000000</v>
      </c>
      <c r="AJ1957" s="155">
        <v>4</v>
      </c>
      <c r="AK1957" s="121">
        <f t="shared" si="272"/>
        <v>33</v>
      </c>
      <c r="AL1957" s="152">
        <f t="shared" si="275"/>
        <v>1049.0999748861859</v>
      </c>
    </row>
    <row r="1958" spans="31:38" ht="15.75" hidden="1" thickBot="1">
      <c r="AE1958" s="795"/>
      <c r="AF1958" s="777"/>
      <c r="AH1958" s="101">
        <f t="shared" si="274"/>
        <v>1000000</v>
      </c>
      <c r="AI1958" s="101">
        <f t="shared" si="273"/>
        <v>1000000</v>
      </c>
      <c r="AJ1958" s="155">
        <v>4</v>
      </c>
      <c r="AK1958" s="121">
        <f t="shared" si="272"/>
        <v>34</v>
      </c>
      <c r="AL1958" s="152">
        <f t="shared" si="275"/>
        <v>1045.8117459143168</v>
      </c>
    </row>
    <row r="1959" spans="31:38" ht="15.75" hidden="1" thickBot="1">
      <c r="AE1959" s="795"/>
      <c r="AF1959" s="777"/>
      <c r="AH1959" s="101">
        <f t="shared" si="274"/>
        <v>1000000</v>
      </c>
      <c r="AI1959" s="101">
        <f t="shared" si="273"/>
        <v>1000000</v>
      </c>
      <c r="AJ1959" s="155">
        <v>4</v>
      </c>
      <c r="AK1959" s="121">
        <f t="shared" si="272"/>
        <v>35</v>
      </c>
      <c r="AL1959" s="152">
        <f t="shared" si="275"/>
        <v>1042.5235169424475</v>
      </c>
    </row>
    <row r="1960" spans="31:38" ht="15.75" hidden="1" thickBot="1">
      <c r="AE1960" s="795"/>
      <c r="AF1960" s="777"/>
      <c r="AH1960" s="101">
        <f t="shared" si="274"/>
        <v>1000000</v>
      </c>
      <c r="AI1960" s="101">
        <f t="shared" si="273"/>
        <v>1000000</v>
      </c>
      <c r="AJ1960" s="155">
        <v>4</v>
      </c>
      <c r="AK1960" s="121">
        <f t="shared" si="272"/>
        <v>36</v>
      </c>
      <c r="AL1960" s="152">
        <f t="shared" si="275"/>
        <v>1039.2352879705784</v>
      </c>
    </row>
    <row r="1961" spans="31:38" ht="15.75" hidden="1" thickBot="1">
      <c r="AE1961" s="795"/>
      <c r="AF1961" s="777"/>
      <c r="AH1961" s="101">
        <f t="shared" si="274"/>
        <v>1000000</v>
      </c>
      <c r="AI1961" s="101">
        <f t="shared" si="273"/>
        <v>1000000</v>
      </c>
      <c r="AJ1961" s="155">
        <v>4</v>
      </c>
      <c r="AK1961" s="121">
        <f t="shared" si="272"/>
        <v>37</v>
      </c>
      <c r="AL1961" s="152">
        <f t="shared" si="275"/>
        <v>1035.9470589987091</v>
      </c>
    </row>
    <row r="1962" spans="31:38" ht="15.75" hidden="1" thickBot="1">
      <c r="AE1962" s="795"/>
      <c r="AF1962" s="777"/>
      <c r="AH1962" s="101">
        <f t="shared" si="274"/>
        <v>1000000</v>
      </c>
      <c r="AI1962" s="101">
        <f t="shared" si="273"/>
        <v>1000000</v>
      </c>
      <c r="AJ1962" s="155">
        <v>4</v>
      </c>
      <c r="AK1962" s="121">
        <f t="shared" si="272"/>
        <v>38</v>
      </c>
      <c r="AL1962" s="152">
        <f t="shared" si="275"/>
        <v>1032.65883002684</v>
      </c>
    </row>
    <row r="1963" spans="31:38" ht="15.75" hidden="1" thickBot="1">
      <c r="AE1963" s="795"/>
      <c r="AF1963" s="777"/>
      <c r="AH1963" s="101">
        <f t="shared" si="274"/>
        <v>1000000</v>
      </c>
      <c r="AI1963" s="101">
        <f t="shared" si="273"/>
        <v>1000000</v>
      </c>
      <c r="AJ1963" s="155">
        <v>4</v>
      </c>
      <c r="AK1963" s="121">
        <f t="shared" si="272"/>
        <v>39</v>
      </c>
      <c r="AL1963" s="152">
        <f t="shared" si="275"/>
        <v>1029.3706010549708</v>
      </c>
    </row>
    <row r="1964" spans="31:38" ht="15.75" hidden="1" thickBot="1">
      <c r="AE1964" s="795"/>
      <c r="AF1964" s="777"/>
      <c r="AH1964" s="101">
        <f t="shared" si="274"/>
        <v>1000000</v>
      </c>
      <c r="AI1964" s="101">
        <f t="shared" si="273"/>
        <v>1000000</v>
      </c>
      <c r="AJ1964" s="155">
        <v>4</v>
      </c>
      <c r="AK1964" s="121">
        <f t="shared" si="272"/>
        <v>40</v>
      </c>
      <c r="AL1964" s="152">
        <f t="shared" si="275"/>
        <v>1026.0823720831015</v>
      </c>
    </row>
    <row r="1965" spans="31:38" ht="15.75" hidden="1" thickBot="1">
      <c r="AE1965" s="795"/>
      <c r="AF1965" s="777"/>
      <c r="AH1965" s="101">
        <f t="shared" si="274"/>
        <v>1000000</v>
      </c>
      <c r="AI1965" s="101">
        <f t="shared" si="273"/>
        <v>1000000</v>
      </c>
      <c r="AJ1965" s="155">
        <v>4</v>
      </c>
      <c r="AK1965" s="121">
        <f t="shared" si="272"/>
        <v>41</v>
      </c>
      <c r="AL1965" s="152">
        <f t="shared" si="275"/>
        <v>1022.7941431112324</v>
      </c>
    </row>
    <row r="1966" spans="31:38" ht="15.75" hidden="1" thickBot="1">
      <c r="AE1966" s="795"/>
      <c r="AF1966" s="777"/>
      <c r="AH1966" s="101">
        <f t="shared" si="274"/>
        <v>1000000</v>
      </c>
      <c r="AI1966" s="101">
        <f t="shared" si="273"/>
        <v>1000000</v>
      </c>
      <c r="AJ1966" s="155">
        <v>4</v>
      </c>
      <c r="AK1966" s="121">
        <f t="shared" si="272"/>
        <v>42</v>
      </c>
      <c r="AL1966" s="152">
        <f t="shared" si="275"/>
        <v>1019.5059141393633</v>
      </c>
    </row>
    <row r="1967" spans="31:38" ht="15.75" hidden="1" thickBot="1">
      <c r="AE1967" s="795"/>
      <c r="AF1967" s="777"/>
      <c r="AH1967" s="101">
        <f t="shared" si="274"/>
        <v>1000000</v>
      </c>
      <c r="AI1967" s="101">
        <f t="shared" si="273"/>
        <v>1000000</v>
      </c>
      <c r="AJ1967" s="155">
        <v>4</v>
      </c>
      <c r="AK1967" s="121">
        <f t="shared" si="272"/>
        <v>43</v>
      </c>
      <c r="AL1967" s="152">
        <f t="shared" si="275"/>
        <v>1016.2176851674941</v>
      </c>
    </row>
    <row r="1968" spans="31:38" ht="15.75" hidden="1" thickBot="1">
      <c r="AE1968" s="795"/>
      <c r="AF1968" s="777"/>
      <c r="AH1968" s="101">
        <f t="shared" si="274"/>
        <v>1000000</v>
      </c>
      <c r="AI1968" s="101">
        <f t="shared" si="273"/>
        <v>1000000</v>
      </c>
      <c r="AJ1968" s="155">
        <v>4</v>
      </c>
      <c r="AK1968" s="121">
        <f t="shared" si="272"/>
        <v>44</v>
      </c>
      <c r="AL1968" s="152">
        <f t="shared" si="275"/>
        <v>1012.9294561956249</v>
      </c>
    </row>
    <row r="1969" spans="31:38" ht="15.75" hidden="1" thickBot="1">
      <c r="AE1969" s="795"/>
      <c r="AF1969" s="777"/>
      <c r="AH1969" s="101">
        <f t="shared" si="274"/>
        <v>1000000</v>
      </c>
      <c r="AI1969" s="101">
        <f t="shared" si="273"/>
        <v>1000000</v>
      </c>
      <c r="AJ1969" s="155">
        <v>4</v>
      </c>
      <c r="AK1969" s="121">
        <f t="shared" si="272"/>
        <v>45</v>
      </c>
      <c r="AL1969" s="152">
        <f t="shared" si="275"/>
        <v>1009.6412272237558</v>
      </c>
    </row>
    <row r="1970" spans="31:38" ht="15.75" hidden="1" thickBot="1">
      <c r="AE1970" s="795"/>
      <c r="AF1970" s="777"/>
      <c r="AH1970" s="101">
        <f t="shared" si="274"/>
        <v>1000000</v>
      </c>
      <c r="AI1970" s="101">
        <f t="shared" si="273"/>
        <v>1000000</v>
      </c>
      <c r="AJ1970" s="155">
        <v>4</v>
      </c>
      <c r="AK1970" s="121">
        <f t="shared" si="272"/>
        <v>46</v>
      </c>
      <c r="AL1970" s="152">
        <f t="shared" si="275"/>
        <v>1006.3529982518867</v>
      </c>
    </row>
    <row r="1971" spans="31:38" ht="15.75" hidden="1" thickBot="1">
      <c r="AE1971" s="795"/>
      <c r="AF1971" s="777"/>
      <c r="AH1971" s="101">
        <f t="shared" si="274"/>
        <v>1000000</v>
      </c>
      <c r="AI1971" s="101">
        <f t="shared" si="273"/>
        <v>1000000</v>
      </c>
      <c r="AJ1971" s="155">
        <v>4</v>
      </c>
      <c r="AK1971" s="121">
        <f t="shared" si="272"/>
        <v>47</v>
      </c>
      <c r="AL1971" s="152">
        <f t="shared" si="275"/>
        <v>1003.0647692800175</v>
      </c>
    </row>
    <row r="1972" spans="31:38" ht="15.75" hidden="1" thickBot="1">
      <c r="AE1972" s="795"/>
      <c r="AF1972" s="777"/>
      <c r="AH1972" s="101">
        <f t="shared" si="274"/>
        <v>1000000</v>
      </c>
      <c r="AI1972" s="101">
        <f t="shared" si="273"/>
        <v>1000000</v>
      </c>
      <c r="AJ1972" s="155">
        <v>4</v>
      </c>
      <c r="AK1972" s="121">
        <f t="shared" si="272"/>
        <v>48</v>
      </c>
      <c r="AL1972" s="152">
        <f t="shared" si="275"/>
        <v>999.77654030814836</v>
      </c>
    </row>
    <row r="1973" spans="31:38" ht="15.75" hidden="1" thickBot="1">
      <c r="AE1973" s="795"/>
      <c r="AF1973" s="777"/>
      <c r="AH1973" s="101">
        <f t="shared" si="274"/>
        <v>1000000</v>
      </c>
      <c r="AI1973" s="101">
        <f t="shared" si="273"/>
        <v>1000000</v>
      </c>
      <c r="AJ1973" s="155">
        <v>4</v>
      </c>
      <c r="AK1973" s="121">
        <f t="shared" si="272"/>
        <v>49</v>
      </c>
      <c r="AL1973" s="152">
        <f t="shared" si="275"/>
        <v>996.48831133627914</v>
      </c>
    </row>
    <row r="1974" spans="31:38" ht="15.75" hidden="1" thickBot="1">
      <c r="AE1974" s="795"/>
      <c r="AF1974" s="777"/>
      <c r="AH1974" s="101">
        <f t="shared" si="274"/>
        <v>1000000</v>
      </c>
      <c r="AI1974" s="101">
        <f t="shared" si="273"/>
        <v>1000000</v>
      </c>
      <c r="AJ1974" s="155">
        <v>4</v>
      </c>
      <c r="AK1974" s="121">
        <f t="shared" si="272"/>
        <v>50</v>
      </c>
      <c r="AL1974" s="152">
        <f t="shared" si="275"/>
        <v>993.20008236440981</v>
      </c>
    </row>
    <row r="1975" spans="31:38" ht="15.75" hidden="1" thickBot="1">
      <c r="AE1975" s="795"/>
      <c r="AF1975" s="777"/>
      <c r="AH1975" s="101">
        <f t="shared" si="274"/>
        <v>1000000</v>
      </c>
      <c r="AI1975" s="101">
        <f t="shared" si="273"/>
        <v>1000000</v>
      </c>
      <c r="AJ1975" s="155">
        <v>4</v>
      </c>
      <c r="AK1975" s="121">
        <f t="shared" si="272"/>
        <v>51</v>
      </c>
      <c r="AL1975" s="152">
        <f t="shared" si="275"/>
        <v>989.91185339254071</v>
      </c>
    </row>
    <row r="1976" spans="31:38" ht="15.75" hidden="1" thickBot="1">
      <c r="AE1976" s="795"/>
      <c r="AF1976" s="777"/>
      <c r="AH1976" s="101">
        <f t="shared" si="274"/>
        <v>1000000</v>
      </c>
      <c r="AI1976" s="101">
        <f t="shared" si="273"/>
        <v>1000000</v>
      </c>
      <c r="AJ1976" s="155">
        <v>4</v>
      </c>
      <c r="AK1976" s="121">
        <f t="shared" si="272"/>
        <v>52</v>
      </c>
      <c r="AL1976" s="152">
        <f t="shared" si="275"/>
        <v>986.6236244206716</v>
      </c>
    </row>
    <row r="1977" spans="31:38" ht="15.75" hidden="1" thickBot="1">
      <c r="AE1977" s="795"/>
      <c r="AF1977" s="777"/>
      <c r="AH1977" s="101">
        <f t="shared" si="274"/>
        <v>1000000</v>
      </c>
      <c r="AI1977" s="101">
        <f t="shared" si="273"/>
        <v>1000000</v>
      </c>
      <c r="AJ1977" s="155">
        <v>4</v>
      </c>
      <c r="AK1977" s="121">
        <f t="shared" si="272"/>
        <v>53</v>
      </c>
      <c r="AL1977" s="152">
        <f t="shared" si="275"/>
        <v>983.33539544880239</v>
      </c>
    </row>
    <row r="1978" spans="31:38" ht="15.75" hidden="1" thickBot="1">
      <c r="AE1978" s="795"/>
      <c r="AF1978" s="777"/>
      <c r="AH1978" s="101">
        <f t="shared" si="274"/>
        <v>1000000</v>
      </c>
      <c r="AI1978" s="101">
        <f t="shared" si="273"/>
        <v>1000000</v>
      </c>
      <c r="AJ1978" s="155">
        <v>4</v>
      </c>
      <c r="AK1978" s="121">
        <f t="shared" si="272"/>
        <v>54</v>
      </c>
      <c r="AL1978" s="152">
        <f t="shared" si="275"/>
        <v>980.04716647693317</v>
      </c>
    </row>
    <row r="1979" spans="31:38" ht="15.75" hidden="1" thickBot="1">
      <c r="AE1979" s="795"/>
      <c r="AF1979" s="777"/>
      <c r="AH1979" s="101">
        <f t="shared" si="274"/>
        <v>1000000</v>
      </c>
      <c r="AI1979" s="101">
        <f t="shared" si="273"/>
        <v>1000000</v>
      </c>
      <c r="AJ1979" s="155">
        <v>4</v>
      </c>
      <c r="AK1979" s="121">
        <f t="shared" si="272"/>
        <v>55</v>
      </c>
      <c r="AL1979" s="152">
        <f t="shared" si="275"/>
        <v>976.75893750506407</v>
      </c>
    </row>
    <row r="1980" spans="31:38" ht="15.75" hidden="1" thickBot="1">
      <c r="AE1980" s="795"/>
      <c r="AF1980" s="777"/>
      <c r="AH1980" s="101">
        <f t="shared" si="274"/>
        <v>1000000</v>
      </c>
      <c r="AI1980" s="101">
        <f t="shared" si="273"/>
        <v>1000000</v>
      </c>
      <c r="AJ1980" s="155">
        <v>4</v>
      </c>
      <c r="AK1980" s="121">
        <f t="shared" si="272"/>
        <v>56</v>
      </c>
      <c r="AL1980" s="152">
        <f t="shared" si="275"/>
        <v>973.47070853319474</v>
      </c>
    </row>
    <row r="1981" spans="31:38" ht="15.75" hidden="1" thickBot="1">
      <c r="AE1981" s="795"/>
      <c r="AF1981" s="777"/>
      <c r="AH1981" s="101">
        <f t="shared" si="274"/>
        <v>1000000</v>
      </c>
      <c r="AI1981" s="101">
        <f t="shared" si="273"/>
        <v>1000000</v>
      </c>
      <c r="AJ1981" s="155">
        <v>4</v>
      </c>
      <c r="AK1981" s="121">
        <f t="shared" si="272"/>
        <v>57</v>
      </c>
      <c r="AL1981" s="152">
        <f t="shared" si="275"/>
        <v>970.18247956132564</v>
      </c>
    </row>
    <row r="1982" spans="31:38" ht="15.75" hidden="1" thickBot="1">
      <c r="AE1982" s="795"/>
      <c r="AF1982" s="777"/>
      <c r="AH1982" s="101">
        <f t="shared" si="274"/>
        <v>1000000</v>
      </c>
      <c r="AI1982" s="101">
        <f t="shared" si="273"/>
        <v>1000000</v>
      </c>
      <c r="AJ1982" s="155">
        <v>4</v>
      </c>
      <c r="AK1982" s="121">
        <f t="shared" si="272"/>
        <v>58</v>
      </c>
      <c r="AL1982" s="152">
        <f t="shared" si="275"/>
        <v>966.89425058945653</v>
      </c>
    </row>
    <row r="1983" spans="31:38" ht="15.75" hidden="1" thickBot="1">
      <c r="AE1983" s="795"/>
      <c r="AF1983" s="777"/>
      <c r="AH1983" s="101">
        <f t="shared" si="274"/>
        <v>1000000</v>
      </c>
      <c r="AI1983" s="101">
        <f t="shared" si="273"/>
        <v>1000000</v>
      </c>
      <c r="AJ1983" s="155">
        <v>4</v>
      </c>
      <c r="AK1983" s="121">
        <f t="shared" si="272"/>
        <v>59</v>
      </c>
      <c r="AL1983" s="152">
        <f t="shared" si="275"/>
        <v>963.60602161758732</v>
      </c>
    </row>
    <row r="1984" spans="31:38" ht="15.75" hidden="1" thickBot="1">
      <c r="AE1984" s="795"/>
      <c r="AF1984" s="777"/>
      <c r="AH1984" s="101">
        <f t="shared" si="274"/>
        <v>1000000</v>
      </c>
      <c r="AI1984" s="101">
        <f t="shared" si="273"/>
        <v>1000000</v>
      </c>
      <c r="AJ1984" s="155">
        <v>4</v>
      </c>
      <c r="AK1984" s="121">
        <f t="shared" si="272"/>
        <v>60</v>
      </c>
      <c r="AL1984" s="152">
        <f t="shared" si="275"/>
        <v>960.3177926457181</v>
      </c>
    </row>
    <row r="1985" spans="31:38" ht="15.75" hidden="1" thickBot="1">
      <c r="AE1985" s="795"/>
      <c r="AF1985" s="777"/>
      <c r="AH1985" s="101">
        <f t="shared" si="274"/>
        <v>1000000</v>
      </c>
      <c r="AI1985" s="101">
        <f t="shared" si="273"/>
        <v>1000000</v>
      </c>
      <c r="AJ1985" s="155">
        <v>4</v>
      </c>
      <c r="AK1985" s="121">
        <f t="shared" si="272"/>
        <v>61</v>
      </c>
      <c r="AL1985" s="152">
        <f t="shared" si="275"/>
        <v>957.029563673849</v>
      </c>
    </row>
    <row r="1986" spans="31:38" ht="15.75" hidden="1" thickBot="1">
      <c r="AE1986" s="795"/>
      <c r="AF1986" s="777"/>
      <c r="AH1986" s="101">
        <f t="shared" si="274"/>
        <v>1000000</v>
      </c>
      <c r="AI1986" s="101">
        <f t="shared" si="273"/>
        <v>1000000</v>
      </c>
      <c r="AJ1986" s="155">
        <v>4</v>
      </c>
      <c r="AK1986" s="121">
        <f t="shared" si="272"/>
        <v>62</v>
      </c>
      <c r="AL1986" s="152">
        <f t="shared" si="275"/>
        <v>953.74133470197978</v>
      </c>
    </row>
    <row r="1987" spans="31:38" ht="15.75" hidden="1" thickBot="1">
      <c r="AE1987" s="795"/>
      <c r="AF1987" s="777"/>
      <c r="AH1987" s="101">
        <f t="shared" si="274"/>
        <v>1000000</v>
      </c>
      <c r="AI1987" s="101">
        <f t="shared" si="273"/>
        <v>1000000</v>
      </c>
      <c r="AJ1987" s="155">
        <v>4</v>
      </c>
      <c r="AK1987" s="121">
        <f t="shared" si="272"/>
        <v>63</v>
      </c>
      <c r="AL1987" s="152">
        <f t="shared" si="275"/>
        <v>950.45310573011068</v>
      </c>
    </row>
    <row r="1988" spans="31:38" ht="15.75" hidden="1" thickBot="1">
      <c r="AE1988" s="795"/>
      <c r="AF1988" s="777"/>
      <c r="AH1988" s="101">
        <f t="shared" ref="AH1988:AH2019" si="276">BL369</f>
        <v>1000000</v>
      </c>
      <c r="AI1988" s="101">
        <f t="shared" si="273"/>
        <v>1000000</v>
      </c>
      <c r="AJ1988" s="155">
        <v>4</v>
      </c>
      <c r="AK1988" s="121">
        <f t="shared" si="272"/>
        <v>64</v>
      </c>
      <c r="AL1988" s="152">
        <f t="shared" ref="AL1988:AL2019" si="277">AC369</f>
        <v>947.16487675824146</v>
      </c>
    </row>
    <row r="1989" spans="31:38" ht="15.75" hidden="1" thickBot="1">
      <c r="AE1989" s="795"/>
      <c r="AF1989" s="777"/>
      <c r="AH1989" s="101">
        <f t="shared" si="276"/>
        <v>1000000</v>
      </c>
      <c r="AI1989" s="101">
        <f t="shared" si="273"/>
        <v>1000000</v>
      </c>
      <c r="AJ1989" s="155">
        <v>4</v>
      </c>
      <c r="AK1989" s="121">
        <f t="shared" ref="AK1989:AK2024" si="278">AK1988+1</f>
        <v>65</v>
      </c>
      <c r="AL1989" s="152">
        <f t="shared" si="277"/>
        <v>943.87664778637236</v>
      </c>
    </row>
    <row r="1990" spans="31:38" ht="15.75" hidden="1" thickBot="1">
      <c r="AE1990" s="795"/>
      <c r="AF1990" s="777"/>
      <c r="AH1990" s="101">
        <f t="shared" si="276"/>
        <v>1000000</v>
      </c>
      <c r="AI1990" s="101">
        <f t="shared" si="273"/>
        <v>1000000</v>
      </c>
      <c r="AJ1990" s="155">
        <v>4</v>
      </c>
      <c r="AK1990" s="121">
        <f t="shared" si="278"/>
        <v>66</v>
      </c>
      <c r="AL1990" s="152">
        <f t="shared" si="277"/>
        <v>940.58841881450303</v>
      </c>
    </row>
    <row r="1991" spans="31:38" ht="15.75" hidden="1" thickBot="1">
      <c r="AE1991" s="795"/>
      <c r="AF1991" s="777"/>
      <c r="AH1991" s="101">
        <f t="shared" si="276"/>
        <v>1000000</v>
      </c>
      <c r="AI1991" s="101">
        <f t="shared" si="273"/>
        <v>1000000</v>
      </c>
      <c r="AJ1991" s="155">
        <v>4</v>
      </c>
      <c r="AK1991" s="121">
        <f t="shared" si="278"/>
        <v>67</v>
      </c>
      <c r="AL1991" s="152">
        <f t="shared" si="277"/>
        <v>937.30018984263381</v>
      </c>
    </row>
    <row r="1992" spans="31:38" ht="15.75" hidden="1" thickBot="1">
      <c r="AE1992" s="795"/>
      <c r="AF1992" s="777"/>
      <c r="AH1992" s="101">
        <f t="shared" si="276"/>
        <v>1000000</v>
      </c>
      <c r="AI1992" s="101">
        <f t="shared" si="273"/>
        <v>1000000</v>
      </c>
      <c r="AJ1992" s="155">
        <v>4</v>
      </c>
      <c r="AK1992" s="121">
        <f t="shared" si="278"/>
        <v>68</v>
      </c>
      <c r="AL1992" s="152">
        <f t="shared" si="277"/>
        <v>934.01196087076471</v>
      </c>
    </row>
    <row r="1993" spans="31:38" ht="15.75" hidden="1" thickBot="1">
      <c r="AE1993" s="795"/>
      <c r="AF1993" s="777"/>
      <c r="AH1993" s="101">
        <f t="shared" si="276"/>
        <v>1000000</v>
      </c>
      <c r="AI1993" s="101">
        <f t="shared" si="273"/>
        <v>1000000</v>
      </c>
      <c r="AJ1993" s="155">
        <v>4</v>
      </c>
      <c r="AK1993" s="121">
        <f t="shared" si="278"/>
        <v>69</v>
      </c>
      <c r="AL1993" s="152">
        <f t="shared" si="277"/>
        <v>930.72373189889561</v>
      </c>
    </row>
    <row r="1994" spans="31:38" ht="15.75" hidden="1" thickBot="1">
      <c r="AE1994" s="795"/>
      <c r="AF1994" s="777"/>
      <c r="AH1994" s="101">
        <f t="shared" si="276"/>
        <v>1000000</v>
      </c>
      <c r="AI1994" s="101">
        <f t="shared" si="273"/>
        <v>1000000</v>
      </c>
      <c r="AJ1994" s="155">
        <v>4</v>
      </c>
      <c r="AK1994" s="121">
        <f t="shared" si="278"/>
        <v>70</v>
      </c>
      <c r="AL1994" s="152">
        <f t="shared" si="277"/>
        <v>927.4355029270265</v>
      </c>
    </row>
    <row r="1995" spans="31:38" ht="15.75" hidden="1" thickBot="1">
      <c r="AE1995" s="795"/>
      <c r="AF1995" s="777"/>
      <c r="AH1995" s="101">
        <f t="shared" si="276"/>
        <v>1000000</v>
      </c>
      <c r="AI1995" s="101">
        <f t="shared" si="273"/>
        <v>1000000</v>
      </c>
      <c r="AJ1995" s="155">
        <v>4</v>
      </c>
      <c r="AK1995" s="121">
        <f t="shared" si="278"/>
        <v>71</v>
      </c>
      <c r="AL1995" s="152">
        <f t="shared" si="277"/>
        <v>924.14727395515706</v>
      </c>
    </row>
    <row r="1996" spans="31:38" ht="15.75" hidden="1" thickBot="1">
      <c r="AE1996" s="795"/>
      <c r="AF1996" s="777"/>
      <c r="AH1996" s="101">
        <f t="shared" si="276"/>
        <v>1000000</v>
      </c>
      <c r="AI1996" s="101">
        <f t="shared" si="273"/>
        <v>1000000</v>
      </c>
      <c r="AJ1996" s="155">
        <v>4</v>
      </c>
      <c r="AK1996" s="121">
        <f t="shared" si="278"/>
        <v>72</v>
      </c>
      <c r="AL1996" s="152">
        <f t="shared" si="277"/>
        <v>920.85904498328796</v>
      </c>
    </row>
    <row r="1997" spans="31:38" ht="15.75" hidden="1" thickBot="1">
      <c r="AE1997" s="795"/>
      <c r="AF1997" s="777"/>
      <c r="AH1997" s="101">
        <f t="shared" si="276"/>
        <v>1000000</v>
      </c>
      <c r="AI1997" s="101">
        <f t="shared" si="273"/>
        <v>1000000</v>
      </c>
      <c r="AJ1997" s="155">
        <v>4</v>
      </c>
      <c r="AK1997" s="121">
        <f t="shared" si="278"/>
        <v>73</v>
      </c>
      <c r="AL1997" s="152">
        <f t="shared" si="277"/>
        <v>917.57081601141886</v>
      </c>
    </row>
    <row r="1998" spans="31:38" ht="15.75" hidden="1" thickBot="1">
      <c r="AE1998" s="795"/>
      <c r="AF1998" s="777"/>
      <c r="AH1998" s="101">
        <f t="shared" si="276"/>
        <v>1000000</v>
      </c>
      <c r="AI1998" s="101">
        <f t="shared" si="273"/>
        <v>1000000</v>
      </c>
      <c r="AJ1998" s="155">
        <v>4</v>
      </c>
      <c r="AK1998" s="121">
        <f t="shared" si="278"/>
        <v>74</v>
      </c>
      <c r="AL1998" s="152">
        <f t="shared" si="277"/>
        <v>914.28258703954964</v>
      </c>
    </row>
    <row r="1999" spans="31:38" ht="15.75" hidden="1" thickBot="1">
      <c r="AE1999" s="795"/>
      <c r="AF1999" s="777"/>
      <c r="AH1999" s="101">
        <f t="shared" si="276"/>
        <v>1000000</v>
      </c>
      <c r="AI1999" s="101">
        <f t="shared" si="273"/>
        <v>1000000</v>
      </c>
      <c r="AJ1999" s="155">
        <v>4</v>
      </c>
      <c r="AK1999" s="121">
        <f t="shared" si="278"/>
        <v>75</v>
      </c>
      <c r="AL1999" s="152">
        <f t="shared" si="277"/>
        <v>910.99435806768054</v>
      </c>
    </row>
    <row r="2000" spans="31:38" ht="15.75" hidden="1" thickBot="1">
      <c r="AE2000" s="795"/>
      <c r="AF2000" s="777"/>
      <c r="AH2000" s="101">
        <f t="shared" si="276"/>
        <v>1000000</v>
      </c>
      <c r="AI2000" s="101">
        <f t="shared" si="273"/>
        <v>1000000</v>
      </c>
      <c r="AJ2000" s="155">
        <v>4</v>
      </c>
      <c r="AK2000" s="121">
        <f t="shared" si="278"/>
        <v>76</v>
      </c>
      <c r="AL2000" s="152">
        <f t="shared" si="277"/>
        <v>907.70612909581132</v>
      </c>
    </row>
    <row r="2001" spans="31:38" ht="15.75" hidden="1" thickBot="1">
      <c r="AE2001" s="795"/>
      <c r="AF2001" s="777"/>
      <c r="AH2001" s="101">
        <f t="shared" si="276"/>
        <v>1000000</v>
      </c>
      <c r="AI2001" s="101">
        <f t="shared" si="273"/>
        <v>1000000</v>
      </c>
      <c r="AJ2001" s="155">
        <v>4</v>
      </c>
      <c r="AK2001" s="121">
        <f t="shared" si="278"/>
        <v>77</v>
      </c>
      <c r="AL2001" s="152">
        <f t="shared" si="277"/>
        <v>904.41790012394222</v>
      </c>
    </row>
    <row r="2002" spans="31:38" ht="15.75" hidden="1" thickBot="1">
      <c r="AE2002" s="795"/>
      <c r="AF2002" s="777"/>
      <c r="AH2002" s="101">
        <f t="shared" si="276"/>
        <v>1000000</v>
      </c>
      <c r="AI2002" s="101">
        <f t="shared" si="273"/>
        <v>1000000</v>
      </c>
      <c r="AJ2002" s="155">
        <v>4</v>
      </c>
      <c r="AK2002" s="121">
        <f t="shared" si="278"/>
        <v>78</v>
      </c>
      <c r="AL2002" s="152">
        <f t="shared" si="277"/>
        <v>901.129671152073</v>
      </c>
    </row>
    <row r="2003" spans="31:38" ht="15.75" hidden="1" thickBot="1">
      <c r="AE2003" s="795"/>
      <c r="AF2003" s="777"/>
      <c r="AH2003" s="101">
        <f t="shared" si="276"/>
        <v>1000000</v>
      </c>
      <c r="AI2003" s="101">
        <f t="shared" si="273"/>
        <v>1000000</v>
      </c>
      <c r="AJ2003" s="155">
        <v>4</v>
      </c>
      <c r="AK2003" s="121">
        <f t="shared" si="278"/>
        <v>79</v>
      </c>
      <c r="AL2003" s="152">
        <f t="shared" si="277"/>
        <v>897.84144218020379</v>
      </c>
    </row>
    <row r="2004" spans="31:38" ht="15.75" hidden="1" thickBot="1">
      <c r="AE2004" s="795"/>
      <c r="AF2004" s="777"/>
      <c r="AH2004" s="101">
        <f t="shared" si="276"/>
        <v>1000000</v>
      </c>
      <c r="AI2004" s="101">
        <f t="shared" si="273"/>
        <v>1000000</v>
      </c>
      <c r="AJ2004" s="155">
        <v>4</v>
      </c>
      <c r="AK2004" s="121">
        <f t="shared" si="278"/>
        <v>80</v>
      </c>
      <c r="AL2004" s="152">
        <f t="shared" si="277"/>
        <v>894.55321320833468</v>
      </c>
    </row>
    <row r="2005" spans="31:38" ht="15.75" hidden="1" thickBot="1">
      <c r="AE2005" s="795"/>
      <c r="AF2005" s="777"/>
      <c r="AH2005" s="101">
        <f t="shared" si="276"/>
        <v>1000000</v>
      </c>
      <c r="AI2005" s="101">
        <f t="shared" ref="AI2005:AI2024" si="279">IF(AL2005&lt;$D$88,0,AH2005)</f>
        <v>1000000</v>
      </c>
      <c r="AJ2005" s="155">
        <v>4</v>
      </c>
      <c r="AK2005" s="121">
        <f t="shared" si="278"/>
        <v>81</v>
      </c>
      <c r="AL2005" s="152">
        <f t="shared" si="277"/>
        <v>891.26498423646558</v>
      </c>
    </row>
    <row r="2006" spans="31:38" ht="15.75" hidden="1" thickBot="1">
      <c r="AE2006" s="795"/>
      <c r="AF2006" s="777"/>
      <c r="AH2006" s="101">
        <f t="shared" si="276"/>
        <v>1000000</v>
      </c>
      <c r="AI2006" s="101">
        <f t="shared" si="279"/>
        <v>1000000</v>
      </c>
      <c r="AJ2006" s="155">
        <v>4</v>
      </c>
      <c r="AK2006" s="121">
        <f t="shared" si="278"/>
        <v>82</v>
      </c>
      <c r="AL2006" s="152">
        <f t="shared" si="277"/>
        <v>887.97675526459648</v>
      </c>
    </row>
    <row r="2007" spans="31:38" ht="15.75" hidden="1" thickBot="1">
      <c r="AE2007" s="795"/>
      <c r="AF2007" s="777"/>
      <c r="AH2007" s="101">
        <f t="shared" si="276"/>
        <v>1000000</v>
      </c>
      <c r="AI2007" s="101">
        <f t="shared" si="279"/>
        <v>1000000</v>
      </c>
      <c r="AJ2007" s="155">
        <v>4</v>
      </c>
      <c r="AK2007" s="121">
        <f t="shared" si="278"/>
        <v>83</v>
      </c>
      <c r="AL2007" s="152">
        <f t="shared" si="277"/>
        <v>884.68852629272703</v>
      </c>
    </row>
    <row r="2008" spans="31:38" ht="15.75" hidden="1" thickBot="1">
      <c r="AE2008" s="795"/>
      <c r="AF2008" s="777"/>
      <c r="AH2008" s="101">
        <f t="shared" si="276"/>
        <v>1000000</v>
      </c>
      <c r="AI2008" s="101">
        <f t="shared" si="279"/>
        <v>1000000</v>
      </c>
      <c r="AJ2008" s="155">
        <v>4</v>
      </c>
      <c r="AK2008" s="121">
        <f t="shared" si="278"/>
        <v>84</v>
      </c>
      <c r="AL2008" s="152">
        <f t="shared" si="277"/>
        <v>881.40029732085793</v>
      </c>
    </row>
    <row r="2009" spans="31:38" ht="15.75" hidden="1" thickBot="1">
      <c r="AE2009" s="795"/>
      <c r="AF2009" s="777"/>
      <c r="AH2009" s="101">
        <f t="shared" si="276"/>
        <v>1000000</v>
      </c>
      <c r="AI2009" s="101">
        <f t="shared" si="279"/>
        <v>1000000</v>
      </c>
      <c r="AJ2009" s="155">
        <v>4</v>
      </c>
      <c r="AK2009" s="121">
        <f t="shared" si="278"/>
        <v>85</v>
      </c>
      <c r="AL2009" s="152">
        <f t="shared" si="277"/>
        <v>878.11206834898883</v>
      </c>
    </row>
    <row r="2010" spans="31:38" ht="15.75" hidden="1" thickBot="1">
      <c r="AE2010" s="795"/>
      <c r="AF2010" s="777"/>
      <c r="AH2010" s="101">
        <f t="shared" si="276"/>
        <v>1000000</v>
      </c>
      <c r="AI2010" s="101">
        <f t="shared" si="279"/>
        <v>1000000</v>
      </c>
      <c r="AJ2010" s="155">
        <v>4</v>
      </c>
      <c r="AK2010" s="121">
        <f t="shared" si="278"/>
        <v>86</v>
      </c>
      <c r="AL2010" s="152">
        <f t="shared" si="277"/>
        <v>874.82383937711973</v>
      </c>
    </row>
    <row r="2011" spans="31:38" ht="15.75" hidden="1" thickBot="1">
      <c r="AE2011" s="795"/>
      <c r="AF2011" s="777"/>
      <c r="AH2011" s="101">
        <f t="shared" si="276"/>
        <v>1000000</v>
      </c>
      <c r="AI2011" s="101">
        <f t="shared" si="279"/>
        <v>1000000</v>
      </c>
      <c r="AJ2011" s="155">
        <v>4</v>
      </c>
      <c r="AK2011" s="121">
        <f t="shared" si="278"/>
        <v>87</v>
      </c>
      <c r="AL2011" s="152">
        <f t="shared" si="277"/>
        <v>871.53561040525028</v>
      </c>
    </row>
    <row r="2012" spans="31:38" ht="15.75" hidden="1" thickBot="1">
      <c r="AE2012" s="795"/>
      <c r="AF2012" s="777"/>
      <c r="AH2012" s="101">
        <f t="shared" si="276"/>
        <v>1000000</v>
      </c>
      <c r="AI2012" s="101">
        <f t="shared" si="279"/>
        <v>1000000</v>
      </c>
      <c r="AJ2012" s="155">
        <v>4</v>
      </c>
      <c r="AK2012" s="121">
        <f t="shared" si="278"/>
        <v>88</v>
      </c>
      <c r="AL2012" s="152">
        <f t="shared" si="277"/>
        <v>868.24738143338118</v>
      </c>
    </row>
    <row r="2013" spans="31:38" ht="15.75" hidden="1" thickBot="1">
      <c r="AE2013" s="795"/>
      <c r="AF2013" s="777"/>
      <c r="AH2013" s="101">
        <f t="shared" si="276"/>
        <v>1000000</v>
      </c>
      <c r="AI2013" s="101">
        <f t="shared" si="279"/>
        <v>1000000</v>
      </c>
      <c r="AJ2013" s="155">
        <v>4</v>
      </c>
      <c r="AK2013" s="121">
        <f t="shared" si="278"/>
        <v>89</v>
      </c>
      <c r="AL2013" s="152">
        <f t="shared" si="277"/>
        <v>864.95915246151208</v>
      </c>
    </row>
    <row r="2014" spans="31:38" ht="15.75" hidden="1" thickBot="1">
      <c r="AE2014" s="795"/>
      <c r="AF2014" s="777"/>
      <c r="AH2014" s="101">
        <f t="shared" si="276"/>
        <v>1000000</v>
      </c>
      <c r="AI2014" s="101">
        <f t="shared" si="279"/>
        <v>1000000</v>
      </c>
      <c r="AJ2014" s="155">
        <v>4</v>
      </c>
      <c r="AK2014" s="121">
        <f t="shared" si="278"/>
        <v>90</v>
      </c>
      <c r="AL2014" s="152">
        <f t="shared" si="277"/>
        <v>861.67092348964286</v>
      </c>
    </row>
    <row r="2015" spans="31:38" ht="15.75" hidden="1" thickBot="1">
      <c r="AE2015" s="795"/>
      <c r="AF2015" s="777"/>
      <c r="AH2015" s="101">
        <f t="shared" si="276"/>
        <v>1000000</v>
      </c>
      <c r="AI2015" s="101">
        <f t="shared" si="279"/>
        <v>1000000</v>
      </c>
      <c r="AJ2015" s="155">
        <v>4</v>
      </c>
      <c r="AK2015" s="121">
        <f t="shared" si="278"/>
        <v>91</v>
      </c>
      <c r="AL2015" s="152">
        <f t="shared" si="277"/>
        <v>858.38269451777364</v>
      </c>
    </row>
    <row r="2016" spans="31:38" ht="15.75" hidden="1" thickBot="1">
      <c r="AE2016" s="795"/>
      <c r="AF2016" s="777"/>
      <c r="AH2016" s="101">
        <f t="shared" si="276"/>
        <v>1000000</v>
      </c>
      <c r="AI2016" s="101">
        <f t="shared" si="279"/>
        <v>1000000</v>
      </c>
      <c r="AJ2016" s="155">
        <v>4</v>
      </c>
      <c r="AK2016" s="121">
        <f t="shared" si="278"/>
        <v>92</v>
      </c>
      <c r="AL2016" s="152">
        <f t="shared" si="277"/>
        <v>855.09446554590454</v>
      </c>
    </row>
    <row r="2017" spans="31:38" ht="15.75" hidden="1" thickBot="1">
      <c r="AE2017" s="795"/>
      <c r="AF2017" s="777"/>
      <c r="AH2017" s="101">
        <f t="shared" si="276"/>
        <v>1000000</v>
      </c>
      <c r="AI2017" s="101">
        <f t="shared" si="279"/>
        <v>1000000</v>
      </c>
      <c r="AJ2017" s="155">
        <v>4</v>
      </c>
      <c r="AK2017" s="121">
        <f t="shared" si="278"/>
        <v>93</v>
      </c>
      <c r="AL2017" s="152">
        <f t="shared" si="277"/>
        <v>851.80623657403544</v>
      </c>
    </row>
    <row r="2018" spans="31:38" ht="15.75" hidden="1" thickBot="1">
      <c r="AE2018" s="795"/>
      <c r="AF2018" s="777"/>
      <c r="AH2018" s="101">
        <f t="shared" si="276"/>
        <v>1000000</v>
      </c>
      <c r="AI2018" s="101">
        <f t="shared" si="279"/>
        <v>1000000</v>
      </c>
      <c r="AJ2018" s="155">
        <v>4</v>
      </c>
      <c r="AK2018" s="121">
        <f t="shared" si="278"/>
        <v>94</v>
      </c>
      <c r="AL2018" s="152">
        <f t="shared" si="277"/>
        <v>848.51800760216611</v>
      </c>
    </row>
    <row r="2019" spans="31:38" ht="15.75" hidden="1" thickBot="1">
      <c r="AE2019" s="795"/>
      <c r="AF2019" s="777"/>
      <c r="AH2019" s="101">
        <f t="shared" si="276"/>
        <v>1000000</v>
      </c>
      <c r="AI2019" s="101">
        <f t="shared" si="279"/>
        <v>1000000</v>
      </c>
      <c r="AJ2019" s="155">
        <v>4</v>
      </c>
      <c r="AK2019" s="121">
        <f t="shared" si="278"/>
        <v>95</v>
      </c>
      <c r="AL2019" s="152">
        <f t="shared" si="277"/>
        <v>845.22977863029701</v>
      </c>
    </row>
    <row r="2020" spans="31:38" ht="15.75" hidden="1" thickBot="1">
      <c r="AE2020" s="795"/>
      <c r="AF2020" s="777"/>
      <c r="AH2020" s="101">
        <f>BL401</f>
        <v>1000000</v>
      </c>
      <c r="AI2020" s="101">
        <f t="shared" si="279"/>
        <v>1000000</v>
      </c>
      <c r="AJ2020" s="155">
        <v>4</v>
      </c>
      <c r="AK2020" s="121">
        <f t="shared" si="278"/>
        <v>96</v>
      </c>
      <c r="AL2020" s="152">
        <f>AC401</f>
        <v>841.9415496584279</v>
      </c>
    </row>
    <row r="2021" spans="31:38" ht="15.75" hidden="1" thickBot="1">
      <c r="AE2021" s="795"/>
      <c r="AF2021" s="777"/>
      <c r="AH2021" s="101">
        <f>BL402</f>
        <v>1000000</v>
      </c>
      <c r="AI2021" s="101">
        <f t="shared" si="279"/>
        <v>1000000</v>
      </c>
      <c r="AJ2021" s="155">
        <v>4</v>
      </c>
      <c r="AK2021" s="121">
        <f t="shared" si="278"/>
        <v>97</v>
      </c>
      <c r="AL2021" s="152">
        <f>AC402</f>
        <v>838.6533206865588</v>
      </c>
    </row>
    <row r="2022" spans="31:38" ht="15.75" hidden="1" thickBot="1">
      <c r="AE2022" s="795"/>
      <c r="AF2022" s="777"/>
      <c r="AH2022" s="101">
        <f>BL403</f>
        <v>1000000</v>
      </c>
      <c r="AI2022" s="101">
        <f t="shared" si="279"/>
        <v>1000000</v>
      </c>
      <c r="AJ2022" s="155">
        <v>4</v>
      </c>
      <c r="AK2022" s="121">
        <f t="shared" si="278"/>
        <v>98</v>
      </c>
      <c r="AL2022" s="152">
        <f>AC403</f>
        <v>835.3650917146897</v>
      </c>
    </row>
    <row r="2023" spans="31:38" ht="15.75" hidden="1" thickBot="1">
      <c r="AE2023" s="795"/>
      <c r="AF2023" s="777"/>
      <c r="AH2023" s="101">
        <f>BL404</f>
        <v>1000000</v>
      </c>
      <c r="AI2023" s="101">
        <f t="shared" si="279"/>
        <v>1000000</v>
      </c>
      <c r="AJ2023" s="155">
        <v>4</v>
      </c>
      <c r="AK2023" s="121">
        <f t="shared" si="278"/>
        <v>99</v>
      </c>
      <c r="AL2023" s="152">
        <f>AC404</f>
        <v>832.07686274282025</v>
      </c>
    </row>
    <row r="2024" spans="31:38" ht="15.75" hidden="1" thickBot="1">
      <c r="AE2024" s="796"/>
      <c r="AF2024" s="778"/>
      <c r="AH2024" s="101">
        <f>BL405</f>
        <v>1000000</v>
      </c>
      <c r="AI2024" s="101">
        <f t="shared" si="279"/>
        <v>1000000</v>
      </c>
      <c r="AJ2024" s="155">
        <v>4</v>
      </c>
      <c r="AK2024" s="156">
        <f t="shared" si="278"/>
        <v>100</v>
      </c>
      <c r="AL2024" s="161">
        <f>AC405</f>
        <v>828.78863377095115</v>
      </c>
    </row>
  </sheetData>
  <sheetProtection pivotTables="0"/>
  <mergeCells count="62">
    <mergeCell ref="C87:C88"/>
    <mergeCell ref="K91:L91"/>
    <mergeCell ref="I97:J97"/>
    <mergeCell ref="AE1621:AE2024"/>
    <mergeCell ref="AF1621:AF1721"/>
    <mergeCell ref="AF1722:AF1822"/>
    <mergeCell ref="AF1823:AF1923"/>
    <mergeCell ref="AF1924:AF2024"/>
    <mergeCell ref="AE1217:AE1620"/>
    <mergeCell ref="AF1217:AF1317"/>
    <mergeCell ref="AF1318:AF1418"/>
    <mergeCell ref="AF1419:AF1519"/>
    <mergeCell ref="AF1520:AF1620"/>
    <mergeCell ref="AF1015:AF1115"/>
    <mergeCell ref="AF1116:AF1216"/>
    <mergeCell ref="AE813:AE1216"/>
    <mergeCell ref="P64:Q64"/>
    <mergeCell ref="AF611:AF711"/>
    <mergeCell ref="AF712:AF812"/>
    <mergeCell ref="AF813:AF913"/>
    <mergeCell ref="AE409:AE812"/>
    <mergeCell ref="AF409:AF509"/>
    <mergeCell ref="AF510:AF610"/>
    <mergeCell ref="I90:L90"/>
    <mergeCell ref="M66:O66"/>
    <mergeCell ref="M74:O74"/>
    <mergeCell ref="M82:O82"/>
    <mergeCell ref="M90:O90"/>
    <mergeCell ref="AF914:AF1014"/>
    <mergeCell ref="W305:W405"/>
    <mergeCell ref="W406:W506"/>
    <mergeCell ref="W2:W102"/>
    <mergeCell ref="W103:W203"/>
    <mergeCell ref="W204:W304"/>
    <mergeCell ref="C78:C79"/>
    <mergeCell ref="C81:C82"/>
    <mergeCell ref="C84:C85"/>
    <mergeCell ref="K67:L67"/>
    <mergeCell ref="K75:L75"/>
    <mergeCell ref="K83:L83"/>
    <mergeCell ref="I82:L82"/>
    <mergeCell ref="R59:R60"/>
    <mergeCell ref="C68:G70"/>
    <mergeCell ref="C73:C75"/>
    <mergeCell ref="D73:D75"/>
    <mergeCell ref="N59:N60"/>
    <mergeCell ref="O59:O60"/>
    <mergeCell ref="P59:Q60"/>
    <mergeCell ref="P61:Q61"/>
    <mergeCell ref="P62:Q62"/>
    <mergeCell ref="I74:L74"/>
    <mergeCell ref="J59:J60"/>
    <mergeCell ref="K59:K60"/>
    <mergeCell ref="L59:L60"/>
    <mergeCell ref="I66:L66"/>
    <mergeCell ref="M59:M60"/>
    <mergeCell ref="P63:Q63"/>
    <mergeCell ref="AI1:AI2"/>
    <mergeCell ref="AI3:AI4"/>
    <mergeCell ref="AI5:AI6"/>
    <mergeCell ref="AI9:AI10"/>
    <mergeCell ref="AI7:AI8"/>
  </mergeCells>
  <conditionalFormatting sqref="D79">
    <cfRule type="cellIs" dxfId="177" priority="277" operator="equal">
      <formula>0</formula>
    </cfRule>
  </conditionalFormatting>
  <conditionalFormatting sqref="D82">
    <cfRule type="cellIs" dxfId="176" priority="276" operator="equal">
      <formula>0</formula>
    </cfRule>
  </conditionalFormatting>
  <conditionalFormatting sqref="D85">
    <cfRule type="cellIs" dxfId="175" priority="275" operator="equal">
      <formula>0</formula>
    </cfRule>
  </conditionalFormatting>
  <conditionalFormatting sqref="D88">
    <cfRule type="cellIs" dxfId="174" priority="274" operator="equal">
      <formula>0</formula>
    </cfRule>
  </conditionalFormatting>
  <conditionalFormatting sqref="G19:H19">
    <cfRule type="cellIs" dxfId="173" priority="272" operator="greaterThan">
      <formula>0</formula>
    </cfRule>
  </conditionalFormatting>
  <conditionalFormatting sqref="J96">
    <cfRule type="cellIs" dxfId="172" priority="154" operator="equal">
      <formula>3</formula>
    </cfRule>
    <cfRule type="cellIs" dxfId="171" priority="155" operator="greaterThan">
      <formula>3</formula>
    </cfRule>
    <cfRule type="cellIs" dxfId="170" priority="156" operator="equal">
      <formula>2</formula>
    </cfRule>
    <cfRule type="cellIs" dxfId="169" priority="157" operator="equal">
      <formula>1</formula>
    </cfRule>
    <cfRule type="cellIs" dxfId="168" priority="158" operator="lessThan">
      <formula>1</formula>
    </cfRule>
  </conditionalFormatting>
  <conditionalFormatting sqref="J96">
    <cfRule type="cellIs" dxfId="167" priority="149" operator="equal">
      <formula>3</formula>
    </cfRule>
    <cfRule type="cellIs" dxfId="166" priority="150" operator="greaterThan">
      <formula>3</formula>
    </cfRule>
    <cfRule type="cellIs" dxfId="165" priority="151" operator="equal">
      <formula>2</formula>
    </cfRule>
    <cfRule type="cellIs" dxfId="164" priority="152" operator="equal">
      <formula>1</formula>
    </cfRule>
    <cfRule type="cellIs" dxfId="163" priority="153" operator="lessThan">
      <formula>1</formula>
    </cfRule>
  </conditionalFormatting>
  <conditionalFormatting sqref="J96">
    <cfRule type="containsText" dxfId="162" priority="148" operator="containsText" text="valeur">
      <formula>NOT(ISERROR(SEARCH("valeur",J96)))</formula>
    </cfRule>
    <cfRule type="containsErrors" dxfId="161" priority="159">
      <formula>ISERROR(J96)</formula>
    </cfRule>
  </conditionalFormatting>
  <conditionalFormatting sqref="J80">
    <cfRule type="cellIs" dxfId="160" priority="102" operator="equal">
      <formula>3</formula>
    </cfRule>
    <cfRule type="cellIs" dxfId="159" priority="103" operator="greaterThan">
      <formula>3</formula>
    </cfRule>
    <cfRule type="cellIs" dxfId="158" priority="104" operator="equal">
      <formula>2</formula>
    </cfRule>
    <cfRule type="cellIs" dxfId="157" priority="105" operator="equal">
      <formula>1</formula>
    </cfRule>
    <cfRule type="cellIs" dxfId="156" priority="106" operator="lessThan">
      <formula>1</formula>
    </cfRule>
  </conditionalFormatting>
  <conditionalFormatting sqref="J80">
    <cfRule type="cellIs" dxfId="155" priority="97" operator="equal">
      <formula>3</formula>
    </cfRule>
    <cfRule type="cellIs" dxfId="154" priority="98" operator="greaterThan">
      <formula>3</formula>
    </cfRule>
    <cfRule type="cellIs" dxfId="153" priority="99" operator="equal">
      <formula>2</formula>
    </cfRule>
    <cfRule type="cellIs" dxfId="152" priority="100" operator="equal">
      <formula>1</formula>
    </cfRule>
    <cfRule type="cellIs" dxfId="151" priority="101" operator="lessThan">
      <formula>1</formula>
    </cfRule>
  </conditionalFormatting>
  <conditionalFormatting sqref="J80">
    <cfRule type="containsText" dxfId="150" priority="96" operator="containsText" text="valeur">
      <formula>NOT(ISERROR(SEARCH("valeur",J80)))</formula>
    </cfRule>
    <cfRule type="containsErrors" dxfId="149" priority="107">
      <formula>ISERROR(J80)</formula>
    </cfRule>
  </conditionalFormatting>
  <conditionalFormatting sqref="J88">
    <cfRule type="cellIs" dxfId="148" priority="128" operator="equal">
      <formula>3</formula>
    </cfRule>
    <cfRule type="cellIs" dxfId="147" priority="129" operator="greaterThan">
      <formula>3</formula>
    </cfRule>
    <cfRule type="cellIs" dxfId="146" priority="130" operator="equal">
      <formula>2</formula>
    </cfRule>
    <cfRule type="cellIs" dxfId="145" priority="131" operator="equal">
      <formula>1</formula>
    </cfRule>
    <cfRule type="cellIs" dxfId="144" priority="132" operator="lessThan">
      <formula>1</formula>
    </cfRule>
  </conditionalFormatting>
  <conditionalFormatting sqref="J88">
    <cfRule type="cellIs" dxfId="143" priority="123" operator="equal">
      <formula>3</formula>
    </cfRule>
    <cfRule type="cellIs" dxfId="142" priority="124" operator="greaterThan">
      <formula>3</formula>
    </cfRule>
    <cfRule type="cellIs" dxfId="141" priority="125" operator="equal">
      <formula>2</formula>
    </cfRule>
    <cfRule type="cellIs" dxfId="140" priority="126" operator="equal">
      <formula>1</formula>
    </cfRule>
    <cfRule type="cellIs" dxfId="139" priority="127" operator="lessThan">
      <formula>1</formula>
    </cfRule>
  </conditionalFormatting>
  <conditionalFormatting sqref="J88">
    <cfRule type="containsText" dxfId="138" priority="122" operator="containsText" text="valeur">
      <formula>NOT(ISERROR(SEARCH("valeur",J88)))</formula>
    </cfRule>
    <cfRule type="containsErrors" dxfId="137" priority="133">
      <formula>ISERROR(J88)</formula>
    </cfRule>
  </conditionalFormatting>
  <conditionalFormatting sqref="J72">
    <cfRule type="cellIs" dxfId="136" priority="76" operator="equal">
      <formula>3</formula>
    </cfRule>
    <cfRule type="cellIs" dxfId="135" priority="77" operator="greaterThan">
      <formula>3</formula>
    </cfRule>
    <cfRule type="cellIs" dxfId="134" priority="78" operator="equal">
      <formula>2</formula>
    </cfRule>
    <cfRule type="cellIs" dxfId="133" priority="79" operator="equal">
      <formula>1</formula>
    </cfRule>
    <cfRule type="cellIs" dxfId="132" priority="80" operator="lessThan">
      <formula>1</formula>
    </cfRule>
  </conditionalFormatting>
  <conditionalFormatting sqref="J72">
    <cfRule type="cellIs" dxfId="131" priority="71" operator="equal">
      <formula>3</formula>
    </cfRule>
    <cfRule type="cellIs" dxfId="130" priority="72" operator="greaterThan">
      <formula>3</formula>
    </cfRule>
    <cfRule type="cellIs" dxfId="129" priority="73" operator="equal">
      <formula>2</formula>
    </cfRule>
    <cfRule type="cellIs" dxfId="128" priority="74" operator="equal">
      <formula>1</formula>
    </cfRule>
    <cfRule type="cellIs" dxfId="127" priority="75" operator="lessThan">
      <formula>1</formula>
    </cfRule>
  </conditionalFormatting>
  <conditionalFormatting sqref="J72">
    <cfRule type="containsText" dxfId="126" priority="70" operator="containsText" text="valeur">
      <formula>NOT(ISERROR(SEARCH("valeur",J72)))</formula>
    </cfRule>
    <cfRule type="containsErrors" dxfId="125" priority="81">
      <formula>ISERROR(J72)</formula>
    </cfRule>
  </conditionalFormatting>
  <conditionalFormatting sqref="E79:F79">
    <cfRule type="cellIs" dxfId="124" priority="55" operator="equal">
      <formula>0</formula>
    </cfRule>
  </conditionalFormatting>
  <conditionalFormatting sqref="E82:F82">
    <cfRule type="cellIs" dxfId="123" priority="54" operator="equal">
      <formula>0</formula>
    </cfRule>
  </conditionalFormatting>
  <conditionalFormatting sqref="E85:F85">
    <cfRule type="cellIs" dxfId="122" priority="53" operator="equal">
      <formula>0</formula>
    </cfRule>
  </conditionalFormatting>
  <conditionalFormatting sqref="E88:F88">
    <cfRule type="cellIs" dxfId="121" priority="52" operator="equal">
      <formula>0</formula>
    </cfRule>
  </conditionalFormatting>
  <conditionalFormatting sqref="Q22">
    <cfRule type="cellIs" dxfId="120" priority="50" operator="equal">
      <formula>0</formula>
    </cfRule>
  </conditionalFormatting>
  <conditionalFormatting sqref="R22:S22">
    <cfRule type="cellIs" dxfId="119" priority="49" operator="equal">
      <formula>0</formula>
    </cfRule>
  </conditionalFormatting>
  <conditionalFormatting sqref="K80:N80">
    <cfRule type="cellIs" dxfId="118" priority="43" operator="equal">
      <formula>3</formula>
    </cfRule>
    <cfRule type="cellIs" dxfId="117" priority="44" operator="greaterThan">
      <formula>3</formula>
    </cfRule>
    <cfRule type="cellIs" dxfId="116" priority="45" operator="equal">
      <formula>2</formula>
    </cfRule>
    <cfRule type="cellIs" dxfId="115" priority="46" operator="equal">
      <formula>1</formula>
    </cfRule>
    <cfRule type="cellIs" dxfId="114" priority="47" operator="lessThan">
      <formula>1</formula>
    </cfRule>
  </conditionalFormatting>
  <conditionalFormatting sqref="K80:N80">
    <cfRule type="cellIs" dxfId="113" priority="38" operator="equal">
      <formula>3</formula>
    </cfRule>
    <cfRule type="cellIs" dxfId="112" priority="39" operator="greaterThan">
      <formula>3</formula>
    </cfRule>
    <cfRule type="cellIs" dxfId="111" priority="40" operator="equal">
      <formula>2</formula>
    </cfRule>
    <cfRule type="cellIs" dxfId="110" priority="41" operator="equal">
      <formula>1</formula>
    </cfRule>
    <cfRule type="cellIs" dxfId="109" priority="42" operator="lessThan">
      <formula>1</formula>
    </cfRule>
  </conditionalFormatting>
  <conditionalFormatting sqref="K80:N80">
    <cfRule type="containsText" dxfId="108" priority="37" operator="containsText" text="valeur">
      <formula>NOT(ISERROR(SEARCH("valeur",K80)))</formula>
    </cfRule>
    <cfRule type="containsErrors" dxfId="107" priority="48">
      <formula>ISERROR(K80)</formula>
    </cfRule>
  </conditionalFormatting>
  <conditionalFormatting sqref="K88:N88">
    <cfRule type="cellIs" dxfId="106" priority="31" operator="equal">
      <formula>3</formula>
    </cfRule>
    <cfRule type="cellIs" dxfId="105" priority="32" operator="greaterThan">
      <formula>3</formula>
    </cfRule>
    <cfRule type="cellIs" dxfId="104" priority="33" operator="equal">
      <formula>2</formula>
    </cfRule>
    <cfRule type="cellIs" dxfId="103" priority="34" operator="equal">
      <formula>1</formula>
    </cfRule>
    <cfRule type="cellIs" dxfId="102" priority="35" operator="lessThan">
      <formula>1</formula>
    </cfRule>
  </conditionalFormatting>
  <conditionalFormatting sqref="K88:N88">
    <cfRule type="cellIs" dxfId="101" priority="26" operator="equal">
      <formula>3</formula>
    </cfRule>
    <cfRule type="cellIs" dxfId="100" priority="27" operator="greaterThan">
      <formula>3</formula>
    </cfRule>
    <cfRule type="cellIs" dxfId="99" priority="28" operator="equal">
      <formula>2</formula>
    </cfRule>
    <cfRule type="cellIs" dxfId="98" priority="29" operator="equal">
      <formula>1</formula>
    </cfRule>
    <cfRule type="cellIs" dxfId="97" priority="30" operator="lessThan">
      <formula>1</formula>
    </cfRule>
  </conditionalFormatting>
  <conditionalFormatting sqref="K88:N88">
    <cfRule type="containsText" dxfId="96" priority="25" operator="containsText" text="valeur">
      <formula>NOT(ISERROR(SEARCH("valeur",K88)))</formula>
    </cfRule>
    <cfRule type="containsErrors" dxfId="95" priority="36">
      <formula>ISERROR(K88)</formula>
    </cfRule>
  </conditionalFormatting>
  <conditionalFormatting sqref="K72:N72">
    <cfRule type="cellIs" dxfId="94" priority="19" operator="equal">
      <formula>3</formula>
    </cfRule>
    <cfRule type="cellIs" dxfId="93" priority="20" operator="greaterThan">
      <formula>3</formula>
    </cfRule>
    <cfRule type="cellIs" dxfId="92" priority="21" operator="equal">
      <formula>2</formula>
    </cfRule>
    <cfRule type="cellIs" dxfId="91" priority="22" operator="equal">
      <formula>1</formula>
    </cfRule>
    <cfRule type="cellIs" dxfId="90" priority="23" operator="lessThan">
      <formula>1</formula>
    </cfRule>
  </conditionalFormatting>
  <conditionalFormatting sqref="K72:N72">
    <cfRule type="cellIs" dxfId="89" priority="14" operator="equal">
      <formula>3</formula>
    </cfRule>
    <cfRule type="cellIs" dxfId="88" priority="15" operator="greaterThan">
      <formula>3</formula>
    </cfRule>
    <cfRule type="cellIs" dxfId="87" priority="16" operator="equal">
      <formula>2</formula>
    </cfRule>
    <cfRule type="cellIs" dxfId="86" priority="17" operator="equal">
      <formula>1</formula>
    </cfRule>
    <cfRule type="cellIs" dxfId="85" priority="18" operator="lessThan">
      <formula>1</formula>
    </cfRule>
  </conditionalFormatting>
  <conditionalFormatting sqref="K72:N72">
    <cfRule type="containsText" dxfId="84" priority="13" operator="containsText" text="valeur">
      <formula>NOT(ISERROR(SEARCH("valeur",K72)))</formula>
    </cfRule>
    <cfRule type="containsErrors" dxfId="83" priority="24">
      <formula>ISERROR(K72)</formula>
    </cfRule>
  </conditionalFormatting>
  <conditionalFormatting sqref="K96:N96">
    <cfRule type="cellIs" dxfId="82" priority="7" operator="equal">
      <formula>3</formula>
    </cfRule>
    <cfRule type="cellIs" dxfId="81" priority="8" operator="greaterThan">
      <formula>3</formula>
    </cfRule>
    <cfRule type="cellIs" dxfId="80" priority="9" operator="equal">
      <formula>2</formula>
    </cfRule>
    <cfRule type="cellIs" dxfId="79" priority="10" operator="equal">
      <formula>1</formula>
    </cfRule>
    <cfRule type="cellIs" dxfId="78" priority="11" operator="lessThan">
      <formula>1</formula>
    </cfRule>
  </conditionalFormatting>
  <conditionalFormatting sqref="K96:N96">
    <cfRule type="cellIs" dxfId="77" priority="2" operator="equal">
      <formula>3</formula>
    </cfRule>
    <cfRule type="cellIs" dxfId="76" priority="3" operator="greaterThan">
      <formula>3</formula>
    </cfRule>
    <cfRule type="cellIs" dxfId="75" priority="4" operator="equal">
      <formula>2</formula>
    </cfRule>
    <cfRule type="cellIs" dxfId="74" priority="5" operator="equal">
      <formula>1</formula>
    </cfRule>
    <cfRule type="cellIs" dxfId="73" priority="6" operator="lessThan">
      <formula>1</formula>
    </cfRule>
  </conditionalFormatting>
  <conditionalFormatting sqref="K96:N96">
    <cfRule type="containsText" dxfId="72" priority="1" operator="containsText" text="valeur">
      <formula>NOT(ISERROR(SEARCH("valeur",K96)))</formula>
    </cfRule>
    <cfRule type="containsErrors" dxfId="71" priority="12">
      <formula>ISERROR(K96)</formula>
    </cfRule>
  </conditionalFormatting>
  <pageMargins left="0.7" right="0.7" top="0.75" bottom="0.75" header="0.3" footer="0.3"/>
  <pageSetup paperSize="9" orientation="portrait" r:id="rId1"/>
  <drawing r:id="rId2"/>
  <picture r:id="rId3"/>
</worksheet>
</file>

<file path=xl/worksheets/sheet6.xml><?xml version="1.0" encoding="utf-8"?>
<worksheet xmlns="http://schemas.openxmlformats.org/spreadsheetml/2006/main" xmlns:r="http://schemas.openxmlformats.org/officeDocument/2006/relationships">
  <sheetPr codeName="Feuil5">
    <tabColor rgb="FFFFC000"/>
  </sheetPr>
  <dimension ref="A1:X63"/>
  <sheetViews>
    <sheetView showGridLines="0" topLeftCell="Q26" workbookViewId="0">
      <selection activeCell="S31" sqref="S31"/>
    </sheetView>
  </sheetViews>
  <sheetFormatPr baseColWidth="10" defaultColWidth="11.42578125" defaultRowHeight="15"/>
  <cols>
    <col min="1" max="2" width="11.42578125" style="3" customWidth="1"/>
    <col min="3" max="6" width="11.42578125" style="3"/>
    <col min="7" max="7" width="11.42578125" style="3" customWidth="1"/>
    <col min="8" max="8" width="11.42578125" style="3"/>
    <col min="9" max="9" width="11.42578125" style="3" customWidth="1"/>
    <col min="10" max="10" width="11.42578125" style="3"/>
    <col min="11" max="12" width="11.42578125" style="3" customWidth="1"/>
    <col min="13" max="13" width="14.85546875" style="3" customWidth="1"/>
    <col min="14" max="15" width="11.42578125" style="3" customWidth="1"/>
    <col min="16" max="17" width="11.42578125" style="3"/>
    <col min="18" max="18" width="13.5703125" style="3" customWidth="1"/>
    <col min="19" max="19" width="11.42578125" style="3"/>
    <col min="20" max="26" width="11.42578125" style="3" customWidth="1"/>
    <col min="27" max="16384" width="11.42578125" style="3"/>
  </cols>
  <sheetData>
    <row r="1" spans="1:24" ht="16.5" thickBot="1">
      <c r="A1" s="605" t="s">
        <v>238</v>
      </c>
      <c r="B1" s="606"/>
      <c r="C1" s="606"/>
      <c r="D1" s="606"/>
      <c r="E1" s="606"/>
      <c r="F1" s="606"/>
      <c r="G1" s="606"/>
      <c r="H1" s="606"/>
      <c r="I1" s="606"/>
      <c r="J1" s="606"/>
      <c r="K1" s="606"/>
      <c r="L1" s="606"/>
      <c r="M1" s="606"/>
      <c r="N1" s="606"/>
      <c r="O1" s="606"/>
      <c r="P1" s="607"/>
    </row>
    <row r="2" spans="1:24">
      <c r="A2" s="85" t="s">
        <v>68</v>
      </c>
      <c r="B2" s="85" t="s">
        <v>244</v>
      </c>
      <c r="C2" s="86" t="s">
        <v>179</v>
      </c>
      <c r="D2" s="86" t="s">
        <v>180</v>
      </c>
      <c r="E2" s="86" t="s">
        <v>181</v>
      </c>
      <c r="F2" s="86" t="s">
        <v>130</v>
      </c>
      <c r="G2" s="86"/>
      <c r="H2" s="86" t="s">
        <v>182</v>
      </c>
      <c r="I2" s="86" t="s">
        <v>183</v>
      </c>
      <c r="J2" s="86" t="s">
        <v>184</v>
      </c>
      <c r="K2" s="86"/>
      <c r="L2" s="87" t="s">
        <v>239</v>
      </c>
      <c r="M2" s="87" t="s">
        <v>240</v>
      </c>
      <c r="N2" s="87" t="s">
        <v>241</v>
      </c>
      <c r="O2" s="87" t="s">
        <v>242</v>
      </c>
      <c r="P2" s="87" t="s">
        <v>185</v>
      </c>
      <c r="R2" s="14" t="s">
        <v>128</v>
      </c>
      <c r="S2" s="84" t="s">
        <v>239</v>
      </c>
    </row>
    <row r="3" spans="1:24">
      <c r="A3" s="88" t="str">
        <f>Module!H2</f>
        <v>Sakhir</v>
      </c>
      <c r="B3" s="89">
        <f>VLOOKUP(A3,$R$3:$S$63,2,0)</f>
        <v>75.053122658619813</v>
      </c>
      <c r="C3" s="90">
        <f>Module!B5</f>
        <v>0</v>
      </c>
      <c r="D3" s="90">
        <f>Module!B6</f>
        <v>62</v>
      </c>
      <c r="E3" s="90">
        <f>Module!B32</f>
        <v>3</v>
      </c>
      <c r="F3" s="91">
        <f>Module!D32</f>
        <v>10</v>
      </c>
      <c r="G3" s="92">
        <f>VLOOKUP(H3,$U$5:$X$8,3,0)</f>
        <v>0.1847141723146272</v>
      </c>
      <c r="H3" s="91" t="s">
        <v>12</v>
      </c>
      <c r="I3" s="92">
        <f>VLOOKUP(H3,$U$5:$V$8,2,0)</f>
        <v>1</v>
      </c>
      <c r="J3" s="93">
        <f>Module!I12</f>
        <v>17</v>
      </c>
      <c r="K3" s="441">
        <f>VLOOKUP(H3,$U$5:$X$8,4,0)</f>
        <v>0.96676581151405383</v>
      </c>
      <c r="L3" s="95">
        <f>B3</f>
        <v>75.053122658619813</v>
      </c>
      <c r="M3" s="95">
        <f>C3*$V$10+$V$11*D3+E3*$V$12+I3*$V$13</f>
        <v>66.628403365640608</v>
      </c>
      <c r="N3" s="95">
        <f>G3*F3+J3*K3</f>
        <v>18.282160518885188</v>
      </c>
      <c r="O3" s="95">
        <f>L3+((L3*M3)/100)</f>
        <v>125.05981996211403</v>
      </c>
      <c r="P3" s="96">
        <f>O3-((O3*N3)/100)</f>
        <v>102.19618293201152</v>
      </c>
      <c r="R3" s="36" t="s">
        <v>125</v>
      </c>
      <c r="S3" s="80">
        <v>65.967565947562932</v>
      </c>
    </row>
    <row r="4" spans="1:24">
      <c r="A4" s="88" t="str">
        <f>A3</f>
        <v>Sakhir</v>
      </c>
      <c r="B4" s="89">
        <f>VLOOKUP(A4,$R$3:$S$63,2,0)</f>
        <v>75.053122658619813</v>
      </c>
      <c r="C4" s="90">
        <f t="shared" ref="C4:F6" si="0">C3</f>
        <v>0</v>
      </c>
      <c r="D4" s="90">
        <f t="shared" si="0"/>
        <v>62</v>
      </c>
      <c r="E4" s="90">
        <f t="shared" si="0"/>
        <v>3</v>
      </c>
      <c r="F4" s="91">
        <f t="shared" si="0"/>
        <v>10</v>
      </c>
      <c r="G4" s="92">
        <f>VLOOKUP(H4,$U$5:$X$8,3,0)</f>
        <v>0.21057465437781986</v>
      </c>
      <c r="H4" s="91" t="s">
        <v>186</v>
      </c>
      <c r="I4" s="92">
        <f>VLOOKUP(H4,$U$5:$V$8,2,0)</f>
        <v>2</v>
      </c>
      <c r="J4" s="93">
        <f>J3</f>
        <v>17</v>
      </c>
      <c r="K4" s="441">
        <f>VLOOKUP(H4,$U$5:$X$8,4,0)</f>
        <v>0.97685616744811155</v>
      </c>
      <c r="L4" s="95">
        <f>B4</f>
        <v>75.053122658619813</v>
      </c>
      <c r="M4" s="95">
        <f>C4*$V$10+$V$11*D4+E4*$V$12+I4*$V$13</f>
        <v>123.60650600454584</v>
      </c>
      <c r="N4" s="95">
        <f>G4*F4+J4*K4</f>
        <v>18.712301390396096</v>
      </c>
      <c r="O4" s="95">
        <f>L4+((L4*M4)/100)</f>
        <v>167.82366522424587</v>
      </c>
      <c r="P4" s="96">
        <f>O4-((O4*N4)/100)</f>
        <v>136.41999518307563</v>
      </c>
      <c r="R4" s="36" t="s">
        <v>312</v>
      </c>
      <c r="S4" s="80">
        <v>67.936248358302777</v>
      </c>
    </row>
    <row r="5" spans="1:24">
      <c r="A5" s="88" t="str">
        <f>A4</f>
        <v>Sakhir</v>
      </c>
      <c r="B5" s="89">
        <f>VLOOKUP(A5,$R$3:$S$63,2,0)</f>
        <v>75.053122658619813</v>
      </c>
      <c r="C5" s="90">
        <f t="shared" si="0"/>
        <v>0</v>
      </c>
      <c r="D5" s="90">
        <f t="shared" si="0"/>
        <v>62</v>
      </c>
      <c r="E5" s="90">
        <f t="shared" si="0"/>
        <v>3</v>
      </c>
      <c r="F5" s="91">
        <f t="shared" si="0"/>
        <v>10</v>
      </c>
      <c r="G5" s="92">
        <f>VLOOKUP(H5,$U$5:$X$8,3,0)</f>
        <v>0.23111450252550558</v>
      </c>
      <c r="H5" s="91" t="s">
        <v>135</v>
      </c>
      <c r="I5" s="92">
        <f>VLOOKUP(H5,$U$5:$V$8,2,0)</f>
        <v>3</v>
      </c>
      <c r="J5" s="93">
        <f>J4</f>
        <v>17</v>
      </c>
      <c r="K5" s="441">
        <f>VLOOKUP(H5,$U$5:$X$8,4,0)</f>
        <v>0.76808799417676743</v>
      </c>
      <c r="L5" s="95">
        <f>B5</f>
        <v>75.053122658619813</v>
      </c>
      <c r="M5" s="95">
        <f>C5*$V$10+$V$11*D5+E5*$V$12+I5*$V$13</f>
        <v>180.58460864345105</v>
      </c>
      <c r="N5" s="95">
        <f>G5*F5+J5*K5</f>
        <v>15.368640926260102</v>
      </c>
      <c r="O5" s="95">
        <f>L5+((L5*M5)/100)</f>
        <v>210.58751048637771</v>
      </c>
      <c r="P5" s="96">
        <f>O5-((O5*N5)/100)</f>
        <v>178.22307216417599</v>
      </c>
      <c r="R5" s="36" t="s">
        <v>123</v>
      </c>
      <c r="S5" s="80">
        <v>57.249092698427809</v>
      </c>
      <c r="U5" s="96" t="s">
        <v>12</v>
      </c>
      <c r="V5" s="95">
        <v>1</v>
      </c>
      <c r="W5" s="95">
        <v>0.1847141723146272</v>
      </c>
      <c r="X5" s="95">
        <v>0.96676581151405383</v>
      </c>
    </row>
    <row r="6" spans="1:24">
      <c r="A6" s="88" t="str">
        <f>A5</f>
        <v>Sakhir</v>
      </c>
      <c r="B6" s="89">
        <f>VLOOKUP(A6,$R$3:$S$63,2,0)</f>
        <v>75.053122658619813</v>
      </c>
      <c r="C6" s="90">
        <f t="shared" si="0"/>
        <v>0</v>
      </c>
      <c r="D6" s="90">
        <f t="shared" si="0"/>
        <v>62</v>
      </c>
      <c r="E6" s="90">
        <f t="shared" si="0"/>
        <v>3</v>
      </c>
      <c r="F6" s="91">
        <f t="shared" si="0"/>
        <v>10</v>
      </c>
      <c r="G6" s="92">
        <f>VLOOKUP(H6,$U$5:$X$8,3,0)</f>
        <v>0.25957855738757146</v>
      </c>
      <c r="H6" s="91" t="s">
        <v>152</v>
      </c>
      <c r="I6" s="92">
        <f>VLOOKUP(H6,$U$5:$V$8,2,0)</f>
        <v>4</v>
      </c>
      <c r="J6" s="93">
        <f>J5</f>
        <v>17</v>
      </c>
      <c r="K6" s="441">
        <f>VLOOKUP(H6,$U$5:$X$8,4,0)</f>
        <v>0.50683041930034523</v>
      </c>
      <c r="L6" s="95">
        <f>B6</f>
        <v>75.053122658619813</v>
      </c>
      <c r="M6" s="95">
        <f>C6*$V$10+$V$11*D6+E6*$V$12+I6*$V$13</f>
        <v>237.56271128235628</v>
      </c>
      <c r="N6" s="95">
        <f>G6*F6+J6*K6</f>
        <v>11.211902701981582</v>
      </c>
      <c r="O6" s="95">
        <f>L6+((L6*M6)/100)</f>
        <v>253.35135574850949</v>
      </c>
      <c r="P6" s="96">
        <f>O6-((O6*N6)/100)</f>
        <v>224.94584824783539</v>
      </c>
      <c r="R6" s="36" t="s">
        <v>122</v>
      </c>
      <c r="S6" s="80">
        <v>65.724498509957584</v>
      </c>
      <c r="U6" s="96" t="s">
        <v>186</v>
      </c>
      <c r="V6" s="95">
        <v>2</v>
      </c>
      <c r="W6" s="95">
        <v>0.21057465437781986</v>
      </c>
      <c r="X6" s="95">
        <v>0.97685616744811155</v>
      </c>
    </row>
    <row r="7" spans="1:24">
      <c r="H7" s="97" t="s">
        <v>243</v>
      </c>
      <c r="P7" s="96">
        <f>P6+(P6*10)/100</f>
        <v>247.44043307261893</v>
      </c>
      <c r="R7" s="36" t="s">
        <v>127</v>
      </c>
      <c r="S7" s="80">
        <v>68.697399776561099</v>
      </c>
      <c r="U7" s="96" t="s">
        <v>135</v>
      </c>
      <c r="V7" s="95">
        <v>3</v>
      </c>
      <c r="W7" s="95">
        <v>0.23111450252550558</v>
      </c>
      <c r="X7" s="95">
        <v>0.76808799417676743</v>
      </c>
    </row>
    <row r="8" spans="1:24">
      <c r="R8" s="36" t="s">
        <v>121</v>
      </c>
      <c r="S8" s="80">
        <v>88.212432120000003</v>
      </c>
      <c r="U8" s="96" t="s">
        <v>152</v>
      </c>
      <c r="V8" s="95">
        <v>4</v>
      </c>
      <c r="W8" s="95">
        <v>0.25957855738757146</v>
      </c>
      <c r="X8" s="95">
        <v>0.50683041930034523</v>
      </c>
    </row>
    <row r="9" spans="1:24">
      <c r="R9" s="36" t="s">
        <v>309</v>
      </c>
      <c r="S9" s="80">
        <v>51.02805</v>
      </c>
    </row>
    <row r="10" spans="1:24">
      <c r="R10" s="36" t="s">
        <v>120</v>
      </c>
      <c r="S10" s="80">
        <v>72.397308837321546</v>
      </c>
      <c r="U10" s="86" t="s">
        <v>179</v>
      </c>
      <c r="V10" s="95">
        <v>-5.4202307500879315E-2</v>
      </c>
    </row>
    <row r="11" spans="1:24">
      <c r="R11" s="36" t="s">
        <v>119</v>
      </c>
      <c r="S11" s="80">
        <v>78.511415496222455</v>
      </c>
      <c r="U11" s="86" t="s">
        <v>180</v>
      </c>
      <c r="V11" s="95">
        <v>4.9535168764568274E-2</v>
      </c>
    </row>
    <row r="12" spans="1:24" ht="15.75" thickBot="1">
      <c r="R12" s="36" t="s">
        <v>118</v>
      </c>
      <c r="S12" s="80">
        <v>68.870312356199364</v>
      </c>
      <c r="U12" s="86" t="s">
        <v>181</v>
      </c>
      <c r="V12" s="95">
        <v>2.1930400877773866</v>
      </c>
    </row>
    <row r="13" spans="1:24" ht="16.5" thickBot="1">
      <c r="C13" s="605" t="s">
        <v>245</v>
      </c>
      <c r="D13" s="606"/>
      <c r="E13" s="606"/>
      <c r="F13" s="606"/>
      <c r="G13" s="606"/>
      <c r="H13" s="606"/>
      <c r="I13" s="606"/>
      <c r="J13" s="606"/>
      <c r="K13" s="606"/>
      <c r="L13" s="804"/>
      <c r="M13" s="804"/>
      <c r="N13" s="804"/>
      <c r="O13" s="804"/>
      <c r="P13" s="805"/>
      <c r="R13" s="36" t="s">
        <v>117</v>
      </c>
      <c r="S13" s="80">
        <v>81.276540993135427</v>
      </c>
      <c r="U13" s="86" t="s">
        <v>183</v>
      </c>
      <c r="V13" s="95">
        <v>56.97810263890522</v>
      </c>
    </row>
    <row r="14" spans="1:24">
      <c r="C14" s="86" t="s">
        <v>179</v>
      </c>
      <c r="D14" s="86" t="s">
        <v>180</v>
      </c>
      <c r="E14" s="86" t="s">
        <v>181</v>
      </c>
      <c r="F14" s="86" t="s">
        <v>130</v>
      </c>
      <c r="G14" s="86"/>
      <c r="H14" s="86" t="s">
        <v>182</v>
      </c>
      <c r="I14" s="86" t="s">
        <v>183</v>
      </c>
      <c r="J14" s="86" t="s">
        <v>184</v>
      </c>
      <c r="K14" s="86"/>
      <c r="L14" s="98" t="s">
        <v>239</v>
      </c>
      <c r="M14" s="99" t="s">
        <v>240</v>
      </c>
      <c r="N14" s="99" t="s">
        <v>241</v>
      </c>
      <c r="O14" s="99" t="s">
        <v>242</v>
      </c>
      <c r="P14" s="99" t="s">
        <v>185</v>
      </c>
      <c r="R14" s="36" t="s">
        <v>116</v>
      </c>
      <c r="S14" s="80">
        <v>61.103851434667945</v>
      </c>
    </row>
    <row r="15" spans="1:24">
      <c r="C15" s="82">
        <v>2</v>
      </c>
      <c r="D15" s="82">
        <v>109</v>
      </c>
      <c r="E15" s="82">
        <v>6</v>
      </c>
      <c r="F15" s="82">
        <v>0</v>
      </c>
      <c r="G15" s="83">
        <f>VLOOKUP(H15,$U$5:$X$8,3,0)</f>
        <v>0.1847141723146272</v>
      </c>
      <c r="H15" s="82" t="s">
        <v>12</v>
      </c>
      <c r="I15" s="82">
        <f>VLOOKUP(H15,$U$5:$V$8,2,0)</f>
        <v>1</v>
      </c>
      <c r="J15" s="82">
        <v>18</v>
      </c>
      <c r="K15" s="83">
        <f>VLOOKUP(H15,$U$5:$X$8,4,0)</f>
        <v>0.96676581151405383</v>
      </c>
      <c r="L15" s="80">
        <v>82.749001500000006</v>
      </c>
      <c r="M15" s="95">
        <f>C15*$V$10+$V$11*D15+E15*$V$12+I15*$V$13</f>
        <v>75.427271945905716</v>
      </c>
      <c r="N15" s="95">
        <f>G15*F15+J15*K15</f>
        <v>17.401784607252971</v>
      </c>
      <c r="O15" s="95">
        <f>L15+((L15*M15)/100)</f>
        <v>145.16431589392661</v>
      </c>
      <c r="P15" s="96">
        <f>O15-((O15*N15)/100)</f>
        <v>119.90313431547321</v>
      </c>
      <c r="R15" s="36" t="s">
        <v>115</v>
      </c>
      <c r="S15" s="80">
        <v>77.947576960744172</v>
      </c>
    </row>
    <row r="16" spans="1:24">
      <c r="R16" s="36" t="s">
        <v>114</v>
      </c>
      <c r="S16" s="80">
        <v>58.91017676745799</v>
      </c>
    </row>
    <row r="17" spans="6:20">
      <c r="F17" s="803"/>
      <c r="G17" s="803"/>
      <c r="H17" s="803"/>
      <c r="I17" s="803"/>
      <c r="J17" s="803"/>
      <c r="K17" s="803"/>
      <c r="L17" s="803"/>
      <c r="M17" s="803"/>
      <c r="N17" s="803"/>
      <c r="O17" s="803"/>
      <c r="P17" s="803"/>
      <c r="R17" s="36" t="s">
        <v>113</v>
      </c>
      <c r="S17" s="80">
        <v>68.504290291596206</v>
      </c>
    </row>
    <row r="18" spans="6:20">
      <c r="F18" s="803"/>
      <c r="G18" s="803"/>
      <c r="H18" s="803"/>
      <c r="I18" s="803"/>
      <c r="J18" s="803"/>
      <c r="K18" s="803"/>
      <c r="L18" s="803"/>
      <c r="M18" s="803"/>
      <c r="N18" s="803"/>
      <c r="O18" s="803"/>
      <c r="P18" s="803"/>
      <c r="R18" s="36" t="s">
        <v>112</v>
      </c>
      <c r="S18" s="80">
        <v>59.71508686008935</v>
      </c>
    </row>
    <row r="19" spans="6:20">
      <c r="F19" s="803"/>
      <c r="G19" s="803"/>
      <c r="H19" s="803"/>
      <c r="I19" s="803"/>
      <c r="J19" s="803"/>
      <c r="K19" s="803"/>
      <c r="L19" s="803"/>
      <c r="M19" s="803"/>
      <c r="N19" s="803"/>
      <c r="O19" s="803"/>
      <c r="P19" s="803"/>
      <c r="R19" s="36" t="s">
        <v>111</v>
      </c>
      <c r="S19" s="80">
        <v>65.365908622990943</v>
      </c>
    </row>
    <row r="20" spans="6:20">
      <c r="F20" s="803"/>
      <c r="G20" s="803"/>
      <c r="H20" s="803"/>
      <c r="I20" s="803"/>
      <c r="J20" s="803"/>
      <c r="K20" s="803"/>
      <c r="L20" s="803"/>
      <c r="M20" s="803"/>
      <c r="N20" s="803"/>
      <c r="O20" s="803"/>
      <c r="P20" s="803"/>
      <c r="R20" s="36" t="s">
        <v>310</v>
      </c>
      <c r="S20" s="80">
        <v>55.8</v>
      </c>
      <c r="T20" s="3">
        <v>55.8</v>
      </c>
    </row>
    <row r="21" spans="6:20">
      <c r="R21" s="36" t="s">
        <v>110</v>
      </c>
      <c r="S21" s="80">
        <v>64.429309562842761</v>
      </c>
    </row>
    <row r="22" spans="6:20">
      <c r="R22" s="36" t="s">
        <v>109</v>
      </c>
      <c r="S22" s="80">
        <v>89.574073587353169</v>
      </c>
    </row>
    <row r="23" spans="6:20">
      <c r="R23" s="36" t="s">
        <v>108</v>
      </c>
      <c r="S23" s="80">
        <v>73.870416565896591</v>
      </c>
    </row>
    <row r="24" spans="6:20">
      <c r="R24" s="36" t="s">
        <v>107</v>
      </c>
      <c r="S24" s="80">
        <v>67.60986593885589</v>
      </c>
    </row>
    <row r="25" spans="6:20">
      <c r="R25" s="36" t="s">
        <v>106</v>
      </c>
      <c r="S25" s="80">
        <v>77.065772515562387</v>
      </c>
      <c r="T25" s="3">
        <v>199.06</v>
      </c>
    </row>
    <row r="26" spans="6:20">
      <c r="R26" s="36" t="s">
        <v>105</v>
      </c>
      <c r="S26" s="80">
        <v>68.252085548798689</v>
      </c>
    </row>
    <row r="27" spans="6:20">
      <c r="R27" s="36" t="s">
        <v>104</v>
      </c>
      <c r="S27" s="80">
        <v>59.593222498623511</v>
      </c>
    </row>
    <row r="28" spans="6:20">
      <c r="R28" s="36" t="s">
        <v>103</v>
      </c>
      <c r="S28" s="80">
        <v>75.932150051155105</v>
      </c>
    </row>
    <row r="29" spans="6:20">
      <c r="R29" s="36" t="s">
        <v>511</v>
      </c>
      <c r="S29" s="80">
        <v>61.063397669965902</v>
      </c>
      <c r="T29" s="3">
        <v>60.02805</v>
      </c>
    </row>
    <row r="30" spans="6:20">
      <c r="R30" s="36" t="s">
        <v>102</v>
      </c>
      <c r="S30" s="80">
        <v>55.364990454924552</v>
      </c>
    </row>
    <row r="31" spans="6:20">
      <c r="R31" s="36" t="s">
        <v>311</v>
      </c>
      <c r="S31" s="80">
        <v>58.5</v>
      </c>
    </row>
    <row r="32" spans="6:20">
      <c r="R32" s="36" t="s">
        <v>101</v>
      </c>
      <c r="S32" s="80">
        <v>57.696844766388381</v>
      </c>
    </row>
    <row r="33" spans="18:20">
      <c r="R33" s="36" t="s">
        <v>100</v>
      </c>
      <c r="S33" s="80">
        <v>68.868076997999125</v>
      </c>
    </row>
    <row r="34" spans="18:20">
      <c r="R34" s="36" t="s">
        <v>99</v>
      </c>
      <c r="S34" s="80">
        <v>61.914578934586821</v>
      </c>
    </row>
    <row r="35" spans="18:20">
      <c r="R35" s="36" t="s">
        <v>98</v>
      </c>
      <c r="S35" s="80">
        <v>63.590268283946749</v>
      </c>
    </row>
    <row r="36" spans="18:20">
      <c r="R36" s="36" t="s">
        <v>97</v>
      </c>
      <c r="S36" s="80">
        <v>66.260319022918495</v>
      </c>
    </row>
    <row r="37" spans="18:20">
      <c r="R37" s="36" t="s">
        <v>96</v>
      </c>
      <c r="S37" s="80">
        <v>67.11674422614297</v>
      </c>
    </row>
    <row r="38" spans="18:20">
      <c r="R38" s="36" t="s">
        <v>95</v>
      </c>
      <c r="S38" s="80">
        <v>71.052260343736762</v>
      </c>
    </row>
    <row r="39" spans="18:20">
      <c r="R39" s="36" t="s">
        <v>94</v>
      </c>
      <c r="S39" s="80">
        <v>74.706800000000001</v>
      </c>
      <c r="T39" s="3">
        <v>72.044535731364206</v>
      </c>
    </row>
    <row r="40" spans="18:20">
      <c r="R40" s="36" t="s">
        <v>93</v>
      </c>
      <c r="S40" s="80">
        <v>73.228289975561424</v>
      </c>
    </row>
    <row r="41" spans="18:20">
      <c r="R41" s="36" t="s">
        <v>67</v>
      </c>
      <c r="S41" s="80">
        <v>70.561377568304991</v>
      </c>
    </row>
    <row r="42" spans="18:20">
      <c r="R42" s="36" t="s">
        <v>92</v>
      </c>
      <c r="S42" s="80">
        <v>56.953937283853861</v>
      </c>
    </row>
    <row r="43" spans="18:20">
      <c r="R43" s="36" t="s">
        <v>91</v>
      </c>
      <c r="S43" s="80">
        <v>79.150845964948402</v>
      </c>
    </row>
    <row r="44" spans="18:20">
      <c r="R44" s="36" t="s">
        <v>90</v>
      </c>
      <c r="S44" s="80">
        <v>71.092002105627003</v>
      </c>
    </row>
    <row r="45" spans="18:20">
      <c r="R45" s="36" t="s">
        <v>89</v>
      </c>
      <c r="S45" s="80">
        <v>55.623042986253957</v>
      </c>
    </row>
    <row r="46" spans="18:20">
      <c r="R46" s="36" t="s">
        <v>88</v>
      </c>
      <c r="S46" s="80">
        <v>63.678371902988225</v>
      </c>
    </row>
    <row r="47" spans="18:20">
      <c r="R47" s="36" t="s">
        <v>87</v>
      </c>
      <c r="S47" s="80">
        <v>71.193235616375162</v>
      </c>
    </row>
    <row r="48" spans="18:20">
      <c r="R48" s="36" t="s">
        <v>86</v>
      </c>
      <c r="S48" s="80">
        <v>63.804718624436802</v>
      </c>
    </row>
    <row r="49" spans="18:19">
      <c r="R49" s="36" t="s">
        <v>85</v>
      </c>
      <c r="S49" s="80">
        <v>75.053122658619813</v>
      </c>
    </row>
    <row r="50" spans="18:19">
      <c r="R50" s="36" t="s">
        <v>84</v>
      </c>
      <c r="S50" s="80">
        <v>69.573066199997996</v>
      </c>
    </row>
    <row r="51" spans="18:19">
      <c r="R51" s="36" t="s">
        <v>83</v>
      </c>
      <c r="S51" s="80">
        <v>62.250032408760696</v>
      </c>
    </row>
    <row r="52" spans="18:19">
      <c r="R52" s="36" t="s">
        <v>82</v>
      </c>
      <c r="S52" s="80">
        <v>70.429316208646256</v>
      </c>
    </row>
    <row r="53" spans="18:19">
      <c r="R53" s="36" t="s">
        <v>81</v>
      </c>
      <c r="S53" s="80">
        <v>82.749001473815824</v>
      </c>
    </row>
    <row r="54" spans="18:19">
      <c r="R54" s="36" t="s">
        <v>80</v>
      </c>
      <c r="S54" s="80">
        <v>64.445676018350497</v>
      </c>
    </row>
    <row r="55" spans="18:19">
      <c r="R55" s="36" t="s">
        <v>79</v>
      </c>
      <c r="S55" s="80">
        <v>64.944083510408191</v>
      </c>
    </row>
    <row r="56" spans="18:19">
      <c r="R56" s="36" t="s">
        <v>126</v>
      </c>
      <c r="S56" s="80">
        <v>64.661605645532745</v>
      </c>
    </row>
    <row r="57" spans="18:19">
      <c r="R57" s="36" t="s">
        <v>78</v>
      </c>
      <c r="S57" s="80">
        <v>71.905650626428283</v>
      </c>
    </row>
    <row r="58" spans="18:19">
      <c r="R58" s="36" t="s">
        <v>77</v>
      </c>
      <c r="S58" s="80">
        <v>73.267820978350599</v>
      </c>
    </row>
    <row r="59" spans="18:19">
      <c r="R59" s="36" t="s">
        <v>76</v>
      </c>
      <c r="S59" s="80">
        <v>65.42776039044233</v>
      </c>
    </row>
    <row r="60" spans="18:19">
      <c r="R60" s="36" t="s">
        <v>75</v>
      </c>
      <c r="S60" s="80">
        <v>67.292337674036204</v>
      </c>
    </row>
    <row r="61" spans="18:19">
      <c r="R61" s="36" t="s">
        <v>74</v>
      </c>
      <c r="S61" s="80">
        <v>63.324795262445321</v>
      </c>
    </row>
    <row r="62" spans="18:19">
      <c r="R62" s="36" t="s">
        <v>73</v>
      </c>
      <c r="S62" s="80">
        <v>70.052990459141327</v>
      </c>
    </row>
    <row r="63" spans="18:19">
      <c r="R63" s="36" t="s">
        <v>72</v>
      </c>
      <c r="S63" s="80">
        <v>64.810773157221831</v>
      </c>
    </row>
  </sheetData>
  <mergeCells count="3">
    <mergeCell ref="F17:P20"/>
    <mergeCell ref="A1:P1"/>
    <mergeCell ref="C13:P13"/>
  </mergeCells>
  <dataValidations count="2">
    <dataValidation type="list" allowBlank="1" showInputMessage="1" showErrorMessage="1" sqref="H3:H6 H15">
      <formula1>$U$5:$U$8</formula1>
    </dataValidation>
    <dataValidation type="list" allowBlank="1" showInputMessage="1" showErrorMessage="1" sqref="A3:A6">
      <formula1>$R$3:$R$63</formula1>
    </dataValidation>
  </dataValidations>
  <pageMargins left="0.7" right="0.7" top="0.75" bottom="0.75" header="0.3" footer="0.3"/>
  <legacyDrawing r:id="rId1"/>
  <picture r:id="rId2"/>
</worksheet>
</file>

<file path=xl/worksheets/sheet7.xml><?xml version="1.0" encoding="utf-8"?>
<worksheet xmlns="http://schemas.openxmlformats.org/spreadsheetml/2006/main" xmlns:r="http://schemas.openxmlformats.org/officeDocument/2006/relationships">
  <sheetPr codeName="Feuil6"/>
  <dimension ref="A1:AK400"/>
  <sheetViews>
    <sheetView topLeftCell="A365" workbookViewId="0">
      <selection activeCell="N381" sqref="N381"/>
    </sheetView>
  </sheetViews>
  <sheetFormatPr baseColWidth="10" defaultColWidth="2.7109375" defaultRowHeight="20.25" customHeight="1"/>
  <cols>
    <col min="1" max="4" width="6.7109375" style="15" customWidth="1"/>
    <col min="5" max="7" width="6.7109375" style="16" customWidth="1"/>
    <col min="8" max="9" width="6.7109375" style="15" customWidth="1"/>
    <col min="10" max="10" width="9" style="15" customWidth="1"/>
    <col min="11" max="62" width="6.7109375" style="15" customWidth="1"/>
    <col min="63" max="16384" width="2.7109375" style="15"/>
  </cols>
  <sheetData>
    <row r="1" spans="1:37" ht="26.25">
      <c r="A1" s="35" t="s">
        <v>149</v>
      </c>
      <c r="B1" s="35" t="s">
        <v>148</v>
      </c>
      <c r="C1" s="35"/>
      <c r="D1" s="35" t="s">
        <v>147</v>
      </c>
      <c r="E1" s="34" t="s">
        <v>146</v>
      </c>
      <c r="F1" s="34" t="s">
        <v>146</v>
      </c>
      <c r="G1" s="16">
        <v>500</v>
      </c>
      <c r="J1" s="33" t="e">
        <f ca="1">"ÿ = "&amp;IF(a&lt;&gt;0,a&amp;"x²"&amp;IF(b&lt;&gt;0,IF(b&lt;0,"","+")&amp;b&amp;"x",""),IF(b&lt;&gt;0,b&amp;"x",""))&amp;IF(g&lt;&gt;0,IF(g&gt;0,"+","")&amp;g,"")</f>
        <v>#DIV/0!</v>
      </c>
      <c r="N1" s="18"/>
      <c r="O1" s="18"/>
      <c r="P1" s="18"/>
    </row>
    <row r="2" spans="1:37" ht="26.25">
      <c r="A2" s="30">
        <f>'Calcul ws'!M9</f>
        <v>0</v>
      </c>
      <c r="B2" s="16">
        <f>'Calcul ws'!N9</f>
        <v>0</v>
      </c>
      <c r="D2" s="15">
        <f ca="1">MIN(x)-(MAX(x)-MIN(x))</f>
        <v>0</v>
      </c>
      <c r="E2" s="16" t="e">
        <f t="shared" ref="E2:E65" ca="1" si="0">IF(ISNA(D2),NA(),a*t^2+b*t+g)</f>
        <v>#DIV/0!</v>
      </c>
      <c r="F2" s="16" t="e">
        <f t="shared" ref="F2:F65" ca="1" si="1">IF(ISNA(D2),NA(),u*(t-mx)^2+v*(t-mx)+w+my)</f>
        <v>#DIV/0!</v>
      </c>
      <c r="G2" s="16">
        <f t="shared" ref="G2:G65" ca="1" si="2">IF(ISNA(D2),500,MIN(F1,G1))</f>
        <v>500</v>
      </c>
      <c r="H2" s="15" t="e">
        <f t="shared" ref="H2:H65" ca="1" si="3">IF(ISNA(D2),H1,IF(E2&lt;G1,D2,H1))</f>
        <v>#DIV/0!</v>
      </c>
      <c r="J2" s="32">
        <f ca="1">AVERAGE(y)</f>
        <v>0</v>
      </c>
      <c r="N2" s="18"/>
      <c r="O2" s="18"/>
      <c r="P2" s="18"/>
      <c r="R2" s="17"/>
      <c r="S2" s="17"/>
      <c r="T2" s="17"/>
      <c r="U2" s="17"/>
    </row>
    <row r="3" spans="1:37" ht="26.25">
      <c r="A3" s="30">
        <f>'Calcul ws'!M10</f>
        <v>0</v>
      </c>
      <c r="B3" s="16">
        <f>'Calcul ws'!N10</f>
        <v>0</v>
      </c>
      <c r="D3" s="15">
        <f t="shared" ref="D3:D66" ca="1" si="4">IF(D2&lt;=MAX(x)+(MAX(x)-MIN(x))/50,D2+(MAX(x)-MIN(x))/100,NA())</f>
        <v>0</v>
      </c>
      <c r="E3" s="16" t="e">
        <f t="shared" ca="1" si="0"/>
        <v>#DIV/0!</v>
      </c>
      <c r="F3" s="16" t="e">
        <f t="shared" ca="1" si="1"/>
        <v>#DIV/0!</v>
      </c>
      <c r="G3" s="16" t="e">
        <f t="shared" ca="1" si="2"/>
        <v>#DIV/0!</v>
      </c>
      <c r="H3" s="15" t="e">
        <f t="shared" ca="1" si="3"/>
        <v>#DIV/0!</v>
      </c>
      <c r="J3" s="31">
        <f ca="1">AVERAGE(x)</f>
        <v>0</v>
      </c>
      <c r="N3" s="18"/>
      <c r="O3" s="18"/>
      <c r="P3" s="18"/>
      <c r="Q3" s="17"/>
      <c r="V3" s="17"/>
      <c r="W3" s="17"/>
      <c r="AB3" s="17"/>
      <c r="AC3" s="17"/>
      <c r="AD3" s="17"/>
      <c r="AE3" s="17"/>
      <c r="AF3" s="17"/>
      <c r="AG3" s="17"/>
      <c r="AH3" s="17"/>
      <c r="AI3" s="17"/>
      <c r="AJ3" s="17"/>
      <c r="AK3" s="17"/>
    </row>
    <row r="4" spans="1:37" ht="11.25">
      <c r="A4" s="30">
        <f>'Calcul ws'!M11</f>
        <v>0</v>
      </c>
      <c r="B4" s="16">
        <f>'Calcul ws'!N11</f>
        <v>0</v>
      </c>
      <c r="D4" s="15">
        <f t="shared" ca="1" si="4"/>
        <v>0</v>
      </c>
      <c r="E4" s="16" t="e">
        <f t="shared" ca="1" si="0"/>
        <v>#DIV/0!</v>
      </c>
      <c r="F4" s="16" t="e">
        <f t="shared" ca="1" si="1"/>
        <v>#DIV/0!</v>
      </c>
      <c r="G4" s="16" t="e">
        <f t="shared" ca="1" si="2"/>
        <v>#DIV/0!</v>
      </c>
      <c r="H4" s="15" t="e">
        <f t="shared" ca="1" si="3"/>
        <v>#DIV/0!</v>
      </c>
      <c r="J4" s="29" t="e">
        <f t="array" aca="1" ref="J4" ca="1">(AVERAGE((x-mx)^3)*AVERAGE((y-my)*(x-mx))-AVERAGE((x-mx)^2)*AVERAGE((y-my)*(x-mx)^2))/(AVERAGE((x-mx)^2)^3+AVERAGE((x-mx)^3)^2-AVERAGE((x-mx)^2)*AVERAGE((x-mx)^4))</f>
        <v>#DIV/0!</v>
      </c>
      <c r="M4" s="17"/>
      <c r="N4" s="17"/>
      <c r="O4" s="17"/>
      <c r="P4" s="26">
        <f>M9</f>
        <v>0</v>
      </c>
      <c r="Q4" s="17"/>
      <c r="V4" s="21"/>
      <c r="W4" s="21"/>
      <c r="AB4" s="17"/>
      <c r="AC4" s="17"/>
      <c r="AD4" s="17"/>
      <c r="AE4" s="17"/>
      <c r="AF4" s="17"/>
      <c r="AG4" s="17"/>
      <c r="AH4" s="17"/>
      <c r="AI4" s="17"/>
      <c r="AJ4" s="17"/>
      <c r="AK4" s="17"/>
    </row>
    <row r="5" spans="1:37" ht="11.25">
      <c r="D5" s="15">
        <f t="shared" ca="1" si="4"/>
        <v>0</v>
      </c>
      <c r="E5" s="16" t="e">
        <f t="shared" ca="1" si="0"/>
        <v>#DIV/0!</v>
      </c>
      <c r="F5" s="16" t="e">
        <f t="shared" ca="1" si="1"/>
        <v>#DIV/0!</v>
      </c>
      <c r="G5" s="16" t="e">
        <f t="shared" ca="1" si="2"/>
        <v>#DIV/0!</v>
      </c>
      <c r="H5" s="15" t="e">
        <f t="shared" ca="1" si="3"/>
        <v>#DIV/0!</v>
      </c>
      <c r="J5" s="28" t="e">
        <f t="array" aca="1" ref="J5" ca="1">((AVERAGE((x-mx)^2)^2-AVERAGE((x-mx)^4))*AVERAGE((y-my)*(x-mx))+AVERAGE((x-mx)^3)*AVERAGE((y-my)*(x-mx)^2))/(AVERAGE((x-mx)^2)^3+AVERAGE((x-mx)^3)^2-AVERAGE((x-mx)^2)*AVERAGE((x-mx)^4))</f>
        <v>#DIV/0!</v>
      </c>
      <c r="M5" s="17"/>
      <c r="N5" s="17"/>
      <c r="O5" s="17"/>
      <c r="P5" s="26">
        <f>M10</f>
        <v>0</v>
      </c>
      <c r="Q5" s="17"/>
      <c r="V5" s="21"/>
      <c r="W5" s="21"/>
      <c r="AB5" s="17"/>
      <c r="AC5" s="17"/>
      <c r="AD5" s="17"/>
      <c r="AE5" s="17"/>
      <c r="AF5" s="17"/>
      <c r="AG5" s="17"/>
      <c r="AH5" s="17"/>
      <c r="AI5" s="17"/>
      <c r="AJ5" s="17"/>
      <c r="AK5" s="17"/>
    </row>
    <row r="6" spans="1:37" ht="11.25">
      <c r="D6" s="15">
        <f t="shared" ca="1" si="4"/>
        <v>0</v>
      </c>
      <c r="E6" s="16" t="e">
        <f t="shared" ca="1" si="0"/>
        <v>#DIV/0!</v>
      </c>
      <c r="F6" s="16" t="e">
        <f t="shared" ca="1" si="1"/>
        <v>#DIV/0!</v>
      </c>
      <c r="G6" s="16" t="e">
        <f t="shared" ca="1" si="2"/>
        <v>#DIV/0!</v>
      </c>
      <c r="H6" s="15" t="e">
        <f t="shared" ca="1" si="3"/>
        <v>#DIV/0!</v>
      </c>
      <c r="J6" s="27" t="e">
        <f t="array" aca="1" ref="J6" ca="1">(-AVERAGE((x-mx)^2)*AVERAGE((x-mx)^3)*AVERAGE((y-my)*(x-mx))+AVERAGE((x-mx)^2)^2*AVERAGE((y-my)*(x-mx)^2))/(AVERAGE((x-mx)^2)^3+AVERAGE((x-mx)^3)^2-AVERAGE((x-mx)^2)*AVERAGE((x-mx)^4))</f>
        <v>#DIV/0!</v>
      </c>
      <c r="M6" s="17"/>
      <c r="N6" s="17"/>
      <c r="O6" s="17"/>
      <c r="P6" s="26">
        <f>M11</f>
        <v>0</v>
      </c>
      <c r="Q6" s="17"/>
      <c r="V6" s="21"/>
      <c r="W6" s="21"/>
      <c r="AB6" s="17"/>
      <c r="AC6" s="17"/>
      <c r="AD6" s="17"/>
      <c r="AE6" s="17"/>
      <c r="AF6" s="17"/>
      <c r="AG6" s="17"/>
      <c r="AH6" s="17"/>
      <c r="AI6" s="17"/>
      <c r="AJ6" s="17"/>
      <c r="AK6" s="17"/>
    </row>
    <row r="7" spans="1:37" ht="11.25">
      <c r="D7" s="15">
        <f t="shared" ca="1" si="4"/>
        <v>0</v>
      </c>
      <c r="E7" s="16" t="e">
        <f t="shared" ca="1" si="0"/>
        <v>#DIV/0!</v>
      </c>
      <c r="F7" s="16" t="e">
        <f t="shared" ca="1" si="1"/>
        <v>#DIV/0!</v>
      </c>
      <c r="G7" s="16" t="e">
        <f t="shared" ca="1" si="2"/>
        <v>#DIV/0!</v>
      </c>
      <c r="H7" s="15" t="e">
        <f t="shared" ca="1" si="3"/>
        <v>#DIV/0!</v>
      </c>
      <c r="J7" s="25" t="e">
        <f ca="1">u</f>
        <v>#DIV/0!</v>
      </c>
      <c r="M7" s="17"/>
      <c r="N7" s="17"/>
      <c r="O7" s="17"/>
      <c r="P7" s="17"/>
      <c r="Q7" s="17"/>
      <c r="V7" s="21"/>
      <c r="W7" s="21"/>
      <c r="AB7" s="17"/>
      <c r="AC7" s="17"/>
      <c r="AD7" s="17"/>
      <c r="AE7" s="17"/>
      <c r="AF7" s="17"/>
      <c r="AG7" s="17"/>
      <c r="AH7" s="17"/>
      <c r="AI7" s="17"/>
      <c r="AJ7" s="17"/>
      <c r="AK7" s="17"/>
    </row>
    <row r="8" spans="1:37" ht="12.75">
      <c r="D8" s="15">
        <f t="shared" ca="1" si="4"/>
        <v>0</v>
      </c>
      <c r="E8" s="16" t="e">
        <f t="shared" ca="1" si="0"/>
        <v>#DIV/0!</v>
      </c>
      <c r="F8" s="16" t="e">
        <f t="shared" ca="1" si="1"/>
        <v>#DIV/0!</v>
      </c>
      <c r="G8" s="16" t="e">
        <f t="shared" ca="1" si="2"/>
        <v>#DIV/0!</v>
      </c>
      <c r="H8" s="15" t="e">
        <f t="shared" ca="1" si="3"/>
        <v>#DIV/0!</v>
      </c>
      <c r="J8" s="24" t="e">
        <f ca="1">v-2*u*mx</f>
        <v>#DIV/0!</v>
      </c>
      <c r="M8" s="23" t="s">
        <v>145</v>
      </c>
      <c r="N8" s="806" t="s">
        <v>144</v>
      </c>
      <c r="O8" s="806"/>
      <c r="P8" s="20"/>
      <c r="Q8" s="17"/>
      <c r="V8" s="21"/>
      <c r="W8" s="21"/>
      <c r="X8" s="17"/>
      <c r="Y8" s="17"/>
      <c r="Z8" s="17"/>
      <c r="AA8" s="17"/>
      <c r="AB8" s="17"/>
      <c r="AC8" s="17"/>
      <c r="AD8" s="17"/>
      <c r="AE8" s="17"/>
      <c r="AF8" s="17"/>
      <c r="AG8" s="17"/>
      <c r="AH8" s="17"/>
      <c r="AI8" s="17"/>
      <c r="AJ8" s="17"/>
      <c r="AK8" s="17"/>
    </row>
    <row r="9" spans="1:37" ht="12.75">
      <c r="D9" s="15">
        <f t="shared" ca="1" si="4"/>
        <v>0</v>
      </c>
      <c r="E9" s="16" t="e">
        <f t="shared" ca="1" si="0"/>
        <v>#DIV/0!</v>
      </c>
      <c r="F9" s="16" t="e">
        <f t="shared" ca="1" si="1"/>
        <v>#DIV/0!</v>
      </c>
      <c r="G9" s="16" t="e">
        <f t="shared" ca="1" si="2"/>
        <v>#DIV/0!</v>
      </c>
      <c r="H9" s="15" t="e">
        <f t="shared" ca="1" si="3"/>
        <v>#DIV/0!</v>
      </c>
      <c r="J9" s="22" t="e">
        <f ca="1">w-v*mx+u*mx^2+my</f>
        <v>#DIV/0!</v>
      </c>
      <c r="M9" s="19">
        <f>Module!Y22</f>
        <v>0</v>
      </c>
      <c r="N9" s="807">
        <f>Module!W22</f>
        <v>0</v>
      </c>
      <c r="O9" s="807"/>
      <c r="P9" s="20"/>
      <c r="Q9" s="17"/>
      <c r="V9" s="21"/>
      <c r="W9" s="21"/>
      <c r="X9" s="17"/>
      <c r="Y9" s="17"/>
      <c r="Z9" s="17"/>
      <c r="AA9" s="17"/>
      <c r="AB9" s="17"/>
      <c r="AC9" s="17"/>
      <c r="AD9" s="17"/>
      <c r="AE9" s="17"/>
      <c r="AF9" s="17"/>
      <c r="AG9" s="17"/>
      <c r="AH9" s="17"/>
      <c r="AI9" s="17"/>
      <c r="AJ9" s="17"/>
      <c r="AK9" s="17"/>
    </row>
    <row r="10" spans="1:37" ht="12.75">
      <c r="D10" s="15">
        <f t="shared" ca="1" si="4"/>
        <v>0</v>
      </c>
      <c r="E10" s="16" t="e">
        <f t="shared" ca="1" si="0"/>
        <v>#DIV/0!</v>
      </c>
      <c r="F10" s="16" t="e">
        <f t="shared" ca="1" si="1"/>
        <v>#DIV/0!</v>
      </c>
      <c r="G10" s="16" t="e">
        <f t="shared" ca="1" si="2"/>
        <v>#DIV/0!</v>
      </c>
      <c r="H10" s="15" t="e">
        <f t="shared" ca="1" si="3"/>
        <v>#DIV/0!</v>
      </c>
      <c r="M10" s="19">
        <f>Module!Y23</f>
        <v>0</v>
      </c>
      <c r="N10" s="807">
        <f>Module!W23</f>
        <v>0</v>
      </c>
      <c r="O10" s="807"/>
      <c r="P10" s="20"/>
      <c r="Q10" s="17"/>
      <c r="V10" s="17"/>
      <c r="AK10" s="17"/>
    </row>
    <row r="11" spans="1:37" ht="12.75">
      <c r="D11" s="15">
        <f t="shared" ca="1" si="4"/>
        <v>0</v>
      </c>
      <c r="E11" s="16" t="e">
        <f t="shared" ca="1" si="0"/>
        <v>#DIV/0!</v>
      </c>
      <c r="F11" s="16" t="e">
        <f t="shared" ca="1" si="1"/>
        <v>#DIV/0!</v>
      </c>
      <c r="G11" s="16" t="e">
        <f t="shared" ca="1" si="2"/>
        <v>#DIV/0!</v>
      </c>
      <c r="H11" s="15" t="e">
        <f t="shared" ca="1" si="3"/>
        <v>#DIV/0!</v>
      </c>
      <c r="J11" s="16" t="e">
        <f ca="1">MIN(G1:G400)</f>
        <v>#DIV/0!</v>
      </c>
      <c r="M11" s="19">
        <f>Module!Y24</f>
        <v>0</v>
      </c>
      <c r="N11" s="807">
        <f>Module!W24</f>
        <v>0</v>
      </c>
      <c r="O11" s="807"/>
      <c r="P11" s="17"/>
      <c r="Q11" s="17"/>
      <c r="V11" s="17"/>
      <c r="AK11" s="17"/>
    </row>
    <row r="12" spans="1:37" ht="11.25">
      <c r="D12" s="15">
        <f t="shared" ca="1" si="4"/>
        <v>0</v>
      </c>
      <c r="E12" s="16" t="e">
        <f t="shared" ca="1" si="0"/>
        <v>#DIV/0!</v>
      </c>
      <c r="F12" s="16" t="e">
        <f t="shared" ca="1" si="1"/>
        <v>#DIV/0!</v>
      </c>
      <c r="G12" s="16" t="e">
        <f t="shared" ca="1" si="2"/>
        <v>#DIV/0!</v>
      </c>
      <c r="H12" s="15" t="e">
        <f t="shared" ca="1" si="3"/>
        <v>#DIV/0!</v>
      </c>
      <c r="M12" s="806" t="s">
        <v>35</v>
      </c>
      <c r="N12" s="806"/>
      <c r="O12" s="806"/>
      <c r="Q12" s="17"/>
      <c r="V12" s="17"/>
      <c r="AK12" s="17"/>
    </row>
    <row r="13" spans="1:37" ht="12.75">
      <c r="D13" s="15">
        <f t="shared" ca="1" si="4"/>
        <v>0</v>
      </c>
      <c r="E13" s="16" t="e">
        <f t="shared" ca="1" si="0"/>
        <v>#DIV/0!</v>
      </c>
      <c r="F13" s="16" t="e">
        <f t="shared" ca="1" si="1"/>
        <v>#DIV/0!</v>
      </c>
      <c r="G13" s="16" t="e">
        <f t="shared" ca="1" si="2"/>
        <v>#DIV/0!</v>
      </c>
      <c r="H13" s="15" t="e">
        <f t="shared" ca="1" si="3"/>
        <v>#DIV/0!</v>
      </c>
      <c r="M13" s="19" t="e">
        <f ca="1">IF('Calcul ws'!F3&lt;'Calcul ws'!F2,'Calcul ws'!H400,LOOKUP(N13,N4:P6))</f>
        <v>#DIV/0!</v>
      </c>
      <c r="N13" s="807" t="e">
        <f ca="1">IF('Calcul ws'!F3&lt;'Calcul ws'!F2,'Calcul ws'!J11,MIN(N9:O11))</f>
        <v>#DIV/0!</v>
      </c>
      <c r="O13" s="807"/>
      <c r="Q13" s="17"/>
      <c r="R13" s="17"/>
      <c r="V13" s="17"/>
      <c r="AK13" s="17"/>
    </row>
    <row r="14" spans="1:37" ht="26.25">
      <c r="D14" s="15">
        <f t="shared" ca="1" si="4"/>
        <v>0</v>
      </c>
      <c r="E14" s="16" t="e">
        <f t="shared" ca="1" si="0"/>
        <v>#DIV/0!</v>
      </c>
      <c r="F14" s="16" t="e">
        <f t="shared" ca="1" si="1"/>
        <v>#DIV/0!</v>
      </c>
      <c r="G14" s="16" t="e">
        <f t="shared" ca="1" si="2"/>
        <v>#DIV/0!</v>
      </c>
      <c r="H14" s="15" t="e">
        <f t="shared" ca="1" si="3"/>
        <v>#DIV/0!</v>
      </c>
      <c r="J14" s="18"/>
      <c r="K14" s="18"/>
      <c r="L14" s="18"/>
      <c r="M14" s="18"/>
      <c r="N14" s="18"/>
      <c r="O14" s="18"/>
      <c r="P14" s="18"/>
      <c r="Q14" s="17"/>
      <c r="R14" s="17"/>
      <c r="V14" s="17"/>
      <c r="AK14" s="17"/>
    </row>
    <row r="15" spans="1:37" ht="26.25">
      <c r="D15" s="15">
        <f t="shared" ca="1" si="4"/>
        <v>0</v>
      </c>
      <c r="E15" s="16" t="e">
        <f t="shared" ca="1" si="0"/>
        <v>#DIV/0!</v>
      </c>
      <c r="F15" s="16" t="e">
        <f t="shared" ca="1" si="1"/>
        <v>#DIV/0!</v>
      </c>
      <c r="G15" s="16" t="e">
        <f t="shared" ca="1" si="2"/>
        <v>#DIV/0!</v>
      </c>
      <c r="H15" s="15" t="e">
        <f t="shared" ca="1" si="3"/>
        <v>#DIV/0!</v>
      </c>
      <c r="J15" s="18"/>
      <c r="K15" s="18"/>
      <c r="L15" s="18"/>
      <c r="M15" s="18"/>
      <c r="N15" s="18"/>
      <c r="O15" s="18"/>
      <c r="P15" s="18"/>
      <c r="Q15" s="17"/>
      <c r="R15" s="17"/>
      <c r="V15" s="17"/>
      <c r="AK15" s="17"/>
    </row>
    <row r="16" spans="1:37" ht="26.25">
      <c r="D16" s="15">
        <f t="shared" ca="1" si="4"/>
        <v>0</v>
      </c>
      <c r="E16" s="16" t="e">
        <f t="shared" ca="1" si="0"/>
        <v>#DIV/0!</v>
      </c>
      <c r="F16" s="16" t="e">
        <f t="shared" ca="1" si="1"/>
        <v>#DIV/0!</v>
      </c>
      <c r="G16" s="16" t="e">
        <f t="shared" ca="1" si="2"/>
        <v>#DIV/0!</v>
      </c>
      <c r="H16" s="15" t="e">
        <f t="shared" ca="1" si="3"/>
        <v>#DIV/0!</v>
      </c>
      <c r="J16" s="18"/>
      <c r="K16" s="18"/>
      <c r="L16" s="18"/>
      <c r="M16" s="18"/>
      <c r="N16" s="18"/>
      <c r="O16" s="18"/>
      <c r="P16" s="18"/>
      <c r="Q16" s="17"/>
      <c r="R16" s="17"/>
      <c r="V16" s="17"/>
      <c r="AK16" s="17"/>
    </row>
    <row r="17" spans="4:37" ht="11.25">
      <c r="D17" s="15">
        <f t="shared" ca="1" si="4"/>
        <v>0</v>
      </c>
      <c r="E17" s="16" t="e">
        <f t="shared" ca="1" si="0"/>
        <v>#DIV/0!</v>
      </c>
      <c r="F17" s="16" t="e">
        <f t="shared" ca="1" si="1"/>
        <v>#DIV/0!</v>
      </c>
      <c r="G17" s="16" t="e">
        <f t="shared" ca="1" si="2"/>
        <v>#DIV/0!</v>
      </c>
      <c r="H17" s="15" t="e">
        <f t="shared" ca="1" si="3"/>
        <v>#DIV/0!</v>
      </c>
      <c r="Q17" s="17"/>
      <c r="R17" s="17"/>
      <c r="S17" s="17"/>
      <c r="T17" s="17"/>
      <c r="U17" s="17"/>
      <c r="V17" s="17"/>
      <c r="AK17" s="17"/>
    </row>
    <row r="18" spans="4:37" ht="11.25">
      <c r="D18" s="15">
        <f t="shared" ca="1" si="4"/>
        <v>0</v>
      </c>
      <c r="E18" s="16" t="e">
        <f t="shared" ca="1" si="0"/>
        <v>#DIV/0!</v>
      </c>
      <c r="F18" s="16" t="e">
        <f t="shared" ca="1" si="1"/>
        <v>#DIV/0!</v>
      </c>
      <c r="G18" s="16" t="e">
        <f t="shared" ca="1" si="2"/>
        <v>#DIV/0!</v>
      </c>
      <c r="H18" s="15" t="e">
        <f t="shared" ca="1" si="3"/>
        <v>#DIV/0!</v>
      </c>
      <c r="Q18" s="17"/>
      <c r="R18" s="17"/>
      <c r="S18" s="17"/>
      <c r="T18" s="17"/>
      <c r="U18" s="17"/>
      <c r="V18" s="17"/>
      <c r="AK18" s="17"/>
    </row>
    <row r="19" spans="4:37" ht="11.25">
      <c r="D19" s="15">
        <f t="shared" ca="1" si="4"/>
        <v>0</v>
      </c>
      <c r="E19" s="16" t="e">
        <f t="shared" ca="1" si="0"/>
        <v>#DIV/0!</v>
      </c>
      <c r="F19" s="16" t="e">
        <f t="shared" ca="1" si="1"/>
        <v>#DIV/0!</v>
      </c>
      <c r="G19" s="16" t="e">
        <f t="shared" ca="1" si="2"/>
        <v>#DIV/0!</v>
      </c>
      <c r="H19" s="15" t="e">
        <f t="shared" ca="1" si="3"/>
        <v>#DIV/0!</v>
      </c>
      <c r="Q19" s="17"/>
      <c r="R19" s="17"/>
      <c r="S19" s="17"/>
      <c r="T19" s="17"/>
      <c r="U19" s="17"/>
      <c r="V19" s="17"/>
      <c r="W19" s="17"/>
      <c r="X19" s="17"/>
      <c r="AB19" s="17"/>
      <c r="AC19" s="17"/>
      <c r="AD19" s="17"/>
      <c r="AE19" s="17"/>
      <c r="AF19" s="17"/>
      <c r="AG19" s="17"/>
      <c r="AH19" s="17"/>
      <c r="AI19" s="17"/>
      <c r="AJ19" s="17"/>
      <c r="AK19" s="17"/>
    </row>
    <row r="20" spans="4:37" ht="11.25">
      <c r="D20" s="15">
        <f t="shared" ca="1" si="4"/>
        <v>0</v>
      </c>
      <c r="E20" s="16" t="e">
        <f t="shared" ca="1" si="0"/>
        <v>#DIV/0!</v>
      </c>
      <c r="F20" s="16" t="e">
        <f t="shared" ca="1" si="1"/>
        <v>#DIV/0!</v>
      </c>
      <c r="G20" s="16" t="e">
        <f t="shared" ca="1" si="2"/>
        <v>#DIV/0!</v>
      </c>
      <c r="H20" s="15" t="e">
        <f t="shared" ca="1" si="3"/>
        <v>#DIV/0!</v>
      </c>
      <c r="Q20" s="17"/>
      <c r="R20" s="17"/>
      <c r="S20" s="17"/>
      <c r="T20" s="17"/>
      <c r="U20" s="17"/>
      <c r="V20" s="17"/>
      <c r="W20" s="17"/>
      <c r="X20" s="17"/>
      <c r="AB20" s="17"/>
      <c r="AC20" s="17"/>
      <c r="AD20" s="17"/>
      <c r="AE20" s="17"/>
      <c r="AF20" s="17"/>
      <c r="AG20" s="17"/>
      <c r="AH20" s="17"/>
      <c r="AI20" s="17"/>
      <c r="AJ20" s="17"/>
      <c r="AK20" s="17"/>
    </row>
    <row r="21" spans="4:37" ht="11.25">
      <c r="D21" s="15">
        <f t="shared" ca="1" si="4"/>
        <v>0</v>
      </c>
      <c r="E21" s="16" t="e">
        <f t="shared" ca="1" si="0"/>
        <v>#DIV/0!</v>
      </c>
      <c r="F21" s="16" t="e">
        <f t="shared" ca="1" si="1"/>
        <v>#DIV/0!</v>
      </c>
      <c r="G21" s="16" t="e">
        <f t="shared" ca="1" si="2"/>
        <v>#DIV/0!</v>
      </c>
      <c r="H21" s="15" t="e">
        <f t="shared" ca="1" si="3"/>
        <v>#DIV/0!</v>
      </c>
      <c r="L21" s="15" t="s">
        <v>187</v>
      </c>
      <c r="Q21" s="17"/>
      <c r="R21" s="17"/>
      <c r="S21" s="17"/>
      <c r="T21" s="17"/>
      <c r="U21" s="17"/>
      <c r="V21" s="17"/>
      <c r="W21" s="17"/>
      <c r="X21" s="17"/>
      <c r="AB21" s="17"/>
      <c r="AC21" s="17"/>
      <c r="AD21" s="17"/>
      <c r="AE21" s="17"/>
      <c r="AF21" s="17"/>
      <c r="AG21" s="17"/>
      <c r="AH21" s="17"/>
      <c r="AI21" s="17"/>
      <c r="AJ21" s="17"/>
      <c r="AK21" s="17"/>
    </row>
    <row r="22" spans="4:37" ht="11.25">
      <c r="D22" s="15">
        <f t="shared" ca="1" si="4"/>
        <v>0</v>
      </c>
      <c r="E22" s="16" t="e">
        <f t="shared" ca="1" si="0"/>
        <v>#DIV/0!</v>
      </c>
      <c r="F22" s="16" t="e">
        <f t="shared" ca="1" si="1"/>
        <v>#DIV/0!</v>
      </c>
      <c r="G22" s="16" t="e">
        <f t="shared" ca="1" si="2"/>
        <v>#DIV/0!</v>
      </c>
      <c r="H22" s="15" t="e">
        <f t="shared" ca="1" si="3"/>
        <v>#DIV/0!</v>
      </c>
      <c r="Q22" s="17"/>
      <c r="R22" s="17"/>
      <c r="S22" s="17"/>
      <c r="T22" s="17"/>
      <c r="U22" s="17"/>
      <c r="V22" s="17"/>
      <c r="W22" s="17"/>
      <c r="X22" s="17"/>
      <c r="Y22" s="17"/>
      <c r="Z22" s="17"/>
      <c r="AA22" s="17"/>
      <c r="AB22" s="17"/>
      <c r="AC22" s="17"/>
      <c r="AD22" s="17"/>
      <c r="AE22" s="17"/>
      <c r="AF22" s="17"/>
      <c r="AG22" s="17"/>
      <c r="AH22" s="17"/>
      <c r="AI22" s="17"/>
      <c r="AJ22" s="17"/>
      <c r="AK22" s="17"/>
    </row>
    <row r="23" spans="4:37" ht="11.25">
      <c r="D23" s="15">
        <f t="shared" ca="1" si="4"/>
        <v>0</v>
      </c>
      <c r="E23" s="16" t="e">
        <f t="shared" ca="1" si="0"/>
        <v>#DIV/0!</v>
      </c>
      <c r="F23" s="16" t="e">
        <f t="shared" ca="1" si="1"/>
        <v>#DIV/0!</v>
      </c>
      <c r="G23" s="16" t="e">
        <f t="shared" ca="1" si="2"/>
        <v>#DIV/0!</v>
      </c>
      <c r="H23" s="15" t="e">
        <f t="shared" ca="1" si="3"/>
        <v>#DIV/0!</v>
      </c>
      <c r="Q23" s="17"/>
      <c r="R23" s="17"/>
      <c r="S23" s="17"/>
      <c r="T23" s="17"/>
      <c r="U23" s="17"/>
      <c r="V23" s="17"/>
      <c r="W23" s="17"/>
      <c r="X23" s="17"/>
      <c r="Y23" s="17"/>
      <c r="Z23" s="17"/>
      <c r="AA23" s="17"/>
      <c r="AB23" s="17"/>
      <c r="AC23" s="17"/>
      <c r="AD23" s="17"/>
      <c r="AE23" s="17"/>
      <c r="AF23" s="17"/>
      <c r="AG23" s="17"/>
      <c r="AH23" s="17"/>
      <c r="AI23" s="17"/>
      <c r="AJ23" s="17"/>
      <c r="AK23" s="17"/>
    </row>
    <row r="24" spans="4:37" ht="11.25">
      <c r="D24" s="15">
        <f t="shared" ca="1" si="4"/>
        <v>0</v>
      </c>
      <c r="E24" s="16" t="e">
        <f t="shared" ca="1" si="0"/>
        <v>#DIV/0!</v>
      </c>
      <c r="F24" s="16" t="e">
        <f t="shared" ca="1" si="1"/>
        <v>#DIV/0!</v>
      </c>
      <c r="G24" s="16" t="e">
        <f t="shared" ca="1" si="2"/>
        <v>#DIV/0!</v>
      </c>
      <c r="H24" s="15" t="e">
        <f t="shared" ca="1" si="3"/>
        <v>#DIV/0!</v>
      </c>
      <c r="Q24" s="17"/>
      <c r="R24" s="17"/>
      <c r="S24" s="17"/>
      <c r="T24" s="17"/>
      <c r="U24" s="17"/>
      <c r="V24" s="17"/>
      <c r="W24" s="17"/>
      <c r="X24" s="17"/>
      <c r="Y24" s="17"/>
      <c r="Z24" s="17"/>
      <c r="AA24" s="17"/>
      <c r="AB24" s="17"/>
      <c r="AC24" s="17"/>
      <c r="AD24" s="17"/>
      <c r="AE24" s="17"/>
      <c r="AF24" s="17"/>
      <c r="AG24" s="17"/>
      <c r="AH24" s="17"/>
      <c r="AI24" s="17"/>
      <c r="AJ24" s="17"/>
      <c r="AK24" s="17"/>
    </row>
    <row r="25" spans="4:37" ht="11.25">
      <c r="D25" s="15">
        <f t="shared" ca="1" si="4"/>
        <v>0</v>
      </c>
      <c r="E25" s="16" t="e">
        <f t="shared" ca="1" si="0"/>
        <v>#DIV/0!</v>
      </c>
      <c r="F25" s="16" t="e">
        <f t="shared" ca="1" si="1"/>
        <v>#DIV/0!</v>
      </c>
      <c r="G25" s="16" t="e">
        <f t="shared" ca="1" si="2"/>
        <v>#DIV/0!</v>
      </c>
      <c r="H25" s="15" t="e">
        <f t="shared" ca="1" si="3"/>
        <v>#DIV/0!</v>
      </c>
      <c r="Q25" s="17"/>
      <c r="R25" s="17"/>
      <c r="S25" s="17"/>
      <c r="T25" s="17"/>
      <c r="U25" s="17"/>
      <c r="V25" s="17"/>
      <c r="W25" s="17"/>
      <c r="X25" s="17"/>
      <c r="Y25" s="17"/>
      <c r="Z25" s="17"/>
      <c r="AA25" s="17"/>
      <c r="AB25" s="17"/>
      <c r="AC25" s="17"/>
      <c r="AD25" s="17"/>
      <c r="AE25" s="17"/>
      <c r="AF25" s="17"/>
      <c r="AG25" s="17"/>
      <c r="AH25" s="17"/>
      <c r="AI25" s="17"/>
      <c r="AJ25" s="17"/>
      <c r="AK25" s="17"/>
    </row>
    <row r="26" spans="4:37" ht="11.25">
      <c r="D26" s="15">
        <f t="shared" ca="1" si="4"/>
        <v>0</v>
      </c>
      <c r="E26" s="16" t="e">
        <f t="shared" ca="1" si="0"/>
        <v>#DIV/0!</v>
      </c>
      <c r="F26" s="16" t="e">
        <f t="shared" ca="1" si="1"/>
        <v>#DIV/0!</v>
      </c>
      <c r="G26" s="16" t="e">
        <f t="shared" ca="1" si="2"/>
        <v>#DIV/0!</v>
      </c>
      <c r="H26" s="15" t="e">
        <f t="shared" ca="1" si="3"/>
        <v>#DIV/0!</v>
      </c>
      <c r="Q26" s="17"/>
      <c r="R26" s="17"/>
      <c r="S26" s="17"/>
      <c r="T26" s="17"/>
      <c r="U26" s="17"/>
      <c r="V26" s="17"/>
      <c r="W26" s="17"/>
      <c r="X26" s="17"/>
      <c r="Y26" s="17"/>
      <c r="Z26" s="17"/>
      <c r="AA26" s="17"/>
      <c r="AB26" s="17"/>
      <c r="AC26" s="17"/>
      <c r="AD26" s="17"/>
      <c r="AE26" s="17"/>
      <c r="AF26" s="17"/>
      <c r="AG26" s="17"/>
      <c r="AH26" s="17"/>
      <c r="AI26" s="17"/>
      <c r="AJ26" s="17"/>
      <c r="AK26" s="17"/>
    </row>
    <row r="27" spans="4:37" ht="11.25">
      <c r="D27" s="15">
        <f t="shared" ca="1" si="4"/>
        <v>0</v>
      </c>
      <c r="E27" s="16" t="e">
        <f t="shared" ca="1" si="0"/>
        <v>#DIV/0!</v>
      </c>
      <c r="F27" s="16" t="e">
        <f t="shared" ca="1" si="1"/>
        <v>#DIV/0!</v>
      </c>
      <c r="G27" s="16" t="e">
        <f t="shared" ca="1" si="2"/>
        <v>#DIV/0!</v>
      </c>
      <c r="H27" s="15" t="e">
        <f t="shared" ca="1" si="3"/>
        <v>#DIV/0!</v>
      </c>
      <c r="Q27" s="17"/>
      <c r="R27" s="17"/>
      <c r="S27" s="17"/>
      <c r="T27" s="17"/>
      <c r="U27" s="17"/>
      <c r="V27" s="17"/>
      <c r="W27" s="17"/>
      <c r="X27" s="17"/>
      <c r="Y27" s="17"/>
      <c r="Z27" s="17"/>
      <c r="AA27" s="17"/>
      <c r="AB27" s="17"/>
      <c r="AC27" s="17"/>
      <c r="AD27" s="17"/>
      <c r="AE27" s="17"/>
      <c r="AF27" s="17"/>
      <c r="AG27" s="17"/>
      <c r="AH27" s="17"/>
      <c r="AI27" s="17"/>
      <c r="AJ27" s="17"/>
      <c r="AK27" s="17"/>
    </row>
    <row r="28" spans="4:37" ht="11.25">
      <c r="D28" s="15">
        <f t="shared" ca="1" si="4"/>
        <v>0</v>
      </c>
      <c r="E28" s="16" t="e">
        <f t="shared" ca="1" si="0"/>
        <v>#DIV/0!</v>
      </c>
      <c r="F28" s="16" t="e">
        <f t="shared" ca="1" si="1"/>
        <v>#DIV/0!</v>
      </c>
      <c r="G28" s="16" t="e">
        <f t="shared" ca="1" si="2"/>
        <v>#DIV/0!</v>
      </c>
      <c r="H28" s="15" t="e">
        <f t="shared" ca="1" si="3"/>
        <v>#DIV/0!</v>
      </c>
    </row>
    <row r="29" spans="4:37" ht="11.25">
      <c r="D29" s="15">
        <f t="shared" ca="1" si="4"/>
        <v>0</v>
      </c>
      <c r="E29" s="16" t="e">
        <f t="shared" ca="1" si="0"/>
        <v>#DIV/0!</v>
      </c>
      <c r="F29" s="16" t="e">
        <f t="shared" ca="1" si="1"/>
        <v>#DIV/0!</v>
      </c>
      <c r="G29" s="16" t="e">
        <f t="shared" ca="1" si="2"/>
        <v>#DIV/0!</v>
      </c>
      <c r="H29" s="15" t="e">
        <f t="shared" ca="1" si="3"/>
        <v>#DIV/0!</v>
      </c>
    </row>
    <row r="30" spans="4:37" ht="11.25">
      <c r="D30" s="15">
        <f t="shared" ca="1" si="4"/>
        <v>0</v>
      </c>
      <c r="E30" s="16" t="e">
        <f t="shared" ca="1" si="0"/>
        <v>#DIV/0!</v>
      </c>
      <c r="F30" s="16" t="e">
        <f t="shared" ca="1" si="1"/>
        <v>#DIV/0!</v>
      </c>
      <c r="G30" s="16" t="e">
        <f t="shared" ca="1" si="2"/>
        <v>#DIV/0!</v>
      </c>
      <c r="H30" s="15" t="e">
        <f t="shared" ca="1" si="3"/>
        <v>#DIV/0!</v>
      </c>
    </row>
    <row r="31" spans="4:37" ht="11.25">
      <c r="D31" s="15">
        <f t="shared" ca="1" si="4"/>
        <v>0</v>
      </c>
      <c r="E31" s="16" t="e">
        <f t="shared" ca="1" si="0"/>
        <v>#DIV/0!</v>
      </c>
      <c r="F31" s="16" t="e">
        <f t="shared" ca="1" si="1"/>
        <v>#DIV/0!</v>
      </c>
      <c r="G31" s="16" t="e">
        <f t="shared" ca="1" si="2"/>
        <v>#DIV/0!</v>
      </c>
      <c r="H31" s="15" t="e">
        <f t="shared" ca="1" si="3"/>
        <v>#DIV/0!</v>
      </c>
    </row>
    <row r="32" spans="4:37" ht="11.25">
      <c r="D32" s="15">
        <f t="shared" ca="1" si="4"/>
        <v>0</v>
      </c>
      <c r="E32" s="16" t="e">
        <f t="shared" ca="1" si="0"/>
        <v>#DIV/0!</v>
      </c>
      <c r="F32" s="16" t="e">
        <f t="shared" ca="1" si="1"/>
        <v>#DIV/0!</v>
      </c>
      <c r="G32" s="16" t="e">
        <f t="shared" ca="1" si="2"/>
        <v>#DIV/0!</v>
      </c>
      <c r="H32" s="15" t="e">
        <f t="shared" ca="1" si="3"/>
        <v>#DIV/0!</v>
      </c>
    </row>
    <row r="33" spans="4:8" ht="11.25">
      <c r="D33" s="15">
        <f t="shared" ca="1" si="4"/>
        <v>0</v>
      </c>
      <c r="E33" s="16" t="e">
        <f t="shared" ca="1" si="0"/>
        <v>#DIV/0!</v>
      </c>
      <c r="F33" s="16" t="e">
        <f t="shared" ca="1" si="1"/>
        <v>#DIV/0!</v>
      </c>
      <c r="G33" s="16" t="e">
        <f t="shared" ca="1" si="2"/>
        <v>#DIV/0!</v>
      </c>
      <c r="H33" s="15" t="e">
        <f t="shared" ca="1" si="3"/>
        <v>#DIV/0!</v>
      </c>
    </row>
    <row r="34" spans="4:8" ht="11.25">
      <c r="D34" s="15">
        <f t="shared" ca="1" si="4"/>
        <v>0</v>
      </c>
      <c r="E34" s="16" t="e">
        <f t="shared" ca="1" si="0"/>
        <v>#DIV/0!</v>
      </c>
      <c r="F34" s="16" t="e">
        <f t="shared" ca="1" si="1"/>
        <v>#DIV/0!</v>
      </c>
      <c r="G34" s="16" t="e">
        <f t="shared" ca="1" si="2"/>
        <v>#DIV/0!</v>
      </c>
      <c r="H34" s="15" t="e">
        <f t="shared" ca="1" si="3"/>
        <v>#DIV/0!</v>
      </c>
    </row>
    <row r="35" spans="4:8" ht="11.25">
      <c r="D35" s="15">
        <f t="shared" ca="1" si="4"/>
        <v>0</v>
      </c>
      <c r="E35" s="16" t="e">
        <f t="shared" ca="1" si="0"/>
        <v>#DIV/0!</v>
      </c>
      <c r="F35" s="16" t="e">
        <f t="shared" ca="1" si="1"/>
        <v>#DIV/0!</v>
      </c>
      <c r="G35" s="16" t="e">
        <f t="shared" ca="1" si="2"/>
        <v>#DIV/0!</v>
      </c>
      <c r="H35" s="15" t="e">
        <f t="shared" ca="1" si="3"/>
        <v>#DIV/0!</v>
      </c>
    </row>
    <row r="36" spans="4:8" ht="11.25">
      <c r="D36" s="15">
        <f t="shared" ca="1" si="4"/>
        <v>0</v>
      </c>
      <c r="E36" s="16" t="e">
        <f t="shared" ca="1" si="0"/>
        <v>#DIV/0!</v>
      </c>
      <c r="F36" s="16" t="e">
        <f t="shared" ca="1" si="1"/>
        <v>#DIV/0!</v>
      </c>
      <c r="G36" s="16" t="e">
        <f t="shared" ca="1" si="2"/>
        <v>#DIV/0!</v>
      </c>
      <c r="H36" s="15" t="e">
        <f t="shared" ca="1" si="3"/>
        <v>#DIV/0!</v>
      </c>
    </row>
    <row r="37" spans="4:8" ht="11.25">
      <c r="D37" s="15">
        <f t="shared" ca="1" si="4"/>
        <v>0</v>
      </c>
      <c r="E37" s="16" t="e">
        <f t="shared" ca="1" si="0"/>
        <v>#DIV/0!</v>
      </c>
      <c r="F37" s="16" t="e">
        <f t="shared" ca="1" si="1"/>
        <v>#DIV/0!</v>
      </c>
      <c r="G37" s="16" t="e">
        <f t="shared" ca="1" si="2"/>
        <v>#DIV/0!</v>
      </c>
      <c r="H37" s="15" t="e">
        <f t="shared" ca="1" si="3"/>
        <v>#DIV/0!</v>
      </c>
    </row>
    <row r="38" spans="4:8" ht="11.25">
      <c r="D38" s="15">
        <f t="shared" ca="1" si="4"/>
        <v>0</v>
      </c>
      <c r="E38" s="16" t="e">
        <f t="shared" ca="1" si="0"/>
        <v>#DIV/0!</v>
      </c>
      <c r="F38" s="16" t="e">
        <f t="shared" ca="1" si="1"/>
        <v>#DIV/0!</v>
      </c>
      <c r="G38" s="16" t="e">
        <f t="shared" ca="1" si="2"/>
        <v>#DIV/0!</v>
      </c>
      <c r="H38" s="15" t="e">
        <f t="shared" ca="1" si="3"/>
        <v>#DIV/0!</v>
      </c>
    </row>
    <row r="39" spans="4:8" ht="11.25">
      <c r="D39" s="15">
        <f t="shared" ca="1" si="4"/>
        <v>0</v>
      </c>
      <c r="E39" s="16" t="e">
        <f t="shared" ca="1" si="0"/>
        <v>#DIV/0!</v>
      </c>
      <c r="F39" s="16" t="e">
        <f t="shared" ca="1" si="1"/>
        <v>#DIV/0!</v>
      </c>
      <c r="G39" s="16" t="e">
        <f t="shared" ca="1" si="2"/>
        <v>#DIV/0!</v>
      </c>
      <c r="H39" s="15" t="e">
        <f t="shared" ca="1" si="3"/>
        <v>#DIV/0!</v>
      </c>
    </row>
    <row r="40" spans="4:8" ht="11.25">
      <c r="D40" s="15">
        <f t="shared" ca="1" si="4"/>
        <v>0</v>
      </c>
      <c r="E40" s="16" t="e">
        <f t="shared" ca="1" si="0"/>
        <v>#DIV/0!</v>
      </c>
      <c r="F40" s="16" t="e">
        <f t="shared" ca="1" si="1"/>
        <v>#DIV/0!</v>
      </c>
      <c r="G40" s="16" t="e">
        <f t="shared" ca="1" si="2"/>
        <v>#DIV/0!</v>
      </c>
      <c r="H40" s="15" t="e">
        <f t="shared" ca="1" si="3"/>
        <v>#DIV/0!</v>
      </c>
    </row>
    <row r="41" spans="4:8" ht="11.25">
      <c r="D41" s="15">
        <f t="shared" ca="1" si="4"/>
        <v>0</v>
      </c>
      <c r="E41" s="16" t="e">
        <f t="shared" ca="1" si="0"/>
        <v>#DIV/0!</v>
      </c>
      <c r="F41" s="16" t="e">
        <f t="shared" ca="1" si="1"/>
        <v>#DIV/0!</v>
      </c>
      <c r="G41" s="16" t="e">
        <f t="shared" ca="1" si="2"/>
        <v>#DIV/0!</v>
      </c>
      <c r="H41" s="15" t="e">
        <f t="shared" ca="1" si="3"/>
        <v>#DIV/0!</v>
      </c>
    </row>
    <row r="42" spans="4:8" ht="11.25">
      <c r="D42" s="15">
        <f t="shared" ca="1" si="4"/>
        <v>0</v>
      </c>
      <c r="E42" s="16" t="e">
        <f t="shared" ca="1" si="0"/>
        <v>#DIV/0!</v>
      </c>
      <c r="F42" s="16" t="e">
        <f t="shared" ca="1" si="1"/>
        <v>#DIV/0!</v>
      </c>
      <c r="G42" s="16" t="e">
        <f t="shared" ca="1" si="2"/>
        <v>#DIV/0!</v>
      </c>
      <c r="H42" s="15" t="e">
        <f t="shared" ca="1" si="3"/>
        <v>#DIV/0!</v>
      </c>
    </row>
    <row r="43" spans="4:8" ht="11.25">
      <c r="D43" s="15">
        <f t="shared" ca="1" si="4"/>
        <v>0</v>
      </c>
      <c r="E43" s="16" t="e">
        <f t="shared" ca="1" si="0"/>
        <v>#DIV/0!</v>
      </c>
      <c r="F43" s="16" t="e">
        <f t="shared" ca="1" si="1"/>
        <v>#DIV/0!</v>
      </c>
      <c r="G43" s="16" t="e">
        <f t="shared" ca="1" si="2"/>
        <v>#DIV/0!</v>
      </c>
      <c r="H43" s="15" t="e">
        <f t="shared" ca="1" si="3"/>
        <v>#DIV/0!</v>
      </c>
    </row>
    <row r="44" spans="4:8" ht="11.25">
      <c r="D44" s="15">
        <f t="shared" ca="1" si="4"/>
        <v>0</v>
      </c>
      <c r="E44" s="16" t="e">
        <f t="shared" ca="1" si="0"/>
        <v>#DIV/0!</v>
      </c>
      <c r="F44" s="16" t="e">
        <f t="shared" ca="1" si="1"/>
        <v>#DIV/0!</v>
      </c>
      <c r="G44" s="16" t="e">
        <f t="shared" ca="1" si="2"/>
        <v>#DIV/0!</v>
      </c>
      <c r="H44" s="15" t="e">
        <f t="shared" ca="1" si="3"/>
        <v>#DIV/0!</v>
      </c>
    </row>
    <row r="45" spans="4:8" ht="11.25">
      <c r="D45" s="15">
        <f t="shared" ca="1" si="4"/>
        <v>0</v>
      </c>
      <c r="E45" s="16" t="e">
        <f t="shared" ca="1" si="0"/>
        <v>#DIV/0!</v>
      </c>
      <c r="F45" s="16" t="e">
        <f t="shared" ca="1" si="1"/>
        <v>#DIV/0!</v>
      </c>
      <c r="G45" s="16" t="e">
        <f t="shared" ca="1" si="2"/>
        <v>#DIV/0!</v>
      </c>
      <c r="H45" s="15" t="e">
        <f t="shared" ca="1" si="3"/>
        <v>#DIV/0!</v>
      </c>
    </row>
    <row r="46" spans="4:8" ht="11.25">
      <c r="D46" s="15">
        <f t="shared" ca="1" si="4"/>
        <v>0</v>
      </c>
      <c r="E46" s="16" t="e">
        <f t="shared" ca="1" si="0"/>
        <v>#DIV/0!</v>
      </c>
      <c r="F46" s="16" t="e">
        <f t="shared" ca="1" si="1"/>
        <v>#DIV/0!</v>
      </c>
      <c r="G46" s="16" t="e">
        <f t="shared" ca="1" si="2"/>
        <v>#DIV/0!</v>
      </c>
      <c r="H46" s="15" t="e">
        <f t="shared" ca="1" si="3"/>
        <v>#DIV/0!</v>
      </c>
    </row>
    <row r="47" spans="4:8" ht="11.25">
      <c r="D47" s="15">
        <f t="shared" ca="1" si="4"/>
        <v>0</v>
      </c>
      <c r="E47" s="16" t="e">
        <f t="shared" ca="1" si="0"/>
        <v>#DIV/0!</v>
      </c>
      <c r="F47" s="16" t="e">
        <f t="shared" ca="1" si="1"/>
        <v>#DIV/0!</v>
      </c>
      <c r="G47" s="16" t="e">
        <f t="shared" ca="1" si="2"/>
        <v>#DIV/0!</v>
      </c>
      <c r="H47" s="15" t="e">
        <f t="shared" ca="1" si="3"/>
        <v>#DIV/0!</v>
      </c>
    </row>
    <row r="48" spans="4:8" ht="11.25">
      <c r="D48" s="15">
        <f t="shared" ca="1" si="4"/>
        <v>0</v>
      </c>
      <c r="E48" s="16" t="e">
        <f t="shared" ca="1" si="0"/>
        <v>#DIV/0!</v>
      </c>
      <c r="F48" s="16" t="e">
        <f t="shared" ca="1" si="1"/>
        <v>#DIV/0!</v>
      </c>
      <c r="G48" s="16" t="e">
        <f t="shared" ca="1" si="2"/>
        <v>#DIV/0!</v>
      </c>
      <c r="H48" s="15" t="e">
        <f t="shared" ca="1" si="3"/>
        <v>#DIV/0!</v>
      </c>
    </row>
    <row r="49" spans="4:8" ht="11.25">
      <c r="D49" s="15">
        <f t="shared" ca="1" si="4"/>
        <v>0</v>
      </c>
      <c r="E49" s="16" t="e">
        <f t="shared" ca="1" si="0"/>
        <v>#DIV/0!</v>
      </c>
      <c r="F49" s="16" t="e">
        <f t="shared" ca="1" si="1"/>
        <v>#DIV/0!</v>
      </c>
      <c r="G49" s="16" t="e">
        <f t="shared" ca="1" si="2"/>
        <v>#DIV/0!</v>
      </c>
      <c r="H49" s="15" t="e">
        <f t="shared" ca="1" si="3"/>
        <v>#DIV/0!</v>
      </c>
    </row>
    <row r="50" spans="4:8" ht="11.25">
      <c r="D50" s="15">
        <f t="shared" ca="1" si="4"/>
        <v>0</v>
      </c>
      <c r="E50" s="16" t="e">
        <f t="shared" ca="1" si="0"/>
        <v>#DIV/0!</v>
      </c>
      <c r="F50" s="16" t="e">
        <f t="shared" ca="1" si="1"/>
        <v>#DIV/0!</v>
      </c>
      <c r="G50" s="16" t="e">
        <f t="shared" ca="1" si="2"/>
        <v>#DIV/0!</v>
      </c>
      <c r="H50" s="15" t="e">
        <f t="shared" ca="1" si="3"/>
        <v>#DIV/0!</v>
      </c>
    </row>
    <row r="51" spans="4:8" ht="11.25">
      <c r="D51" s="15">
        <f t="shared" ca="1" si="4"/>
        <v>0</v>
      </c>
      <c r="E51" s="16" t="e">
        <f t="shared" ca="1" si="0"/>
        <v>#DIV/0!</v>
      </c>
      <c r="F51" s="16" t="e">
        <f t="shared" ca="1" si="1"/>
        <v>#DIV/0!</v>
      </c>
      <c r="G51" s="16" t="e">
        <f t="shared" ca="1" si="2"/>
        <v>#DIV/0!</v>
      </c>
      <c r="H51" s="15" t="e">
        <f t="shared" ca="1" si="3"/>
        <v>#DIV/0!</v>
      </c>
    </row>
    <row r="52" spans="4:8" ht="11.25">
      <c r="D52" s="15">
        <f t="shared" ca="1" si="4"/>
        <v>0</v>
      </c>
      <c r="E52" s="16" t="e">
        <f t="shared" ca="1" si="0"/>
        <v>#DIV/0!</v>
      </c>
      <c r="F52" s="16" t="e">
        <f t="shared" ca="1" si="1"/>
        <v>#DIV/0!</v>
      </c>
      <c r="G52" s="16" t="e">
        <f t="shared" ca="1" si="2"/>
        <v>#DIV/0!</v>
      </c>
      <c r="H52" s="15" t="e">
        <f t="shared" ca="1" si="3"/>
        <v>#DIV/0!</v>
      </c>
    </row>
    <row r="53" spans="4:8" ht="11.25">
      <c r="D53" s="15">
        <f t="shared" ca="1" si="4"/>
        <v>0</v>
      </c>
      <c r="E53" s="16" t="e">
        <f t="shared" ca="1" si="0"/>
        <v>#DIV/0!</v>
      </c>
      <c r="F53" s="16" t="e">
        <f t="shared" ca="1" si="1"/>
        <v>#DIV/0!</v>
      </c>
      <c r="G53" s="16" t="e">
        <f t="shared" ca="1" si="2"/>
        <v>#DIV/0!</v>
      </c>
      <c r="H53" s="15" t="e">
        <f t="shared" ca="1" si="3"/>
        <v>#DIV/0!</v>
      </c>
    </row>
    <row r="54" spans="4:8" ht="11.25">
      <c r="D54" s="15">
        <f t="shared" ca="1" si="4"/>
        <v>0</v>
      </c>
      <c r="E54" s="16" t="e">
        <f t="shared" ca="1" si="0"/>
        <v>#DIV/0!</v>
      </c>
      <c r="F54" s="16" t="e">
        <f t="shared" ca="1" si="1"/>
        <v>#DIV/0!</v>
      </c>
      <c r="G54" s="16" t="e">
        <f t="shared" ca="1" si="2"/>
        <v>#DIV/0!</v>
      </c>
      <c r="H54" s="15" t="e">
        <f t="shared" ca="1" si="3"/>
        <v>#DIV/0!</v>
      </c>
    </row>
    <row r="55" spans="4:8" ht="11.25">
      <c r="D55" s="15">
        <f t="shared" ca="1" si="4"/>
        <v>0</v>
      </c>
      <c r="E55" s="16" t="e">
        <f t="shared" ca="1" si="0"/>
        <v>#DIV/0!</v>
      </c>
      <c r="F55" s="16" t="e">
        <f t="shared" ca="1" si="1"/>
        <v>#DIV/0!</v>
      </c>
      <c r="G55" s="16" t="e">
        <f t="shared" ca="1" si="2"/>
        <v>#DIV/0!</v>
      </c>
      <c r="H55" s="15" t="e">
        <f t="shared" ca="1" si="3"/>
        <v>#DIV/0!</v>
      </c>
    </row>
    <row r="56" spans="4:8" ht="11.25">
      <c r="D56" s="15">
        <f t="shared" ca="1" si="4"/>
        <v>0</v>
      </c>
      <c r="E56" s="16" t="e">
        <f t="shared" ca="1" si="0"/>
        <v>#DIV/0!</v>
      </c>
      <c r="F56" s="16" t="e">
        <f t="shared" ca="1" si="1"/>
        <v>#DIV/0!</v>
      </c>
      <c r="G56" s="16" t="e">
        <f t="shared" ca="1" si="2"/>
        <v>#DIV/0!</v>
      </c>
      <c r="H56" s="15" t="e">
        <f t="shared" ca="1" si="3"/>
        <v>#DIV/0!</v>
      </c>
    </row>
    <row r="57" spans="4:8" ht="11.25">
      <c r="D57" s="15">
        <f t="shared" ca="1" si="4"/>
        <v>0</v>
      </c>
      <c r="E57" s="16" t="e">
        <f t="shared" ca="1" si="0"/>
        <v>#DIV/0!</v>
      </c>
      <c r="F57" s="16" t="e">
        <f t="shared" ca="1" si="1"/>
        <v>#DIV/0!</v>
      </c>
      <c r="G57" s="16" t="e">
        <f t="shared" ca="1" si="2"/>
        <v>#DIV/0!</v>
      </c>
      <c r="H57" s="15" t="e">
        <f t="shared" ca="1" si="3"/>
        <v>#DIV/0!</v>
      </c>
    </row>
    <row r="58" spans="4:8" ht="11.25">
      <c r="D58" s="15">
        <f t="shared" ca="1" si="4"/>
        <v>0</v>
      </c>
      <c r="E58" s="16" t="e">
        <f t="shared" ca="1" si="0"/>
        <v>#DIV/0!</v>
      </c>
      <c r="F58" s="16" t="e">
        <f t="shared" ca="1" si="1"/>
        <v>#DIV/0!</v>
      </c>
      <c r="G58" s="16" t="e">
        <f t="shared" ca="1" si="2"/>
        <v>#DIV/0!</v>
      </c>
      <c r="H58" s="15" t="e">
        <f t="shared" ca="1" si="3"/>
        <v>#DIV/0!</v>
      </c>
    </row>
    <row r="59" spans="4:8" ht="11.25">
      <c r="D59" s="15">
        <f t="shared" ca="1" si="4"/>
        <v>0</v>
      </c>
      <c r="E59" s="16" t="e">
        <f t="shared" ca="1" si="0"/>
        <v>#DIV/0!</v>
      </c>
      <c r="F59" s="16" t="e">
        <f t="shared" ca="1" si="1"/>
        <v>#DIV/0!</v>
      </c>
      <c r="G59" s="16" t="e">
        <f t="shared" ca="1" si="2"/>
        <v>#DIV/0!</v>
      </c>
      <c r="H59" s="15" t="e">
        <f t="shared" ca="1" si="3"/>
        <v>#DIV/0!</v>
      </c>
    </row>
    <row r="60" spans="4:8" ht="11.25">
      <c r="D60" s="15">
        <f t="shared" ca="1" si="4"/>
        <v>0</v>
      </c>
      <c r="E60" s="16" t="e">
        <f t="shared" ca="1" si="0"/>
        <v>#DIV/0!</v>
      </c>
      <c r="F60" s="16" t="e">
        <f t="shared" ca="1" si="1"/>
        <v>#DIV/0!</v>
      </c>
      <c r="G60" s="16" t="e">
        <f t="shared" ca="1" si="2"/>
        <v>#DIV/0!</v>
      </c>
      <c r="H60" s="15" t="e">
        <f t="shared" ca="1" si="3"/>
        <v>#DIV/0!</v>
      </c>
    </row>
    <row r="61" spans="4:8" ht="11.25">
      <c r="D61" s="15">
        <f t="shared" ca="1" si="4"/>
        <v>0</v>
      </c>
      <c r="E61" s="16" t="e">
        <f t="shared" ca="1" si="0"/>
        <v>#DIV/0!</v>
      </c>
      <c r="F61" s="16" t="e">
        <f t="shared" ca="1" si="1"/>
        <v>#DIV/0!</v>
      </c>
      <c r="G61" s="16" t="e">
        <f t="shared" ca="1" si="2"/>
        <v>#DIV/0!</v>
      </c>
      <c r="H61" s="15" t="e">
        <f t="shared" ca="1" si="3"/>
        <v>#DIV/0!</v>
      </c>
    </row>
    <row r="62" spans="4:8" ht="11.25">
      <c r="D62" s="15">
        <f t="shared" ca="1" si="4"/>
        <v>0</v>
      </c>
      <c r="E62" s="16" t="e">
        <f t="shared" ca="1" si="0"/>
        <v>#DIV/0!</v>
      </c>
      <c r="F62" s="16" t="e">
        <f t="shared" ca="1" si="1"/>
        <v>#DIV/0!</v>
      </c>
      <c r="G62" s="16" t="e">
        <f t="shared" ca="1" si="2"/>
        <v>#DIV/0!</v>
      </c>
      <c r="H62" s="15" t="e">
        <f t="shared" ca="1" si="3"/>
        <v>#DIV/0!</v>
      </c>
    </row>
    <row r="63" spans="4:8" ht="11.25">
      <c r="D63" s="15">
        <f t="shared" ca="1" si="4"/>
        <v>0</v>
      </c>
      <c r="E63" s="16" t="e">
        <f t="shared" ca="1" si="0"/>
        <v>#DIV/0!</v>
      </c>
      <c r="F63" s="16" t="e">
        <f t="shared" ca="1" si="1"/>
        <v>#DIV/0!</v>
      </c>
      <c r="G63" s="16" t="e">
        <f t="shared" ca="1" si="2"/>
        <v>#DIV/0!</v>
      </c>
      <c r="H63" s="15" t="e">
        <f t="shared" ca="1" si="3"/>
        <v>#DIV/0!</v>
      </c>
    </row>
    <row r="64" spans="4:8" ht="11.25">
      <c r="D64" s="15">
        <f t="shared" ca="1" si="4"/>
        <v>0</v>
      </c>
      <c r="E64" s="16" t="e">
        <f t="shared" ca="1" si="0"/>
        <v>#DIV/0!</v>
      </c>
      <c r="F64" s="16" t="e">
        <f t="shared" ca="1" si="1"/>
        <v>#DIV/0!</v>
      </c>
      <c r="G64" s="16" t="e">
        <f t="shared" ca="1" si="2"/>
        <v>#DIV/0!</v>
      </c>
      <c r="H64" s="15" t="e">
        <f t="shared" ca="1" si="3"/>
        <v>#DIV/0!</v>
      </c>
    </row>
    <row r="65" spans="4:8" ht="11.25">
      <c r="D65" s="15">
        <f t="shared" ca="1" si="4"/>
        <v>0</v>
      </c>
      <c r="E65" s="16" t="e">
        <f t="shared" ca="1" si="0"/>
        <v>#DIV/0!</v>
      </c>
      <c r="F65" s="16" t="e">
        <f t="shared" ca="1" si="1"/>
        <v>#DIV/0!</v>
      </c>
      <c r="G65" s="16" t="e">
        <f t="shared" ca="1" si="2"/>
        <v>#DIV/0!</v>
      </c>
      <c r="H65" s="15" t="e">
        <f t="shared" ca="1" si="3"/>
        <v>#DIV/0!</v>
      </c>
    </row>
    <row r="66" spans="4:8" ht="11.25">
      <c r="D66" s="15">
        <f t="shared" ca="1" si="4"/>
        <v>0</v>
      </c>
      <c r="E66" s="16" t="e">
        <f t="shared" ref="E66:E129" ca="1" si="5">IF(ISNA(D66),NA(),a*t^2+b*t+g)</f>
        <v>#DIV/0!</v>
      </c>
      <c r="F66" s="16" t="e">
        <f t="shared" ref="F66:F129" ca="1" si="6">IF(ISNA(D66),NA(),u*(t-mx)^2+v*(t-mx)+w+my)</f>
        <v>#DIV/0!</v>
      </c>
      <c r="G66" s="16" t="e">
        <f t="shared" ref="G66:G129" ca="1" si="7">IF(ISNA(D66),500,MIN(F65,G65))</f>
        <v>#DIV/0!</v>
      </c>
      <c r="H66" s="15" t="e">
        <f t="shared" ref="H66:H129" ca="1" si="8">IF(ISNA(D66),H65,IF(E66&lt;G65,D66,H65))</f>
        <v>#DIV/0!</v>
      </c>
    </row>
    <row r="67" spans="4:8" ht="11.25">
      <c r="D67" s="15">
        <f t="shared" ref="D67:D130" ca="1" si="9">IF(D66&lt;=MAX(x)+(MAX(x)-MIN(x))/50,D66+(MAX(x)-MIN(x))/100,NA())</f>
        <v>0</v>
      </c>
      <c r="E67" s="16" t="e">
        <f t="shared" ca="1" si="5"/>
        <v>#DIV/0!</v>
      </c>
      <c r="F67" s="16" t="e">
        <f t="shared" ca="1" si="6"/>
        <v>#DIV/0!</v>
      </c>
      <c r="G67" s="16" t="e">
        <f t="shared" ca="1" si="7"/>
        <v>#DIV/0!</v>
      </c>
      <c r="H67" s="15" t="e">
        <f t="shared" ca="1" si="8"/>
        <v>#DIV/0!</v>
      </c>
    </row>
    <row r="68" spans="4:8" ht="11.25">
      <c r="D68" s="15">
        <f t="shared" ca="1" si="9"/>
        <v>0</v>
      </c>
      <c r="E68" s="16" t="e">
        <f t="shared" ca="1" si="5"/>
        <v>#DIV/0!</v>
      </c>
      <c r="F68" s="16" t="e">
        <f t="shared" ca="1" si="6"/>
        <v>#DIV/0!</v>
      </c>
      <c r="G68" s="16" t="e">
        <f t="shared" ca="1" si="7"/>
        <v>#DIV/0!</v>
      </c>
      <c r="H68" s="15" t="e">
        <f t="shared" ca="1" si="8"/>
        <v>#DIV/0!</v>
      </c>
    </row>
    <row r="69" spans="4:8" ht="11.25">
      <c r="D69" s="15">
        <f t="shared" ca="1" si="9"/>
        <v>0</v>
      </c>
      <c r="E69" s="16" t="e">
        <f t="shared" ca="1" si="5"/>
        <v>#DIV/0!</v>
      </c>
      <c r="F69" s="16" t="e">
        <f t="shared" ca="1" si="6"/>
        <v>#DIV/0!</v>
      </c>
      <c r="G69" s="16" t="e">
        <f t="shared" ca="1" si="7"/>
        <v>#DIV/0!</v>
      </c>
      <c r="H69" s="15" t="e">
        <f t="shared" ca="1" si="8"/>
        <v>#DIV/0!</v>
      </c>
    </row>
    <row r="70" spans="4:8" ht="11.25">
      <c r="D70" s="15">
        <f t="shared" ca="1" si="9"/>
        <v>0</v>
      </c>
      <c r="E70" s="16" t="e">
        <f t="shared" ca="1" si="5"/>
        <v>#DIV/0!</v>
      </c>
      <c r="F70" s="16" t="e">
        <f t="shared" ca="1" si="6"/>
        <v>#DIV/0!</v>
      </c>
      <c r="G70" s="16" t="e">
        <f t="shared" ca="1" si="7"/>
        <v>#DIV/0!</v>
      </c>
      <c r="H70" s="15" t="e">
        <f t="shared" ca="1" si="8"/>
        <v>#DIV/0!</v>
      </c>
    </row>
    <row r="71" spans="4:8" ht="11.25">
      <c r="D71" s="15">
        <f t="shared" ca="1" si="9"/>
        <v>0</v>
      </c>
      <c r="E71" s="16" t="e">
        <f t="shared" ca="1" si="5"/>
        <v>#DIV/0!</v>
      </c>
      <c r="F71" s="16" t="e">
        <f t="shared" ca="1" si="6"/>
        <v>#DIV/0!</v>
      </c>
      <c r="G71" s="16" t="e">
        <f t="shared" ca="1" si="7"/>
        <v>#DIV/0!</v>
      </c>
      <c r="H71" s="15" t="e">
        <f t="shared" ca="1" si="8"/>
        <v>#DIV/0!</v>
      </c>
    </row>
    <row r="72" spans="4:8" ht="11.25">
      <c r="D72" s="15">
        <f t="shared" ca="1" si="9"/>
        <v>0</v>
      </c>
      <c r="E72" s="16" t="e">
        <f t="shared" ca="1" si="5"/>
        <v>#DIV/0!</v>
      </c>
      <c r="F72" s="16" t="e">
        <f t="shared" ca="1" si="6"/>
        <v>#DIV/0!</v>
      </c>
      <c r="G72" s="16" t="e">
        <f t="shared" ca="1" si="7"/>
        <v>#DIV/0!</v>
      </c>
      <c r="H72" s="15" t="e">
        <f t="shared" ca="1" si="8"/>
        <v>#DIV/0!</v>
      </c>
    </row>
    <row r="73" spans="4:8" ht="11.25">
      <c r="D73" s="15">
        <f t="shared" ca="1" si="9"/>
        <v>0</v>
      </c>
      <c r="E73" s="16" t="e">
        <f t="shared" ca="1" si="5"/>
        <v>#DIV/0!</v>
      </c>
      <c r="F73" s="16" t="e">
        <f t="shared" ca="1" si="6"/>
        <v>#DIV/0!</v>
      </c>
      <c r="G73" s="16" t="e">
        <f t="shared" ca="1" si="7"/>
        <v>#DIV/0!</v>
      </c>
      <c r="H73" s="15" t="e">
        <f t="shared" ca="1" si="8"/>
        <v>#DIV/0!</v>
      </c>
    </row>
    <row r="74" spans="4:8" ht="11.25">
      <c r="D74" s="15">
        <f t="shared" ca="1" si="9"/>
        <v>0</v>
      </c>
      <c r="E74" s="16" t="e">
        <f t="shared" ca="1" si="5"/>
        <v>#DIV/0!</v>
      </c>
      <c r="F74" s="16" t="e">
        <f t="shared" ca="1" si="6"/>
        <v>#DIV/0!</v>
      </c>
      <c r="G74" s="16" t="e">
        <f t="shared" ca="1" si="7"/>
        <v>#DIV/0!</v>
      </c>
      <c r="H74" s="15" t="e">
        <f t="shared" ca="1" si="8"/>
        <v>#DIV/0!</v>
      </c>
    </row>
    <row r="75" spans="4:8" ht="11.25">
      <c r="D75" s="15">
        <f t="shared" ca="1" si="9"/>
        <v>0</v>
      </c>
      <c r="E75" s="16" t="e">
        <f t="shared" ca="1" si="5"/>
        <v>#DIV/0!</v>
      </c>
      <c r="F75" s="16" t="e">
        <f t="shared" ca="1" si="6"/>
        <v>#DIV/0!</v>
      </c>
      <c r="G75" s="16" t="e">
        <f t="shared" ca="1" si="7"/>
        <v>#DIV/0!</v>
      </c>
      <c r="H75" s="15" t="e">
        <f t="shared" ca="1" si="8"/>
        <v>#DIV/0!</v>
      </c>
    </row>
    <row r="76" spans="4:8" ht="11.25">
      <c r="D76" s="15">
        <f t="shared" ca="1" si="9"/>
        <v>0</v>
      </c>
      <c r="E76" s="16" t="e">
        <f t="shared" ca="1" si="5"/>
        <v>#DIV/0!</v>
      </c>
      <c r="F76" s="16" t="e">
        <f t="shared" ca="1" si="6"/>
        <v>#DIV/0!</v>
      </c>
      <c r="G76" s="16" t="e">
        <f t="shared" ca="1" si="7"/>
        <v>#DIV/0!</v>
      </c>
      <c r="H76" s="15" t="e">
        <f t="shared" ca="1" si="8"/>
        <v>#DIV/0!</v>
      </c>
    </row>
    <row r="77" spans="4:8" ht="11.25">
      <c r="D77" s="15">
        <f t="shared" ca="1" si="9"/>
        <v>0</v>
      </c>
      <c r="E77" s="16" t="e">
        <f t="shared" ca="1" si="5"/>
        <v>#DIV/0!</v>
      </c>
      <c r="F77" s="16" t="e">
        <f t="shared" ca="1" si="6"/>
        <v>#DIV/0!</v>
      </c>
      <c r="G77" s="16" t="e">
        <f t="shared" ca="1" si="7"/>
        <v>#DIV/0!</v>
      </c>
      <c r="H77" s="15" t="e">
        <f t="shared" ca="1" si="8"/>
        <v>#DIV/0!</v>
      </c>
    </row>
    <row r="78" spans="4:8" ht="11.25">
      <c r="D78" s="15">
        <f t="shared" ca="1" si="9"/>
        <v>0</v>
      </c>
      <c r="E78" s="16" t="e">
        <f t="shared" ca="1" si="5"/>
        <v>#DIV/0!</v>
      </c>
      <c r="F78" s="16" t="e">
        <f t="shared" ca="1" si="6"/>
        <v>#DIV/0!</v>
      </c>
      <c r="G78" s="16" t="e">
        <f t="shared" ca="1" si="7"/>
        <v>#DIV/0!</v>
      </c>
      <c r="H78" s="15" t="e">
        <f t="shared" ca="1" si="8"/>
        <v>#DIV/0!</v>
      </c>
    </row>
    <row r="79" spans="4:8" ht="11.25">
      <c r="D79" s="15">
        <f t="shared" ca="1" si="9"/>
        <v>0</v>
      </c>
      <c r="E79" s="16" t="e">
        <f t="shared" ca="1" si="5"/>
        <v>#DIV/0!</v>
      </c>
      <c r="F79" s="16" t="e">
        <f t="shared" ca="1" si="6"/>
        <v>#DIV/0!</v>
      </c>
      <c r="G79" s="16" t="e">
        <f t="shared" ca="1" si="7"/>
        <v>#DIV/0!</v>
      </c>
      <c r="H79" s="15" t="e">
        <f t="shared" ca="1" si="8"/>
        <v>#DIV/0!</v>
      </c>
    </row>
    <row r="80" spans="4:8" ht="11.25">
      <c r="D80" s="15">
        <f t="shared" ca="1" si="9"/>
        <v>0</v>
      </c>
      <c r="E80" s="16" t="e">
        <f t="shared" ca="1" si="5"/>
        <v>#DIV/0!</v>
      </c>
      <c r="F80" s="16" t="e">
        <f t="shared" ca="1" si="6"/>
        <v>#DIV/0!</v>
      </c>
      <c r="G80" s="16" t="e">
        <f t="shared" ca="1" si="7"/>
        <v>#DIV/0!</v>
      </c>
      <c r="H80" s="15" t="e">
        <f t="shared" ca="1" si="8"/>
        <v>#DIV/0!</v>
      </c>
    </row>
    <row r="81" spans="4:8" ht="11.25">
      <c r="D81" s="15">
        <f t="shared" ca="1" si="9"/>
        <v>0</v>
      </c>
      <c r="E81" s="16" t="e">
        <f t="shared" ca="1" si="5"/>
        <v>#DIV/0!</v>
      </c>
      <c r="F81" s="16" t="e">
        <f t="shared" ca="1" si="6"/>
        <v>#DIV/0!</v>
      </c>
      <c r="G81" s="16" t="e">
        <f t="shared" ca="1" si="7"/>
        <v>#DIV/0!</v>
      </c>
      <c r="H81" s="15" t="e">
        <f t="shared" ca="1" si="8"/>
        <v>#DIV/0!</v>
      </c>
    </row>
    <row r="82" spans="4:8" ht="11.25">
      <c r="D82" s="15">
        <f t="shared" ca="1" si="9"/>
        <v>0</v>
      </c>
      <c r="E82" s="16" t="e">
        <f t="shared" ca="1" si="5"/>
        <v>#DIV/0!</v>
      </c>
      <c r="F82" s="16" t="e">
        <f t="shared" ca="1" si="6"/>
        <v>#DIV/0!</v>
      </c>
      <c r="G82" s="16" t="e">
        <f t="shared" ca="1" si="7"/>
        <v>#DIV/0!</v>
      </c>
      <c r="H82" s="15" t="e">
        <f t="shared" ca="1" si="8"/>
        <v>#DIV/0!</v>
      </c>
    </row>
    <row r="83" spans="4:8" ht="11.25">
      <c r="D83" s="15">
        <f t="shared" ca="1" si="9"/>
        <v>0</v>
      </c>
      <c r="E83" s="16" t="e">
        <f t="shared" ca="1" si="5"/>
        <v>#DIV/0!</v>
      </c>
      <c r="F83" s="16" t="e">
        <f t="shared" ca="1" si="6"/>
        <v>#DIV/0!</v>
      </c>
      <c r="G83" s="16" t="e">
        <f t="shared" ca="1" si="7"/>
        <v>#DIV/0!</v>
      </c>
      <c r="H83" s="15" t="e">
        <f t="shared" ca="1" si="8"/>
        <v>#DIV/0!</v>
      </c>
    </row>
    <row r="84" spans="4:8" ht="11.25">
      <c r="D84" s="15">
        <f t="shared" ca="1" si="9"/>
        <v>0</v>
      </c>
      <c r="E84" s="16" t="e">
        <f t="shared" ca="1" si="5"/>
        <v>#DIV/0!</v>
      </c>
      <c r="F84" s="16" t="e">
        <f t="shared" ca="1" si="6"/>
        <v>#DIV/0!</v>
      </c>
      <c r="G84" s="16" t="e">
        <f t="shared" ca="1" si="7"/>
        <v>#DIV/0!</v>
      </c>
      <c r="H84" s="15" t="e">
        <f t="shared" ca="1" si="8"/>
        <v>#DIV/0!</v>
      </c>
    </row>
    <row r="85" spans="4:8" ht="11.25">
      <c r="D85" s="15">
        <f t="shared" ca="1" si="9"/>
        <v>0</v>
      </c>
      <c r="E85" s="16" t="e">
        <f t="shared" ca="1" si="5"/>
        <v>#DIV/0!</v>
      </c>
      <c r="F85" s="16" t="e">
        <f t="shared" ca="1" si="6"/>
        <v>#DIV/0!</v>
      </c>
      <c r="G85" s="16" t="e">
        <f t="shared" ca="1" si="7"/>
        <v>#DIV/0!</v>
      </c>
      <c r="H85" s="15" t="e">
        <f t="shared" ca="1" si="8"/>
        <v>#DIV/0!</v>
      </c>
    </row>
    <row r="86" spans="4:8" ht="11.25">
      <c r="D86" s="15">
        <f t="shared" ca="1" si="9"/>
        <v>0</v>
      </c>
      <c r="E86" s="16" t="e">
        <f t="shared" ca="1" si="5"/>
        <v>#DIV/0!</v>
      </c>
      <c r="F86" s="16" t="e">
        <f t="shared" ca="1" si="6"/>
        <v>#DIV/0!</v>
      </c>
      <c r="G86" s="16" t="e">
        <f t="shared" ca="1" si="7"/>
        <v>#DIV/0!</v>
      </c>
      <c r="H86" s="15" t="e">
        <f t="shared" ca="1" si="8"/>
        <v>#DIV/0!</v>
      </c>
    </row>
    <row r="87" spans="4:8" ht="11.25">
      <c r="D87" s="15">
        <f t="shared" ca="1" si="9"/>
        <v>0</v>
      </c>
      <c r="E87" s="16" t="e">
        <f t="shared" ca="1" si="5"/>
        <v>#DIV/0!</v>
      </c>
      <c r="F87" s="16" t="e">
        <f t="shared" ca="1" si="6"/>
        <v>#DIV/0!</v>
      </c>
      <c r="G87" s="16" t="e">
        <f t="shared" ca="1" si="7"/>
        <v>#DIV/0!</v>
      </c>
      <c r="H87" s="15" t="e">
        <f t="shared" ca="1" si="8"/>
        <v>#DIV/0!</v>
      </c>
    </row>
    <row r="88" spans="4:8" ht="11.25">
      <c r="D88" s="15">
        <f t="shared" ca="1" si="9"/>
        <v>0</v>
      </c>
      <c r="E88" s="16" t="e">
        <f t="shared" ca="1" si="5"/>
        <v>#DIV/0!</v>
      </c>
      <c r="F88" s="16" t="e">
        <f t="shared" ca="1" si="6"/>
        <v>#DIV/0!</v>
      </c>
      <c r="G88" s="16" t="e">
        <f t="shared" ca="1" si="7"/>
        <v>#DIV/0!</v>
      </c>
      <c r="H88" s="15" t="e">
        <f t="shared" ca="1" si="8"/>
        <v>#DIV/0!</v>
      </c>
    </row>
    <row r="89" spans="4:8" ht="11.25">
      <c r="D89" s="15">
        <f t="shared" ca="1" si="9"/>
        <v>0</v>
      </c>
      <c r="E89" s="16" t="e">
        <f t="shared" ca="1" si="5"/>
        <v>#DIV/0!</v>
      </c>
      <c r="F89" s="16" t="e">
        <f t="shared" ca="1" si="6"/>
        <v>#DIV/0!</v>
      </c>
      <c r="G89" s="16" t="e">
        <f t="shared" ca="1" si="7"/>
        <v>#DIV/0!</v>
      </c>
      <c r="H89" s="15" t="e">
        <f t="shared" ca="1" si="8"/>
        <v>#DIV/0!</v>
      </c>
    </row>
    <row r="90" spans="4:8" ht="11.25">
      <c r="D90" s="15">
        <f t="shared" ca="1" si="9"/>
        <v>0</v>
      </c>
      <c r="E90" s="16" t="e">
        <f t="shared" ca="1" si="5"/>
        <v>#DIV/0!</v>
      </c>
      <c r="F90" s="16" t="e">
        <f t="shared" ca="1" si="6"/>
        <v>#DIV/0!</v>
      </c>
      <c r="G90" s="16" t="e">
        <f t="shared" ca="1" si="7"/>
        <v>#DIV/0!</v>
      </c>
      <c r="H90" s="15" t="e">
        <f t="shared" ca="1" si="8"/>
        <v>#DIV/0!</v>
      </c>
    </row>
    <row r="91" spans="4:8" ht="11.25">
      <c r="D91" s="15">
        <f t="shared" ca="1" si="9"/>
        <v>0</v>
      </c>
      <c r="E91" s="16" t="e">
        <f t="shared" ca="1" si="5"/>
        <v>#DIV/0!</v>
      </c>
      <c r="F91" s="16" t="e">
        <f t="shared" ca="1" si="6"/>
        <v>#DIV/0!</v>
      </c>
      <c r="G91" s="16" t="e">
        <f t="shared" ca="1" si="7"/>
        <v>#DIV/0!</v>
      </c>
      <c r="H91" s="15" t="e">
        <f t="shared" ca="1" si="8"/>
        <v>#DIV/0!</v>
      </c>
    </row>
    <row r="92" spans="4:8" ht="11.25">
      <c r="D92" s="15">
        <f t="shared" ca="1" si="9"/>
        <v>0</v>
      </c>
      <c r="E92" s="16" t="e">
        <f t="shared" ca="1" si="5"/>
        <v>#DIV/0!</v>
      </c>
      <c r="F92" s="16" t="e">
        <f t="shared" ca="1" si="6"/>
        <v>#DIV/0!</v>
      </c>
      <c r="G92" s="16" t="e">
        <f t="shared" ca="1" si="7"/>
        <v>#DIV/0!</v>
      </c>
      <c r="H92" s="15" t="e">
        <f t="shared" ca="1" si="8"/>
        <v>#DIV/0!</v>
      </c>
    </row>
    <row r="93" spans="4:8" ht="11.25">
      <c r="D93" s="15">
        <f t="shared" ca="1" si="9"/>
        <v>0</v>
      </c>
      <c r="E93" s="16" t="e">
        <f t="shared" ca="1" si="5"/>
        <v>#DIV/0!</v>
      </c>
      <c r="F93" s="16" t="e">
        <f t="shared" ca="1" si="6"/>
        <v>#DIV/0!</v>
      </c>
      <c r="G93" s="16" t="e">
        <f t="shared" ca="1" si="7"/>
        <v>#DIV/0!</v>
      </c>
      <c r="H93" s="15" t="e">
        <f t="shared" ca="1" si="8"/>
        <v>#DIV/0!</v>
      </c>
    </row>
    <row r="94" spans="4:8" ht="11.25">
      <c r="D94" s="15">
        <f t="shared" ca="1" si="9"/>
        <v>0</v>
      </c>
      <c r="E94" s="16" t="e">
        <f t="shared" ca="1" si="5"/>
        <v>#DIV/0!</v>
      </c>
      <c r="F94" s="16" t="e">
        <f t="shared" ca="1" si="6"/>
        <v>#DIV/0!</v>
      </c>
      <c r="G94" s="16" t="e">
        <f t="shared" ca="1" si="7"/>
        <v>#DIV/0!</v>
      </c>
      <c r="H94" s="15" t="e">
        <f t="shared" ca="1" si="8"/>
        <v>#DIV/0!</v>
      </c>
    </row>
    <row r="95" spans="4:8" ht="11.25">
      <c r="D95" s="15">
        <f t="shared" ca="1" si="9"/>
        <v>0</v>
      </c>
      <c r="E95" s="16" t="e">
        <f t="shared" ca="1" si="5"/>
        <v>#DIV/0!</v>
      </c>
      <c r="F95" s="16" t="e">
        <f t="shared" ca="1" si="6"/>
        <v>#DIV/0!</v>
      </c>
      <c r="G95" s="16" t="e">
        <f t="shared" ca="1" si="7"/>
        <v>#DIV/0!</v>
      </c>
      <c r="H95" s="15" t="e">
        <f t="shared" ca="1" si="8"/>
        <v>#DIV/0!</v>
      </c>
    </row>
    <row r="96" spans="4:8" ht="11.25">
      <c r="D96" s="15">
        <f t="shared" ca="1" si="9"/>
        <v>0</v>
      </c>
      <c r="E96" s="16" t="e">
        <f t="shared" ca="1" si="5"/>
        <v>#DIV/0!</v>
      </c>
      <c r="F96" s="16" t="e">
        <f t="shared" ca="1" si="6"/>
        <v>#DIV/0!</v>
      </c>
      <c r="G96" s="16" t="e">
        <f t="shared" ca="1" si="7"/>
        <v>#DIV/0!</v>
      </c>
      <c r="H96" s="15" t="e">
        <f t="shared" ca="1" si="8"/>
        <v>#DIV/0!</v>
      </c>
    </row>
    <row r="97" spans="4:8" ht="11.25">
      <c r="D97" s="15">
        <f t="shared" ca="1" si="9"/>
        <v>0</v>
      </c>
      <c r="E97" s="16" t="e">
        <f t="shared" ca="1" si="5"/>
        <v>#DIV/0!</v>
      </c>
      <c r="F97" s="16" t="e">
        <f t="shared" ca="1" si="6"/>
        <v>#DIV/0!</v>
      </c>
      <c r="G97" s="16" t="e">
        <f t="shared" ca="1" si="7"/>
        <v>#DIV/0!</v>
      </c>
      <c r="H97" s="15" t="e">
        <f t="shared" ca="1" si="8"/>
        <v>#DIV/0!</v>
      </c>
    </row>
    <row r="98" spans="4:8" ht="11.25">
      <c r="D98" s="15">
        <f t="shared" ca="1" si="9"/>
        <v>0</v>
      </c>
      <c r="E98" s="16" t="e">
        <f t="shared" ca="1" si="5"/>
        <v>#DIV/0!</v>
      </c>
      <c r="F98" s="16" t="e">
        <f t="shared" ca="1" si="6"/>
        <v>#DIV/0!</v>
      </c>
      <c r="G98" s="16" t="e">
        <f t="shared" ca="1" si="7"/>
        <v>#DIV/0!</v>
      </c>
      <c r="H98" s="15" t="e">
        <f t="shared" ca="1" si="8"/>
        <v>#DIV/0!</v>
      </c>
    </row>
    <row r="99" spans="4:8" ht="11.25">
      <c r="D99" s="15">
        <f t="shared" ca="1" si="9"/>
        <v>0</v>
      </c>
      <c r="E99" s="16" t="e">
        <f t="shared" ca="1" si="5"/>
        <v>#DIV/0!</v>
      </c>
      <c r="F99" s="16" t="e">
        <f t="shared" ca="1" si="6"/>
        <v>#DIV/0!</v>
      </c>
      <c r="G99" s="16" t="e">
        <f t="shared" ca="1" si="7"/>
        <v>#DIV/0!</v>
      </c>
      <c r="H99" s="15" t="e">
        <f t="shared" ca="1" si="8"/>
        <v>#DIV/0!</v>
      </c>
    </row>
    <row r="100" spans="4:8" ht="11.25">
      <c r="D100" s="15">
        <f t="shared" ca="1" si="9"/>
        <v>0</v>
      </c>
      <c r="E100" s="16" t="e">
        <f t="shared" ca="1" si="5"/>
        <v>#DIV/0!</v>
      </c>
      <c r="F100" s="16" t="e">
        <f t="shared" ca="1" si="6"/>
        <v>#DIV/0!</v>
      </c>
      <c r="G100" s="16" t="e">
        <f t="shared" ca="1" si="7"/>
        <v>#DIV/0!</v>
      </c>
      <c r="H100" s="15" t="e">
        <f t="shared" ca="1" si="8"/>
        <v>#DIV/0!</v>
      </c>
    </row>
    <row r="101" spans="4:8" ht="11.25">
      <c r="D101" s="15">
        <f t="shared" ca="1" si="9"/>
        <v>0</v>
      </c>
      <c r="E101" s="16" t="e">
        <f t="shared" ca="1" si="5"/>
        <v>#DIV/0!</v>
      </c>
      <c r="F101" s="16" t="e">
        <f t="shared" ca="1" si="6"/>
        <v>#DIV/0!</v>
      </c>
      <c r="G101" s="16" t="e">
        <f t="shared" ca="1" si="7"/>
        <v>#DIV/0!</v>
      </c>
      <c r="H101" s="15" t="e">
        <f t="shared" ca="1" si="8"/>
        <v>#DIV/0!</v>
      </c>
    </row>
    <row r="102" spans="4:8" ht="11.25">
      <c r="D102" s="15">
        <f t="shared" ca="1" si="9"/>
        <v>0</v>
      </c>
      <c r="E102" s="16" t="e">
        <f t="shared" ca="1" si="5"/>
        <v>#DIV/0!</v>
      </c>
      <c r="F102" s="16" t="e">
        <f t="shared" ca="1" si="6"/>
        <v>#DIV/0!</v>
      </c>
      <c r="G102" s="16" t="e">
        <f t="shared" ca="1" si="7"/>
        <v>#DIV/0!</v>
      </c>
      <c r="H102" s="15" t="e">
        <f t="shared" ca="1" si="8"/>
        <v>#DIV/0!</v>
      </c>
    </row>
    <row r="103" spans="4:8" ht="11.25">
      <c r="D103" s="15">
        <f t="shared" ca="1" si="9"/>
        <v>0</v>
      </c>
      <c r="E103" s="16" t="e">
        <f t="shared" ca="1" si="5"/>
        <v>#DIV/0!</v>
      </c>
      <c r="F103" s="16" t="e">
        <f t="shared" ca="1" si="6"/>
        <v>#DIV/0!</v>
      </c>
      <c r="G103" s="16" t="e">
        <f t="shared" ca="1" si="7"/>
        <v>#DIV/0!</v>
      </c>
      <c r="H103" s="15" t="e">
        <f t="shared" ca="1" si="8"/>
        <v>#DIV/0!</v>
      </c>
    </row>
    <row r="104" spans="4:8" ht="11.25">
      <c r="D104" s="15">
        <f t="shared" ca="1" si="9"/>
        <v>0</v>
      </c>
      <c r="E104" s="16" t="e">
        <f t="shared" ca="1" si="5"/>
        <v>#DIV/0!</v>
      </c>
      <c r="F104" s="16" t="e">
        <f t="shared" ca="1" si="6"/>
        <v>#DIV/0!</v>
      </c>
      <c r="G104" s="16" t="e">
        <f t="shared" ca="1" si="7"/>
        <v>#DIV/0!</v>
      </c>
      <c r="H104" s="15" t="e">
        <f t="shared" ca="1" si="8"/>
        <v>#DIV/0!</v>
      </c>
    </row>
    <row r="105" spans="4:8" ht="11.25">
      <c r="D105" s="15">
        <f t="shared" ca="1" si="9"/>
        <v>0</v>
      </c>
      <c r="E105" s="16" t="e">
        <f t="shared" ca="1" si="5"/>
        <v>#DIV/0!</v>
      </c>
      <c r="F105" s="16" t="e">
        <f t="shared" ca="1" si="6"/>
        <v>#DIV/0!</v>
      </c>
      <c r="G105" s="16" t="e">
        <f t="shared" ca="1" si="7"/>
        <v>#DIV/0!</v>
      </c>
      <c r="H105" s="15" t="e">
        <f t="shared" ca="1" si="8"/>
        <v>#DIV/0!</v>
      </c>
    </row>
    <row r="106" spans="4:8" ht="11.25">
      <c r="D106" s="15">
        <f t="shared" ca="1" si="9"/>
        <v>0</v>
      </c>
      <c r="E106" s="16" t="e">
        <f t="shared" ca="1" si="5"/>
        <v>#DIV/0!</v>
      </c>
      <c r="F106" s="16" t="e">
        <f t="shared" ca="1" si="6"/>
        <v>#DIV/0!</v>
      </c>
      <c r="G106" s="16" t="e">
        <f t="shared" ca="1" si="7"/>
        <v>#DIV/0!</v>
      </c>
      <c r="H106" s="15" t="e">
        <f t="shared" ca="1" si="8"/>
        <v>#DIV/0!</v>
      </c>
    </row>
    <row r="107" spans="4:8" ht="11.25">
      <c r="D107" s="15">
        <f t="shared" ca="1" si="9"/>
        <v>0</v>
      </c>
      <c r="E107" s="16" t="e">
        <f t="shared" ca="1" si="5"/>
        <v>#DIV/0!</v>
      </c>
      <c r="F107" s="16" t="e">
        <f t="shared" ca="1" si="6"/>
        <v>#DIV/0!</v>
      </c>
      <c r="G107" s="16" t="e">
        <f t="shared" ca="1" si="7"/>
        <v>#DIV/0!</v>
      </c>
      <c r="H107" s="15" t="e">
        <f t="shared" ca="1" si="8"/>
        <v>#DIV/0!</v>
      </c>
    </row>
    <row r="108" spans="4:8" ht="11.25">
      <c r="D108" s="15">
        <f t="shared" ca="1" si="9"/>
        <v>0</v>
      </c>
      <c r="E108" s="16" t="e">
        <f t="shared" ca="1" si="5"/>
        <v>#DIV/0!</v>
      </c>
      <c r="F108" s="16" t="e">
        <f t="shared" ca="1" si="6"/>
        <v>#DIV/0!</v>
      </c>
      <c r="G108" s="16" t="e">
        <f t="shared" ca="1" si="7"/>
        <v>#DIV/0!</v>
      </c>
      <c r="H108" s="15" t="e">
        <f t="shared" ca="1" si="8"/>
        <v>#DIV/0!</v>
      </c>
    </row>
    <row r="109" spans="4:8" ht="11.25">
      <c r="D109" s="15">
        <f t="shared" ca="1" si="9"/>
        <v>0</v>
      </c>
      <c r="E109" s="16" t="e">
        <f t="shared" ca="1" si="5"/>
        <v>#DIV/0!</v>
      </c>
      <c r="F109" s="16" t="e">
        <f t="shared" ca="1" si="6"/>
        <v>#DIV/0!</v>
      </c>
      <c r="G109" s="16" t="e">
        <f t="shared" ca="1" si="7"/>
        <v>#DIV/0!</v>
      </c>
      <c r="H109" s="15" t="e">
        <f t="shared" ca="1" si="8"/>
        <v>#DIV/0!</v>
      </c>
    </row>
    <row r="110" spans="4:8" ht="11.25">
      <c r="D110" s="15">
        <f t="shared" ca="1" si="9"/>
        <v>0</v>
      </c>
      <c r="E110" s="16" t="e">
        <f t="shared" ca="1" si="5"/>
        <v>#DIV/0!</v>
      </c>
      <c r="F110" s="16" t="e">
        <f t="shared" ca="1" si="6"/>
        <v>#DIV/0!</v>
      </c>
      <c r="G110" s="16" t="e">
        <f t="shared" ca="1" si="7"/>
        <v>#DIV/0!</v>
      </c>
      <c r="H110" s="15" t="e">
        <f t="shared" ca="1" si="8"/>
        <v>#DIV/0!</v>
      </c>
    </row>
    <row r="111" spans="4:8" ht="11.25">
      <c r="D111" s="15">
        <f t="shared" ca="1" si="9"/>
        <v>0</v>
      </c>
      <c r="E111" s="16" t="e">
        <f t="shared" ca="1" si="5"/>
        <v>#DIV/0!</v>
      </c>
      <c r="F111" s="16" t="e">
        <f t="shared" ca="1" si="6"/>
        <v>#DIV/0!</v>
      </c>
      <c r="G111" s="16" t="e">
        <f t="shared" ca="1" si="7"/>
        <v>#DIV/0!</v>
      </c>
      <c r="H111" s="15" t="e">
        <f t="shared" ca="1" si="8"/>
        <v>#DIV/0!</v>
      </c>
    </row>
    <row r="112" spans="4:8" ht="11.25">
      <c r="D112" s="15">
        <f t="shared" ca="1" si="9"/>
        <v>0</v>
      </c>
      <c r="E112" s="16" t="e">
        <f t="shared" ca="1" si="5"/>
        <v>#DIV/0!</v>
      </c>
      <c r="F112" s="16" t="e">
        <f t="shared" ca="1" si="6"/>
        <v>#DIV/0!</v>
      </c>
      <c r="G112" s="16" t="e">
        <f t="shared" ca="1" si="7"/>
        <v>#DIV/0!</v>
      </c>
      <c r="H112" s="15" t="e">
        <f t="shared" ca="1" si="8"/>
        <v>#DIV/0!</v>
      </c>
    </row>
    <row r="113" spans="4:8" ht="11.25">
      <c r="D113" s="15">
        <f t="shared" ca="1" si="9"/>
        <v>0</v>
      </c>
      <c r="E113" s="16" t="e">
        <f t="shared" ca="1" si="5"/>
        <v>#DIV/0!</v>
      </c>
      <c r="F113" s="16" t="e">
        <f t="shared" ca="1" si="6"/>
        <v>#DIV/0!</v>
      </c>
      <c r="G113" s="16" t="e">
        <f t="shared" ca="1" si="7"/>
        <v>#DIV/0!</v>
      </c>
      <c r="H113" s="15" t="e">
        <f t="shared" ca="1" si="8"/>
        <v>#DIV/0!</v>
      </c>
    </row>
    <row r="114" spans="4:8" ht="11.25">
      <c r="D114" s="15">
        <f t="shared" ca="1" si="9"/>
        <v>0</v>
      </c>
      <c r="E114" s="16" t="e">
        <f t="shared" ca="1" si="5"/>
        <v>#DIV/0!</v>
      </c>
      <c r="F114" s="16" t="e">
        <f t="shared" ca="1" si="6"/>
        <v>#DIV/0!</v>
      </c>
      <c r="G114" s="16" t="e">
        <f t="shared" ca="1" si="7"/>
        <v>#DIV/0!</v>
      </c>
      <c r="H114" s="15" t="e">
        <f t="shared" ca="1" si="8"/>
        <v>#DIV/0!</v>
      </c>
    </row>
    <row r="115" spans="4:8" ht="11.25">
      <c r="D115" s="15">
        <f t="shared" ca="1" si="9"/>
        <v>0</v>
      </c>
      <c r="E115" s="16" t="e">
        <f t="shared" ca="1" si="5"/>
        <v>#DIV/0!</v>
      </c>
      <c r="F115" s="16" t="e">
        <f t="shared" ca="1" si="6"/>
        <v>#DIV/0!</v>
      </c>
      <c r="G115" s="16" t="e">
        <f t="shared" ca="1" si="7"/>
        <v>#DIV/0!</v>
      </c>
      <c r="H115" s="15" t="e">
        <f t="shared" ca="1" si="8"/>
        <v>#DIV/0!</v>
      </c>
    </row>
    <row r="116" spans="4:8" ht="11.25">
      <c r="D116" s="15">
        <f t="shared" ca="1" si="9"/>
        <v>0</v>
      </c>
      <c r="E116" s="16" t="e">
        <f t="shared" ca="1" si="5"/>
        <v>#DIV/0!</v>
      </c>
      <c r="F116" s="16" t="e">
        <f t="shared" ca="1" si="6"/>
        <v>#DIV/0!</v>
      </c>
      <c r="G116" s="16" t="e">
        <f t="shared" ca="1" si="7"/>
        <v>#DIV/0!</v>
      </c>
      <c r="H116" s="15" t="e">
        <f t="shared" ca="1" si="8"/>
        <v>#DIV/0!</v>
      </c>
    </row>
    <row r="117" spans="4:8" ht="11.25">
      <c r="D117" s="15">
        <f t="shared" ca="1" si="9"/>
        <v>0</v>
      </c>
      <c r="E117" s="16" t="e">
        <f t="shared" ca="1" si="5"/>
        <v>#DIV/0!</v>
      </c>
      <c r="F117" s="16" t="e">
        <f t="shared" ca="1" si="6"/>
        <v>#DIV/0!</v>
      </c>
      <c r="G117" s="16" t="e">
        <f t="shared" ca="1" si="7"/>
        <v>#DIV/0!</v>
      </c>
      <c r="H117" s="15" t="e">
        <f t="shared" ca="1" si="8"/>
        <v>#DIV/0!</v>
      </c>
    </row>
    <row r="118" spans="4:8" ht="11.25">
      <c r="D118" s="15">
        <f t="shared" ca="1" si="9"/>
        <v>0</v>
      </c>
      <c r="E118" s="16" t="e">
        <f t="shared" ca="1" si="5"/>
        <v>#DIV/0!</v>
      </c>
      <c r="F118" s="16" t="e">
        <f t="shared" ca="1" si="6"/>
        <v>#DIV/0!</v>
      </c>
      <c r="G118" s="16" t="e">
        <f t="shared" ca="1" si="7"/>
        <v>#DIV/0!</v>
      </c>
      <c r="H118" s="15" t="e">
        <f t="shared" ca="1" si="8"/>
        <v>#DIV/0!</v>
      </c>
    </row>
    <row r="119" spans="4:8" ht="11.25">
      <c r="D119" s="15">
        <f t="shared" ca="1" si="9"/>
        <v>0</v>
      </c>
      <c r="E119" s="16" t="e">
        <f t="shared" ca="1" si="5"/>
        <v>#DIV/0!</v>
      </c>
      <c r="F119" s="16" t="e">
        <f t="shared" ca="1" si="6"/>
        <v>#DIV/0!</v>
      </c>
      <c r="G119" s="16" t="e">
        <f t="shared" ca="1" si="7"/>
        <v>#DIV/0!</v>
      </c>
      <c r="H119" s="15" t="e">
        <f t="shared" ca="1" si="8"/>
        <v>#DIV/0!</v>
      </c>
    </row>
    <row r="120" spans="4:8" ht="11.25">
      <c r="D120" s="15">
        <f t="shared" ca="1" si="9"/>
        <v>0</v>
      </c>
      <c r="E120" s="16" t="e">
        <f t="shared" ca="1" si="5"/>
        <v>#DIV/0!</v>
      </c>
      <c r="F120" s="16" t="e">
        <f t="shared" ca="1" si="6"/>
        <v>#DIV/0!</v>
      </c>
      <c r="G120" s="16" t="e">
        <f t="shared" ca="1" si="7"/>
        <v>#DIV/0!</v>
      </c>
      <c r="H120" s="15" t="e">
        <f t="shared" ca="1" si="8"/>
        <v>#DIV/0!</v>
      </c>
    </row>
    <row r="121" spans="4:8" ht="11.25">
      <c r="D121" s="15">
        <f t="shared" ca="1" si="9"/>
        <v>0</v>
      </c>
      <c r="E121" s="16" t="e">
        <f t="shared" ca="1" si="5"/>
        <v>#DIV/0!</v>
      </c>
      <c r="F121" s="16" t="e">
        <f t="shared" ca="1" si="6"/>
        <v>#DIV/0!</v>
      </c>
      <c r="G121" s="16" t="e">
        <f t="shared" ca="1" si="7"/>
        <v>#DIV/0!</v>
      </c>
      <c r="H121" s="15" t="e">
        <f t="shared" ca="1" si="8"/>
        <v>#DIV/0!</v>
      </c>
    </row>
    <row r="122" spans="4:8" ht="11.25">
      <c r="D122" s="15">
        <f t="shared" ca="1" si="9"/>
        <v>0</v>
      </c>
      <c r="E122" s="16" t="e">
        <f t="shared" ca="1" si="5"/>
        <v>#DIV/0!</v>
      </c>
      <c r="F122" s="16" t="e">
        <f t="shared" ca="1" si="6"/>
        <v>#DIV/0!</v>
      </c>
      <c r="G122" s="16" t="e">
        <f t="shared" ca="1" si="7"/>
        <v>#DIV/0!</v>
      </c>
      <c r="H122" s="15" t="e">
        <f t="shared" ca="1" si="8"/>
        <v>#DIV/0!</v>
      </c>
    </row>
    <row r="123" spans="4:8" ht="11.25">
      <c r="D123" s="15">
        <f t="shared" ca="1" si="9"/>
        <v>0</v>
      </c>
      <c r="E123" s="16" t="e">
        <f t="shared" ca="1" si="5"/>
        <v>#DIV/0!</v>
      </c>
      <c r="F123" s="16" t="e">
        <f t="shared" ca="1" si="6"/>
        <v>#DIV/0!</v>
      </c>
      <c r="G123" s="16" t="e">
        <f t="shared" ca="1" si="7"/>
        <v>#DIV/0!</v>
      </c>
      <c r="H123" s="15" t="e">
        <f t="shared" ca="1" si="8"/>
        <v>#DIV/0!</v>
      </c>
    </row>
    <row r="124" spans="4:8" ht="11.25">
      <c r="D124" s="15">
        <f t="shared" ca="1" si="9"/>
        <v>0</v>
      </c>
      <c r="E124" s="16" t="e">
        <f t="shared" ca="1" si="5"/>
        <v>#DIV/0!</v>
      </c>
      <c r="F124" s="16" t="e">
        <f t="shared" ca="1" si="6"/>
        <v>#DIV/0!</v>
      </c>
      <c r="G124" s="16" t="e">
        <f t="shared" ca="1" si="7"/>
        <v>#DIV/0!</v>
      </c>
      <c r="H124" s="15" t="e">
        <f t="shared" ca="1" si="8"/>
        <v>#DIV/0!</v>
      </c>
    </row>
    <row r="125" spans="4:8" ht="11.25">
      <c r="D125" s="15">
        <f t="shared" ca="1" si="9"/>
        <v>0</v>
      </c>
      <c r="E125" s="16" t="e">
        <f t="shared" ca="1" si="5"/>
        <v>#DIV/0!</v>
      </c>
      <c r="F125" s="16" t="e">
        <f t="shared" ca="1" si="6"/>
        <v>#DIV/0!</v>
      </c>
      <c r="G125" s="16" t="e">
        <f t="shared" ca="1" si="7"/>
        <v>#DIV/0!</v>
      </c>
      <c r="H125" s="15" t="e">
        <f t="shared" ca="1" si="8"/>
        <v>#DIV/0!</v>
      </c>
    </row>
    <row r="126" spans="4:8" ht="11.25">
      <c r="D126" s="15">
        <f t="shared" ca="1" si="9"/>
        <v>0</v>
      </c>
      <c r="E126" s="16" t="e">
        <f t="shared" ca="1" si="5"/>
        <v>#DIV/0!</v>
      </c>
      <c r="F126" s="16" t="e">
        <f t="shared" ca="1" si="6"/>
        <v>#DIV/0!</v>
      </c>
      <c r="G126" s="16" t="e">
        <f t="shared" ca="1" si="7"/>
        <v>#DIV/0!</v>
      </c>
      <c r="H126" s="15" t="e">
        <f t="shared" ca="1" si="8"/>
        <v>#DIV/0!</v>
      </c>
    </row>
    <row r="127" spans="4:8" ht="11.25">
      <c r="D127" s="15">
        <f t="shared" ca="1" si="9"/>
        <v>0</v>
      </c>
      <c r="E127" s="16" t="e">
        <f t="shared" ca="1" si="5"/>
        <v>#DIV/0!</v>
      </c>
      <c r="F127" s="16" t="e">
        <f t="shared" ca="1" si="6"/>
        <v>#DIV/0!</v>
      </c>
      <c r="G127" s="16" t="e">
        <f t="shared" ca="1" si="7"/>
        <v>#DIV/0!</v>
      </c>
      <c r="H127" s="15" t="e">
        <f t="shared" ca="1" si="8"/>
        <v>#DIV/0!</v>
      </c>
    </row>
    <row r="128" spans="4:8" ht="11.25">
      <c r="D128" s="15">
        <f t="shared" ca="1" si="9"/>
        <v>0</v>
      </c>
      <c r="E128" s="16" t="e">
        <f t="shared" ca="1" si="5"/>
        <v>#DIV/0!</v>
      </c>
      <c r="F128" s="16" t="e">
        <f t="shared" ca="1" si="6"/>
        <v>#DIV/0!</v>
      </c>
      <c r="G128" s="16" t="e">
        <f t="shared" ca="1" si="7"/>
        <v>#DIV/0!</v>
      </c>
      <c r="H128" s="15" t="e">
        <f t="shared" ca="1" si="8"/>
        <v>#DIV/0!</v>
      </c>
    </row>
    <row r="129" spans="4:8" ht="11.25">
      <c r="D129" s="15">
        <f t="shared" ca="1" si="9"/>
        <v>0</v>
      </c>
      <c r="E129" s="16" t="e">
        <f t="shared" ca="1" si="5"/>
        <v>#DIV/0!</v>
      </c>
      <c r="F129" s="16" t="e">
        <f t="shared" ca="1" si="6"/>
        <v>#DIV/0!</v>
      </c>
      <c r="G129" s="16" t="e">
        <f t="shared" ca="1" si="7"/>
        <v>#DIV/0!</v>
      </c>
      <c r="H129" s="15" t="e">
        <f t="shared" ca="1" si="8"/>
        <v>#DIV/0!</v>
      </c>
    </row>
    <row r="130" spans="4:8" ht="11.25">
      <c r="D130" s="15">
        <f t="shared" ca="1" si="9"/>
        <v>0</v>
      </c>
      <c r="E130" s="16" t="e">
        <f t="shared" ref="E130:E193" ca="1" si="10">IF(ISNA(D130),NA(),a*t^2+b*t+g)</f>
        <v>#DIV/0!</v>
      </c>
      <c r="F130" s="16" t="e">
        <f t="shared" ref="F130:F193" ca="1" si="11">IF(ISNA(D130),NA(),u*(t-mx)^2+v*(t-mx)+w+my)</f>
        <v>#DIV/0!</v>
      </c>
      <c r="G130" s="16" t="e">
        <f t="shared" ref="G130:G193" ca="1" si="12">IF(ISNA(D130),500,MIN(F129,G129))</f>
        <v>#DIV/0!</v>
      </c>
      <c r="H130" s="15" t="e">
        <f t="shared" ref="H130:H193" ca="1" si="13">IF(ISNA(D130),H129,IF(E130&lt;G129,D130,H129))</f>
        <v>#DIV/0!</v>
      </c>
    </row>
    <row r="131" spans="4:8" ht="11.25">
      <c r="D131" s="15">
        <f t="shared" ref="D131:D194" ca="1" si="14">IF(D130&lt;=MAX(x)+(MAX(x)-MIN(x))/50,D130+(MAX(x)-MIN(x))/100,NA())</f>
        <v>0</v>
      </c>
      <c r="E131" s="16" t="e">
        <f t="shared" ca="1" si="10"/>
        <v>#DIV/0!</v>
      </c>
      <c r="F131" s="16" t="e">
        <f t="shared" ca="1" si="11"/>
        <v>#DIV/0!</v>
      </c>
      <c r="G131" s="16" t="e">
        <f t="shared" ca="1" si="12"/>
        <v>#DIV/0!</v>
      </c>
      <c r="H131" s="15" t="e">
        <f t="shared" ca="1" si="13"/>
        <v>#DIV/0!</v>
      </c>
    </row>
    <row r="132" spans="4:8" ht="11.25">
      <c r="D132" s="15">
        <f t="shared" ca="1" si="14"/>
        <v>0</v>
      </c>
      <c r="E132" s="16" t="e">
        <f t="shared" ca="1" si="10"/>
        <v>#DIV/0!</v>
      </c>
      <c r="F132" s="16" t="e">
        <f t="shared" ca="1" si="11"/>
        <v>#DIV/0!</v>
      </c>
      <c r="G132" s="16" t="e">
        <f t="shared" ca="1" si="12"/>
        <v>#DIV/0!</v>
      </c>
      <c r="H132" s="15" t="e">
        <f t="shared" ca="1" si="13"/>
        <v>#DIV/0!</v>
      </c>
    </row>
    <row r="133" spans="4:8" ht="11.25">
      <c r="D133" s="15">
        <f t="shared" ca="1" si="14"/>
        <v>0</v>
      </c>
      <c r="E133" s="16" t="e">
        <f t="shared" ca="1" si="10"/>
        <v>#DIV/0!</v>
      </c>
      <c r="F133" s="16" t="e">
        <f t="shared" ca="1" si="11"/>
        <v>#DIV/0!</v>
      </c>
      <c r="G133" s="16" t="e">
        <f t="shared" ca="1" si="12"/>
        <v>#DIV/0!</v>
      </c>
      <c r="H133" s="15" t="e">
        <f t="shared" ca="1" si="13"/>
        <v>#DIV/0!</v>
      </c>
    </row>
    <row r="134" spans="4:8" ht="11.25">
      <c r="D134" s="15">
        <f t="shared" ca="1" si="14"/>
        <v>0</v>
      </c>
      <c r="E134" s="16" t="e">
        <f t="shared" ca="1" si="10"/>
        <v>#DIV/0!</v>
      </c>
      <c r="F134" s="16" t="e">
        <f t="shared" ca="1" si="11"/>
        <v>#DIV/0!</v>
      </c>
      <c r="G134" s="16" t="e">
        <f t="shared" ca="1" si="12"/>
        <v>#DIV/0!</v>
      </c>
      <c r="H134" s="15" t="e">
        <f t="shared" ca="1" si="13"/>
        <v>#DIV/0!</v>
      </c>
    </row>
    <row r="135" spans="4:8" ht="11.25">
      <c r="D135" s="15">
        <f t="shared" ca="1" si="14"/>
        <v>0</v>
      </c>
      <c r="E135" s="16" t="e">
        <f t="shared" ca="1" si="10"/>
        <v>#DIV/0!</v>
      </c>
      <c r="F135" s="16" t="e">
        <f t="shared" ca="1" si="11"/>
        <v>#DIV/0!</v>
      </c>
      <c r="G135" s="16" t="e">
        <f t="shared" ca="1" si="12"/>
        <v>#DIV/0!</v>
      </c>
      <c r="H135" s="15" t="e">
        <f t="shared" ca="1" si="13"/>
        <v>#DIV/0!</v>
      </c>
    </row>
    <row r="136" spans="4:8" ht="11.25">
      <c r="D136" s="15">
        <f t="shared" ca="1" si="14"/>
        <v>0</v>
      </c>
      <c r="E136" s="16" t="e">
        <f t="shared" ca="1" si="10"/>
        <v>#DIV/0!</v>
      </c>
      <c r="F136" s="16" t="e">
        <f t="shared" ca="1" si="11"/>
        <v>#DIV/0!</v>
      </c>
      <c r="G136" s="16" t="e">
        <f t="shared" ca="1" si="12"/>
        <v>#DIV/0!</v>
      </c>
      <c r="H136" s="15" t="e">
        <f t="shared" ca="1" si="13"/>
        <v>#DIV/0!</v>
      </c>
    </row>
    <row r="137" spans="4:8" ht="11.25">
      <c r="D137" s="15">
        <f t="shared" ca="1" si="14"/>
        <v>0</v>
      </c>
      <c r="E137" s="16" t="e">
        <f t="shared" ca="1" si="10"/>
        <v>#DIV/0!</v>
      </c>
      <c r="F137" s="16" t="e">
        <f t="shared" ca="1" si="11"/>
        <v>#DIV/0!</v>
      </c>
      <c r="G137" s="16" t="e">
        <f t="shared" ca="1" si="12"/>
        <v>#DIV/0!</v>
      </c>
      <c r="H137" s="15" t="e">
        <f t="shared" ca="1" si="13"/>
        <v>#DIV/0!</v>
      </c>
    </row>
    <row r="138" spans="4:8" ht="11.25">
      <c r="D138" s="15">
        <f t="shared" ca="1" si="14"/>
        <v>0</v>
      </c>
      <c r="E138" s="16" t="e">
        <f t="shared" ca="1" si="10"/>
        <v>#DIV/0!</v>
      </c>
      <c r="F138" s="16" t="e">
        <f t="shared" ca="1" si="11"/>
        <v>#DIV/0!</v>
      </c>
      <c r="G138" s="16" t="e">
        <f t="shared" ca="1" si="12"/>
        <v>#DIV/0!</v>
      </c>
      <c r="H138" s="15" t="e">
        <f t="shared" ca="1" si="13"/>
        <v>#DIV/0!</v>
      </c>
    </row>
    <row r="139" spans="4:8" ht="11.25">
      <c r="D139" s="15">
        <f t="shared" ca="1" si="14"/>
        <v>0</v>
      </c>
      <c r="E139" s="16" t="e">
        <f t="shared" ca="1" si="10"/>
        <v>#DIV/0!</v>
      </c>
      <c r="F139" s="16" t="e">
        <f t="shared" ca="1" si="11"/>
        <v>#DIV/0!</v>
      </c>
      <c r="G139" s="16" t="e">
        <f t="shared" ca="1" si="12"/>
        <v>#DIV/0!</v>
      </c>
      <c r="H139" s="15" t="e">
        <f t="shared" ca="1" si="13"/>
        <v>#DIV/0!</v>
      </c>
    </row>
    <row r="140" spans="4:8" ht="11.25">
      <c r="D140" s="15">
        <f t="shared" ca="1" si="14"/>
        <v>0</v>
      </c>
      <c r="E140" s="16" t="e">
        <f t="shared" ca="1" si="10"/>
        <v>#DIV/0!</v>
      </c>
      <c r="F140" s="16" t="e">
        <f t="shared" ca="1" si="11"/>
        <v>#DIV/0!</v>
      </c>
      <c r="G140" s="16" t="e">
        <f t="shared" ca="1" si="12"/>
        <v>#DIV/0!</v>
      </c>
      <c r="H140" s="15" t="e">
        <f t="shared" ca="1" si="13"/>
        <v>#DIV/0!</v>
      </c>
    </row>
    <row r="141" spans="4:8" ht="11.25">
      <c r="D141" s="15">
        <f t="shared" ca="1" si="14"/>
        <v>0</v>
      </c>
      <c r="E141" s="16" t="e">
        <f t="shared" ca="1" si="10"/>
        <v>#DIV/0!</v>
      </c>
      <c r="F141" s="16" t="e">
        <f t="shared" ca="1" si="11"/>
        <v>#DIV/0!</v>
      </c>
      <c r="G141" s="16" t="e">
        <f t="shared" ca="1" si="12"/>
        <v>#DIV/0!</v>
      </c>
      <c r="H141" s="15" t="e">
        <f t="shared" ca="1" si="13"/>
        <v>#DIV/0!</v>
      </c>
    </row>
    <row r="142" spans="4:8" ht="11.25">
      <c r="D142" s="15">
        <f t="shared" ca="1" si="14"/>
        <v>0</v>
      </c>
      <c r="E142" s="16" t="e">
        <f t="shared" ca="1" si="10"/>
        <v>#DIV/0!</v>
      </c>
      <c r="F142" s="16" t="e">
        <f t="shared" ca="1" si="11"/>
        <v>#DIV/0!</v>
      </c>
      <c r="G142" s="16" t="e">
        <f t="shared" ca="1" si="12"/>
        <v>#DIV/0!</v>
      </c>
      <c r="H142" s="15" t="e">
        <f t="shared" ca="1" si="13"/>
        <v>#DIV/0!</v>
      </c>
    </row>
    <row r="143" spans="4:8" ht="11.25">
      <c r="D143" s="15">
        <f t="shared" ca="1" si="14"/>
        <v>0</v>
      </c>
      <c r="E143" s="16" t="e">
        <f t="shared" ca="1" si="10"/>
        <v>#DIV/0!</v>
      </c>
      <c r="F143" s="16" t="e">
        <f t="shared" ca="1" si="11"/>
        <v>#DIV/0!</v>
      </c>
      <c r="G143" s="16" t="e">
        <f t="shared" ca="1" si="12"/>
        <v>#DIV/0!</v>
      </c>
      <c r="H143" s="15" t="e">
        <f t="shared" ca="1" si="13"/>
        <v>#DIV/0!</v>
      </c>
    </row>
    <row r="144" spans="4:8" ht="11.25">
      <c r="D144" s="15">
        <f t="shared" ca="1" si="14"/>
        <v>0</v>
      </c>
      <c r="E144" s="16" t="e">
        <f t="shared" ca="1" si="10"/>
        <v>#DIV/0!</v>
      </c>
      <c r="F144" s="16" t="e">
        <f t="shared" ca="1" si="11"/>
        <v>#DIV/0!</v>
      </c>
      <c r="G144" s="16" t="e">
        <f t="shared" ca="1" si="12"/>
        <v>#DIV/0!</v>
      </c>
      <c r="H144" s="15" t="e">
        <f t="shared" ca="1" si="13"/>
        <v>#DIV/0!</v>
      </c>
    </row>
    <row r="145" spans="4:8" ht="11.25">
      <c r="D145" s="15">
        <f t="shared" ca="1" si="14"/>
        <v>0</v>
      </c>
      <c r="E145" s="16" t="e">
        <f t="shared" ca="1" si="10"/>
        <v>#DIV/0!</v>
      </c>
      <c r="F145" s="16" t="e">
        <f t="shared" ca="1" si="11"/>
        <v>#DIV/0!</v>
      </c>
      <c r="G145" s="16" t="e">
        <f t="shared" ca="1" si="12"/>
        <v>#DIV/0!</v>
      </c>
      <c r="H145" s="15" t="e">
        <f t="shared" ca="1" si="13"/>
        <v>#DIV/0!</v>
      </c>
    </row>
    <row r="146" spans="4:8" ht="11.25">
      <c r="D146" s="15">
        <f t="shared" ca="1" si="14"/>
        <v>0</v>
      </c>
      <c r="E146" s="16" t="e">
        <f t="shared" ca="1" si="10"/>
        <v>#DIV/0!</v>
      </c>
      <c r="F146" s="16" t="e">
        <f t="shared" ca="1" si="11"/>
        <v>#DIV/0!</v>
      </c>
      <c r="G146" s="16" t="e">
        <f t="shared" ca="1" si="12"/>
        <v>#DIV/0!</v>
      </c>
      <c r="H146" s="15" t="e">
        <f t="shared" ca="1" si="13"/>
        <v>#DIV/0!</v>
      </c>
    </row>
    <row r="147" spans="4:8" ht="11.25">
      <c r="D147" s="15">
        <f t="shared" ca="1" si="14"/>
        <v>0</v>
      </c>
      <c r="E147" s="16" t="e">
        <f t="shared" ca="1" si="10"/>
        <v>#DIV/0!</v>
      </c>
      <c r="F147" s="16" t="e">
        <f t="shared" ca="1" si="11"/>
        <v>#DIV/0!</v>
      </c>
      <c r="G147" s="16" t="e">
        <f t="shared" ca="1" si="12"/>
        <v>#DIV/0!</v>
      </c>
      <c r="H147" s="15" t="e">
        <f t="shared" ca="1" si="13"/>
        <v>#DIV/0!</v>
      </c>
    </row>
    <row r="148" spans="4:8" ht="11.25">
      <c r="D148" s="15">
        <f t="shared" ca="1" si="14"/>
        <v>0</v>
      </c>
      <c r="E148" s="16" t="e">
        <f t="shared" ca="1" si="10"/>
        <v>#DIV/0!</v>
      </c>
      <c r="F148" s="16" t="e">
        <f t="shared" ca="1" si="11"/>
        <v>#DIV/0!</v>
      </c>
      <c r="G148" s="16" t="e">
        <f t="shared" ca="1" si="12"/>
        <v>#DIV/0!</v>
      </c>
      <c r="H148" s="15" t="e">
        <f t="shared" ca="1" si="13"/>
        <v>#DIV/0!</v>
      </c>
    </row>
    <row r="149" spans="4:8" ht="11.25">
      <c r="D149" s="15">
        <f t="shared" ca="1" si="14"/>
        <v>0</v>
      </c>
      <c r="E149" s="16" t="e">
        <f t="shared" ca="1" si="10"/>
        <v>#DIV/0!</v>
      </c>
      <c r="F149" s="16" t="e">
        <f t="shared" ca="1" si="11"/>
        <v>#DIV/0!</v>
      </c>
      <c r="G149" s="16" t="e">
        <f t="shared" ca="1" si="12"/>
        <v>#DIV/0!</v>
      </c>
      <c r="H149" s="15" t="e">
        <f t="shared" ca="1" si="13"/>
        <v>#DIV/0!</v>
      </c>
    </row>
    <row r="150" spans="4:8" ht="11.25">
      <c r="D150" s="15">
        <f t="shared" ca="1" si="14"/>
        <v>0</v>
      </c>
      <c r="E150" s="16" t="e">
        <f t="shared" ca="1" si="10"/>
        <v>#DIV/0!</v>
      </c>
      <c r="F150" s="16" t="e">
        <f t="shared" ca="1" si="11"/>
        <v>#DIV/0!</v>
      </c>
      <c r="G150" s="16" t="e">
        <f t="shared" ca="1" si="12"/>
        <v>#DIV/0!</v>
      </c>
      <c r="H150" s="15" t="e">
        <f t="shared" ca="1" si="13"/>
        <v>#DIV/0!</v>
      </c>
    </row>
    <row r="151" spans="4:8" ht="11.25">
      <c r="D151" s="15">
        <f t="shared" ca="1" si="14"/>
        <v>0</v>
      </c>
      <c r="E151" s="16" t="e">
        <f t="shared" ca="1" si="10"/>
        <v>#DIV/0!</v>
      </c>
      <c r="F151" s="16" t="e">
        <f t="shared" ca="1" si="11"/>
        <v>#DIV/0!</v>
      </c>
      <c r="G151" s="16" t="e">
        <f t="shared" ca="1" si="12"/>
        <v>#DIV/0!</v>
      </c>
      <c r="H151" s="15" t="e">
        <f t="shared" ca="1" si="13"/>
        <v>#DIV/0!</v>
      </c>
    </row>
    <row r="152" spans="4:8" ht="11.25">
      <c r="D152" s="15">
        <f t="shared" ca="1" si="14"/>
        <v>0</v>
      </c>
      <c r="E152" s="16" t="e">
        <f t="shared" ca="1" si="10"/>
        <v>#DIV/0!</v>
      </c>
      <c r="F152" s="16" t="e">
        <f t="shared" ca="1" si="11"/>
        <v>#DIV/0!</v>
      </c>
      <c r="G152" s="16" t="e">
        <f t="shared" ca="1" si="12"/>
        <v>#DIV/0!</v>
      </c>
      <c r="H152" s="15" t="e">
        <f t="shared" ca="1" si="13"/>
        <v>#DIV/0!</v>
      </c>
    </row>
    <row r="153" spans="4:8" ht="11.25">
      <c r="D153" s="15">
        <f t="shared" ca="1" si="14"/>
        <v>0</v>
      </c>
      <c r="E153" s="16" t="e">
        <f t="shared" ca="1" si="10"/>
        <v>#DIV/0!</v>
      </c>
      <c r="F153" s="16" t="e">
        <f t="shared" ca="1" si="11"/>
        <v>#DIV/0!</v>
      </c>
      <c r="G153" s="16" t="e">
        <f t="shared" ca="1" si="12"/>
        <v>#DIV/0!</v>
      </c>
      <c r="H153" s="15" t="e">
        <f t="shared" ca="1" si="13"/>
        <v>#DIV/0!</v>
      </c>
    </row>
    <row r="154" spans="4:8" ht="11.25">
      <c r="D154" s="15">
        <f t="shared" ca="1" si="14"/>
        <v>0</v>
      </c>
      <c r="E154" s="16" t="e">
        <f t="shared" ca="1" si="10"/>
        <v>#DIV/0!</v>
      </c>
      <c r="F154" s="16" t="e">
        <f t="shared" ca="1" si="11"/>
        <v>#DIV/0!</v>
      </c>
      <c r="G154" s="16" t="e">
        <f t="shared" ca="1" si="12"/>
        <v>#DIV/0!</v>
      </c>
      <c r="H154" s="15" t="e">
        <f t="shared" ca="1" si="13"/>
        <v>#DIV/0!</v>
      </c>
    </row>
    <row r="155" spans="4:8" ht="11.25">
      <c r="D155" s="15">
        <f t="shared" ca="1" si="14"/>
        <v>0</v>
      </c>
      <c r="E155" s="16" t="e">
        <f t="shared" ca="1" si="10"/>
        <v>#DIV/0!</v>
      </c>
      <c r="F155" s="16" t="e">
        <f t="shared" ca="1" si="11"/>
        <v>#DIV/0!</v>
      </c>
      <c r="G155" s="16" t="e">
        <f t="shared" ca="1" si="12"/>
        <v>#DIV/0!</v>
      </c>
      <c r="H155" s="15" t="e">
        <f t="shared" ca="1" si="13"/>
        <v>#DIV/0!</v>
      </c>
    </row>
    <row r="156" spans="4:8" ht="11.25">
      <c r="D156" s="15">
        <f t="shared" ca="1" si="14"/>
        <v>0</v>
      </c>
      <c r="E156" s="16" t="e">
        <f t="shared" ca="1" si="10"/>
        <v>#DIV/0!</v>
      </c>
      <c r="F156" s="16" t="e">
        <f t="shared" ca="1" si="11"/>
        <v>#DIV/0!</v>
      </c>
      <c r="G156" s="16" t="e">
        <f t="shared" ca="1" si="12"/>
        <v>#DIV/0!</v>
      </c>
      <c r="H156" s="15" t="e">
        <f t="shared" ca="1" si="13"/>
        <v>#DIV/0!</v>
      </c>
    </row>
    <row r="157" spans="4:8" ht="11.25">
      <c r="D157" s="15">
        <f t="shared" ca="1" si="14"/>
        <v>0</v>
      </c>
      <c r="E157" s="16" t="e">
        <f t="shared" ca="1" si="10"/>
        <v>#DIV/0!</v>
      </c>
      <c r="F157" s="16" t="e">
        <f t="shared" ca="1" si="11"/>
        <v>#DIV/0!</v>
      </c>
      <c r="G157" s="16" t="e">
        <f t="shared" ca="1" si="12"/>
        <v>#DIV/0!</v>
      </c>
      <c r="H157" s="15" t="e">
        <f t="shared" ca="1" si="13"/>
        <v>#DIV/0!</v>
      </c>
    </row>
    <row r="158" spans="4:8" ht="11.25">
      <c r="D158" s="15">
        <f t="shared" ca="1" si="14"/>
        <v>0</v>
      </c>
      <c r="E158" s="16" t="e">
        <f t="shared" ca="1" si="10"/>
        <v>#DIV/0!</v>
      </c>
      <c r="F158" s="16" t="e">
        <f t="shared" ca="1" si="11"/>
        <v>#DIV/0!</v>
      </c>
      <c r="G158" s="16" t="e">
        <f t="shared" ca="1" si="12"/>
        <v>#DIV/0!</v>
      </c>
      <c r="H158" s="15" t="e">
        <f t="shared" ca="1" si="13"/>
        <v>#DIV/0!</v>
      </c>
    </row>
    <row r="159" spans="4:8" ht="11.25">
      <c r="D159" s="15">
        <f t="shared" ca="1" si="14"/>
        <v>0</v>
      </c>
      <c r="E159" s="16" t="e">
        <f t="shared" ca="1" si="10"/>
        <v>#DIV/0!</v>
      </c>
      <c r="F159" s="16" t="e">
        <f t="shared" ca="1" si="11"/>
        <v>#DIV/0!</v>
      </c>
      <c r="G159" s="16" t="e">
        <f t="shared" ca="1" si="12"/>
        <v>#DIV/0!</v>
      </c>
      <c r="H159" s="15" t="e">
        <f t="shared" ca="1" si="13"/>
        <v>#DIV/0!</v>
      </c>
    </row>
    <row r="160" spans="4:8" ht="11.25">
      <c r="D160" s="15">
        <f t="shared" ca="1" si="14"/>
        <v>0</v>
      </c>
      <c r="E160" s="16" t="e">
        <f t="shared" ca="1" si="10"/>
        <v>#DIV/0!</v>
      </c>
      <c r="F160" s="16" t="e">
        <f t="shared" ca="1" si="11"/>
        <v>#DIV/0!</v>
      </c>
      <c r="G160" s="16" t="e">
        <f t="shared" ca="1" si="12"/>
        <v>#DIV/0!</v>
      </c>
      <c r="H160" s="15" t="e">
        <f t="shared" ca="1" si="13"/>
        <v>#DIV/0!</v>
      </c>
    </row>
    <row r="161" spans="4:8" ht="11.25">
      <c r="D161" s="15">
        <f t="shared" ca="1" si="14"/>
        <v>0</v>
      </c>
      <c r="E161" s="16" t="e">
        <f t="shared" ca="1" si="10"/>
        <v>#DIV/0!</v>
      </c>
      <c r="F161" s="16" t="e">
        <f t="shared" ca="1" si="11"/>
        <v>#DIV/0!</v>
      </c>
      <c r="G161" s="16" t="e">
        <f t="shared" ca="1" si="12"/>
        <v>#DIV/0!</v>
      </c>
      <c r="H161" s="15" t="e">
        <f t="shared" ca="1" si="13"/>
        <v>#DIV/0!</v>
      </c>
    </row>
    <row r="162" spans="4:8" ht="11.25">
      <c r="D162" s="15">
        <f t="shared" ca="1" si="14"/>
        <v>0</v>
      </c>
      <c r="E162" s="16" t="e">
        <f t="shared" ca="1" si="10"/>
        <v>#DIV/0!</v>
      </c>
      <c r="F162" s="16" t="e">
        <f t="shared" ca="1" si="11"/>
        <v>#DIV/0!</v>
      </c>
      <c r="G162" s="16" t="e">
        <f t="shared" ca="1" si="12"/>
        <v>#DIV/0!</v>
      </c>
      <c r="H162" s="15" t="e">
        <f t="shared" ca="1" si="13"/>
        <v>#DIV/0!</v>
      </c>
    </row>
    <row r="163" spans="4:8" ht="11.25">
      <c r="D163" s="15">
        <f t="shared" ca="1" si="14"/>
        <v>0</v>
      </c>
      <c r="E163" s="16" t="e">
        <f t="shared" ca="1" si="10"/>
        <v>#DIV/0!</v>
      </c>
      <c r="F163" s="16" t="e">
        <f t="shared" ca="1" si="11"/>
        <v>#DIV/0!</v>
      </c>
      <c r="G163" s="16" t="e">
        <f t="shared" ca="1" si="12"/>
        <v>#DIV/0!</v>
      </c>
      <c r="H163" s="15" t="e">
        <f t="shared" ca="1" si="13"/>
        <v>#DIV/0!</v>
      </c>
    </row>
    <row r="164" spans="4:8" ht="11.25">
      <c r="D164" s="15">
        <f t="shared" ca="1" si="14"/>
        <v>0</v>
      </c>
      <c r="E164" s="16" t="e">
        <f t="shared" ca="1" si="10"/>
        <v>#DIV/0!</v>
      </c>
      <c r="F164" s="16" t="e">
        <f t="shared" ca="1" si="11"/>
        <v>#DIV/0!</v>
      </c>
      <c r="G164" s="16" t="e">
        <f t="shared" ca="1" si="12"/>
        <v>#DIV/0!</v>
      </c>
      <c r="H164" s="15" t="e">
        <f t="shared" ca="1" si="13"/>
        <v>#DIV/0!</v>
      </c>
    </row>
    <row r="165" spans="4:8" ht="11.25">
      <c r="D165" s="15">
        <f t="shared" ca="1" si="14"/>
        <v>0</v>
      </c>
      <c r="E165" s="16" t="e">
        <f t="shared" ca="1" si="10"/>
        <v>#DIV/0!</v>
      </c>
      <c r="F165" s="16" t="e">
        <f t="shared" ca="1" si="11"/>
        <v>#DIV/0!</v>
      </c>
      <c r="G165" s="16" t="e">
        <f t="shared" ca="1" si="12"/>
        <v>#DIV/0!</v>
      </c>
      <c r="H165" s="15" t="e">
        <f t="shared" ca="1" si="13"/>
        <v>#DIV/0!</v>
      </c>
    </row>
    <row r="166" spans="4:8" ht="11.25">
      <c r="D166" s="15">
        <f t="shared" ca="1" si="14"/>
        <v>0</v>
      </c>
      <c r="E166" s="16" t="e">
        <f t="shared" ca="1" si="10"/>
        <v>#DIV/0!</v>
      </c>
      <c r="F166" s="16" t="e">
        <f t="shared" ca="1" si="11"/>
        <v>#DIV/0!</v>
      </c>
      <c r="G166" s="16" t="e">
        <f t="shared" ca="1" si="12"/>
        <v>#DIV/0!</v>
      </c>
      <c r="H166" s="15" t="e">
        <f t="shared" ca="1" si="13"/>
        <v>#DIV/0!</v>
      </c>
    </row>
    <row r="167" spans="4:8" ht="11.25">
      <c r="D167" s="15">
        <f t="shared" ca="1" si="14"/>
        <v>0</v>
      </c>
      <c r="E167" s="16" t="e">
        <f t="shared" ca="1" si="10"/>
        <v>#DIV/0!</v>
      </c>
      <c r="F167" s="16" t="e">
        <f t="shared" ca="1" si="11"/>
        <v>#DIV/0!</v>
      </c>
      <c r="G167" s="16" t="e">
        <f t="shared" ca="1" si="12"/>
        <v>#DIV/0!</v>
      </c>
      <c r="H167" s="15" t="e">
        <f t="shared" ca="1" si="13"/>
        <v>#DIV/0!</v>
      </c>
    </row>
    <row r="168" spans="4:8" ht="11.25">
      <c r="D168" s="15">
        <f t="shared" ca="1" si="14"/>
        <v>0</v>
      </c>
      <c r="E168" s="16" t="e">
        <f t="shared" ca="1" si="10"/>
        <v>#DIV/0!</v>
      </c>
      <c r="F168" s="16" t="e">
        <f t="shared" ca="1" si="11"/>
        <v>#DIV/0!</v>
      </c>
      <c r="G168" s="16" t="e">
        <f t="shared" ca="1" si="12"/>
        <v>#DIV/0!</v>
      </c>
      <c r="H168" s="15" t="e">
        <f t="shared" ca="1" si="13"/>
        <v>#DIV/0!</v>
      </c>
    </row>
    <row r="169" spans="4:8" ht="11.25">
      <c r="D169" s="15">
        <f t="shared" ca="1" si="14"/>
        <v>0</v>
      </c>
      <c r="E169" s="16" t="e">
        <f t="shared" ca="1" si="10"/>
        <v>#DIV/0!</v>
      </c>
      <c r="F169" s="16" t="e">
        <f t="shared" ca="1" si="11"/>
        <v>#DIV/0!</v>
      </c>
      <c r="G169" s="16" t="e">
        <f t="shared" ca="1" si="12"/>
        <v>#DIV/0!</v>
      </c>
      <c r="H169" s="15" t="e">
        <f t="shared" ca="1" si="13"/>
        <v>#DIV/0!</v>
      </c>
    </row>
    <row r="170" spans="4:8" ht="11.25">
      <c r="D170" s="15">
        <f t="shared" ca="1" si="14"/>
        <v>0</v>
      </c>
      <c r="E170" s="16" t="e">
        <f t="shared" ca="1" si="10"/>
        <v>#DIV/0!</v>
      </c>
      <c r="F170" s="16" t="e">
        <f t="shared" ca="1" si="11"/>
        <v>#DIV/0!</v>
      </c>
      <c r="G170" s="16" t="e">
        <f t="shared" ca="1" si="12"/>
        <v>#DIV/0!</v>
      </c>
      <c r="H170" s="15" t="e">
        <f t="shared" ca="1" si="13"/>
        <v>#DIV/0!</v>
      </c>
    </row>
    <row r="171" spans="4:8" ht="11.25">
      <c r="D171" s="15">
        <f t="shared" ca="1" si="14"/>
        <v>0</v>
      </c>
      <c r="E171" s="16" t="e">
        <f t="shared" ca="1" si="10"/>
        <v>#DIV/0!</v>
      </c>
      <c r="F171" s="16" t="e">
        <f t="shared" ca="1" si="11"/>
        <v>#DIV/0!</v>
      </c>
      <c r="G171" s="16" t="e">
        <f t="shared" ca="1" si="12"/>
        <v>#DIV/0!</v>
      </c>
      <c r="H171" s="15" t="e">
        <f t="shared" ca="1" si="13"/>
        <v>#DIV/0!</v>
      </c>
    </row>
    <row r="172" spans="4:8" ht="11.25">
      <c r="D172" s="15">
        <f t="shared" ca="1" si="14"/>
        <v>0</v>
      </c>
      <c r="E172" s="16" t="e">
        <f t="shared" ca="1" si="10"/>
        <v>#DIV/0!</v>
      </c>
      <c r="F172" s="16" t="e">
        <f t="shared" ca="1" si="11"/>
        <v>#DIV/0!</v>
      </c>
      <c r="G172" s="16" t="e">
        <f t="shared" ca="1" si="12"/>
        <v>#DIV/0!</v>
      </c>
      <c r="H172" s="15" t="e">
        <f t="shared" ca="1" si="13"/>
        <v>#DIV/0!</v>
      </c>
    </row>
    <row r="173" spans="4:8" ht="11.25">
      <c r="D173" s="15">
        <f t="shared" ca="1" si="14"/>
        <v>0</v>
      </c>
      <c r="E173" s="16" t="e">
        <f t="shared" ca="1" si="10"/>
        <v>#DIV/0!</v>
      </c>
      <c r="F173" s="16" t="e">
        <f t="shared" ca="1" si="11"/>
        <v>#DIV/0!</v>
      </c>
      <c r="G173" s="16" t="e">
        <f t="shared" ca="1" si="12"/>
        <v>#DIV/0!</v>
      </c>
      <c r="H173" s="15" t="e">
        <f t="shared" ca="1" si="13"/>
        <v>#DIV/0!</v>
      </c>
    </row>
    <row r="174" spans="4:8" ht="11.25">
      <c r="D174" s="15">
        <f t="shared" ca="1" si="14"/>
        <v>0</v>
      </c>
      <c r="E174" s="16" t="e">
        <f t="shared" ca="1" si="10"/>
        <v>#DIV/0!</v>
      </c>
      <c r="F174" s="16" t="e">
        <f t="shared" ca="1" si="11"/>
        <v>#DIV/0!</v>
      </c>
      <c r="G174" s="16" t="e">
        <f t="shared" ca="1" si="12"/>
        <v>#DIV/0!</v>
      </c>
      <c r="H174" s="15" t="e">
        <f t="shared" ca="1" si="13"/>
        <v>#DIV/0!</v>
      </c>
    </row>
    <row r="175" spans="4:8" ht="11.25">
      <c r="D175" s="15">
        <f t="shared" ca="1" si="14"/>
        <v>0</v>
      </c>
      <c r="E175" s="16" t="e">
        <f t="shared" ca="1" si="10"/>
        <v>#DIV/0!</v>
      </c>
      <c r="F175" s="16" t="e">
        <f t="shared" ca="1" si="11"/>
        <v>#DIV/0!</v>
      </c>
      <c r="G175" s="16" t="e">
        <f t="shared" ca="1" si="12"/>
        <v>#DIV/0!</v>
      </c>
      <c r="H175" s="15" t="e">
        <f t="shared" ca="1" si="13"/>
        <v>#DIV/0!</v>
      </c>
    </row>
    <row r="176" spans="4:8" ht="11.25">
      <c r="D176" s="15">
        <f t="shared" ca="1" si="14"/>
        <v>0</v>
      </c>
      <c r="E176" s="16" t="e">
        <f t="shared" ca="1" si="10"/>
        <v>#DIV/0!</v>
      </c>
      <c r="F176" s="16" t="e">
        <f t="shared" ca="1" si="11"/>
        <v>#DIV/0!</v>
      </c>
      <c r="G176" s="16" t="e">
        <f t="shared" ca="1" si="12"/>
        <v>#DIV/0!</v>
      </c>
      <c r="H176" s="15" t="e">
        <f t="shared" ca="1" si="13"/>
        <v>#DIV/0!</v>
      </c>
    </row>
    <row r="177" spans="4:8" ht="11.25">
      <c r="D177" s="15">
        <f t="shared" ca="1" si="14"/>
        <v>0</v>
      </c>
      <c r="E177" s="16" t="e">
        <f t="shared" ca="1" si="10"/>
        <v>#DIV/0!</v>
      </c>
      <c r="F177" s="16" t="e">
        <f t="shared" ca="1" si="11"/>
        <v>#DIV/0!</v>
      </c>
      <c r="G177" s="16" t="e">
        <f t="shared" ca="1" si="12"/>
        <v>#DIV/0!</v>
      </c>
      <c r="H177" s="15" t="e">
        <f t="shared" ca="1" si="13"/>
        <v>#DIV/0!</v>
      </c>
    </row>
    <row r="178" spans="4:8" ht="11.25">
      <c r="D178" s="15">
        <f t="shared" ca="1" si="14"/>
        <v>0</v>
      </c>
      <c r="E178" s="16" t="e">
        <f t="shared" ca="1" si="10"/>
        <v>#DIV/0!</v>
      </c>
      <c r="F178" s="16" t="e">
        <f t="shared" ca="1" si="11"/>
        <v>#DIV/0!</v>
      </c>
      <c r="G178" s="16" t="e">
        <f t="shared" ca="1" si="12"/>
        <v>#DIV/0!</v>
      </c>
      <c r="H178" s="15" t="e">
        <f t="shared" ca="1" si="13"/>
        <v>#DIV/0!</v>
      </c>
    </row>
    <row r="179" spans="4:8" ht="11.25">
      <c r="D179" s="15">
        <f t="shared" ca="1" si="14"/>
        <v>0</v>
      </c>
      <c r="E179" s="16" t="e">
        <f t="shared" ca="1" si="10"/>
        <v>#DIV/0!</v>
      </c>
      <c r="F179" s="16" t="e">
        <f t="shared" ca="1" si="11"/>
        <v>#DIV/0!</v>
      </c>
      <c r="G179" s="16" t="e">
        <f t="shared" ca="1" si="12"/>
        <v>#DIV/0!</v>
      </c>
      <c r="H179" s="15" t="e">
        <f t="shared" ca="1" si="13"/>
        <v>#DIV/0!</v>
      </c>
    </row>
    <row r="180" spans="4:8" ht="11.25">
      <c r="D180" s="15">
        <f t="shared" ca="1" si="14"/>
        <v>0</v>
      </c>
      <c r="E180" s="16" t="e">
        <f t="shared" ca="1" si="10"/>
        <v>#DIV/0!</v>
      </c>
      <c r="F180" s="16" t="e">
        <f t="shared" ca="1" si="11"/>
        <v>#DIV/0!</v>
      </c>
      <c r="G180" s="16" t="e">
        <f t="shared" ca="1" si="12"/>
        <v>#DIV/0!</v>
      </c>
      <c r="H180" s="15" t="e">
        <f t="shared" ca="1" si="13"/>
        <v>#DIV/0!</v>
      </c>
    </row>
    <row r="181" spans="4:8" ht="11.25">
      <c r="D181" s="15">
        <f t="shared" ca="1" si="14"/>
        <v>0</v>
      </c>
      <c r="E181" s="16" t="e">
        <f t="shared" ca="1" si="10"/>
        <v>#DIV/0!</v>
      </c>
      <c r="F181" s="16" t="e">
        <f t="shared" ca="1" si="11"/>
        <v>#DIV/0!</v>
      </c>
      <c r="G181" s="16" t="e">
        <f t="shared" ca="1" si="12"/>
        <v>#DIV/0!</v>
      </c>
      <c r="H181" s="15" t="e">
        <f t="shared" ca="1" si="13"/>
        <v>#DIV/0!</v>
      </c>
    </row>
    <row r="182" spans="4:8" ht="11.25">
      <c r="D182" s="15">
        <f t="shared" ca="1" si="14"/>
        <v>0</v>
      </c>
      <c r="E182" s="16" t="e">
        <f t="shared" ca="1" si="10"/>
        <v>#DIV/0!</v>
      </c>
      <c r="F182" s="16" t="e">
        <f t="shared" ca="1" si="11"/>
        <v>#DIV/0!</v>
      </c>
      <c r="G182" s="16" t="e">
        <f t="shared" ca="1" si="12"/>
        <v>#DIV/0!</v>
      </c>
      <c r="H182" s="15" t="e">
        <f t="shared" ca="1" si="13"/>
        <v>#DIV/0!</v>
      </c>
    </row>
    <row r="183" spans="4:8" ht="11.25">
      <c r="D183" s="15">
        <f t="shared" ca="1" si="14"/>
        <v>0</v>
      </c>
      <c r="E183" s="16" t="e">
        <f t="shared" ca="1" si="10"/>
        <v>#DIV/0!</v>
      </c>
      <c r="F183" s="16" t="e">
        <f t="shared" ca="1" si="11"/>
        <v>#DIV/0!</v>
      </c>
      <c r="G183" s="16" t="e">
        <f t="shared" ca="1" si="12"/>
        <v>#DIV/0!</v>
      </c>
      <c r="H183" s="15" t="e">
        <f t="shared" ca="1" si="13"/>
        <v>#DIV/0!</v>
      </c>
    </row>
    <row r="184" spans="4:8" ht="11.25">
      <c r="D184" s="15">
        <f t="shared" ca="1" si="14"/>
        <v>0</v>
      </c>
      <c r="E184" s="16" t="e">
        <f t="shared" ca="1" si="10"/>
        <v>#DIV/0!</v>
      </c>
      <c r="F184" s="16" t="e">
        <f t="shared" ca="1" si="11"/>
        <v>#DIV/0!</v>
      </c>
      <c r="G184" s="16" t="e">
        <f t="shared" ca="1" si="12"/>
        <v>#DIV/0!</v>
      </c>
      <c r="H184" s="15" t="e">
        <f t="shared" ca="1" si="13"/>
        <v>#DIV/0!</v>
      </c>
    </row>
    <row r="185" spans="4:8" ht="11.25">
      <c r="D185" s="15">
        <f t="shared" ca="1" si="14"/>
        <v>0</v>
      </c>
      <c r="E185" s="16" t="e">
        <f t="shared" ca="1" si="10"/>
        <v>#DIV/0!</v>
      </c>
      <c r="F185" s="16" t="e">
        <f t="shared" ca="1" si="11"/>
        <v>#DIV/0!</v>
      </c>
      <c r="G185" s="16" t="e">
        <f t="shared" ca="1" si="12"/>
        <v>#DIV/0!</v>
      </c>
      <c r="H185" s="15" t="e">
        <f t="shared" ca="1" si="13"/>
        <v>#DIV/0!</v>
      </c>
    </row>
    <row r="186" spans="4:8" ht="11.25">
      <c r="D186" s="15">
        <f t="shared" ca="1" si="14"/>
        <v>0</v>
      </c>
      <c r="E186" s="16" t="e">
        <f t="shared" ca="1" si="10"/>
        <v>#DIV/0!</v>
      </c>
      <c r="F186" s="16" t="e">
        <f t="shared" ca="1" si="11"/>
        <v>#DIV/0!</v>
      </c>
      <c r="G186" s="16" t="e">
        <f t="shared" ca="1" si="12"/>
        <v>#DIV/0!</v>
      </c>
      <c r="H186" s="15" t="e">
        <f t="shared" ca="1" si="13"/>
        <v>#DIV/0!</v>
      </c>
    </row>
    <row r="187" spans="4:8" ht="11.25">
      <c r="D187" s="15">
        <f t="shared" ca="1" si="14"/>
        <v>0</v>
      </c>
      <c r="E187" s="16" t="e">
        <f t="shared" ca="1" si="10"/>
        <v>#DIV/0!</v>
      </c>
      <c r="F187" s="16" t="e">
        <f t="shared" ca="1" si="11"/>
        <v>#DIV/0!</v>
      </c>
      <c r="G187" s="16" t="e">
        <f t="shared" ca="1" si="12"/>
        <v>#DIV/0!</v>
      </c>
      <c r="H187" s="15" t="e">
        <f t="shared" ca="1" si="13"/>
        <v>#DIV/0!</v>
      </c>
    </row>
    <row r="188" spans="4:8" ht="11.25">
      <c r="D188" s="15">
        <f t="shared" ca="1" si="14"/>
        <v>0</v>
      </c>
      <c r="E188" s="16" t="e">
        <f t="shared" ca="1" si="10"/>
        <v>#DIV/0!</v>
      </c>
      <c r="F188" s="16" t="e">
        <f t="shared" ca="1" si="11"/>
        <v>#DIV/0!</v>
      </c>
      <c r="G188" s="16" t="e">
        <f t="shared" ca="1" si="12"/>
        <v>#DIV/0!</v>
      </c>
      <c r="H188" s="15" t="e">
        <f t="shared" ca="1" si="13"/>
        <v>#DIV/0!</v>
      </c>
    </row>
    <row r="189" spans="4:8" ht="11.25">
      <c r="D189" s="15">
        <f t="shared" ca="1" si="14"/>
        <v>0</v>
      </c>
      <c r="E189" s="16" t="e">
        <f t="shared" ca="1" si="10"/>
        <v>#DIV/0!</v>
      </c>
      <c r="F189" s="16" t="e">
        <f t="shared" ca="1" si="11"/>
        <v>#DIV/0!</v>
      </c>
      <c r="G189" s="16" t="e">
        <f t="shared" ca="1" si="12"/>
        <v>#DIV/0!</v>
      </c>
      <c r="H189" s="15" t="e">
        <f t="shared" ca="1" si="13"/>
        <v>#DIV/0!</v>
      </c>
    </row>
    <row r="190" spans="4:8" ht="11.25">
      <c r="D190" s="15">
        <f t="shared" ca="1" si="14"/>
        <v>0</v>
      </c>
      <c r="E190" s="16" t="e">
        <f t="shared" ca="1" si="10"/>
        <v>#DIV/0!</v>
      </c>
      <c r="F190" s="16" t="e">
        <f t="shared" ca="1" si="11"/>
        <v>#DIV/0!</v>
      </c>
      <c r="G190" s="16" t="e">
        <f t="shared" ca="1" si="12"/>
        <v>#DIV/0!</v>
      </c>
      <c r="H190" s="15" t="e">
        <f t="shared" ca="1" si="13"/>
        <v>#DIV/0!</v>
      </c>
    </row>
    <row r="191" spans="4:8" ht="11.25">
      <c r="D191" s="15">
        <f t="shared" ca="1" si="14"/>
        <v>0</v>
      </c>
      <c r="E191" s="16" t="e">
        <f t="shared" ca="1" si="10"/>
        <v>#DIV/0!</v>
      </c>
      <c r="F191" s="16" t="e">
        <f t="shared" ca="1" si="11"/>
        <v>#DIV/0!</v>
      </c>
      <c r="G191" s="16" t="e">
        <f t="shared" ca="1" si="12"/>
        <v>#DIV/0!</v>
      </c>
      <c r="H191" s="15" t="e">
        <f t="shared" ca="1" si="13"/>
        <v>#DIV/0!</v>
      </c>
    </row>
    <row r="192" spans="4:8" ht="11.25">
      <c r="D192" s="15">
        <f t="shared" ca="1" si="14"/>
        <v>0</v>
      </c>
      <c r="E192" s="16" t="e">
        <f t="shared" ca="1" si="10"/>
        <v>#DIV/0!</v>
      </c>
      <c r="F192" s="16" t="e">
        <f t="shared" ca="1" si="11"/>
        <v>#DIV/0!</v>
      </c>
      <c r="G192" s="16" t="e">
        <f t="shared" ca="1" si="12"/>
        <v>#DIV/0!</v>
      </c>
      <c r="H192" s="15" t="e">
        <f t="shared" ca="1" si="13"/>
        <v>#DIV/0!</v>
      </c>
    </row>
    <row r="193" spans="4:8" ht="11.25">
      <c r="D193" s="15">
        <f t="shared" ca="1" si="14"/>
        <v>0</v>
      </c>
      <c r="E193" s="16" t="e">
        <f t="shared" ca="1" si="10"/>
        <v>#DIV/0!</v>
      </c>
      <c r="F193" s="16" t="e">
        <f t="shared" ca="1" si="11"/>
        <v>#DIV/0!</v>
      </c>
      <c r="G193" s="16" t="e">
        <f t="shared" ca="1" si="12"/>
        <v>#DIV/0!</v>
      </c>
      <c r="H193" s="15" t="e">
        <f t="shared" ca="1" si="13"/>
        <v>#DIV/0!</v>
      </c>
    </row>
    <row r="194" spans="4:8" ht="11.25">
      <c r="D194" s="15">
        <f t="shared" ca="1" si="14"/>
        <v>0</v>
      </c>
      <c r="E194" s="16" t="e">
        <f t="shared" ref="E194:E257" ca="1" si="15">IF(ISNA(D194),NA(),a*t^2+b*t+g)</f>
        <v>#DIV/0!</v>
      </c>
      <c r="F194" s="16" t="e">
        <f t="shared" ref="F194:F257" ca="1" si="16">IF(ISNA(D194),NA(),u*(t-mx)^2+v*(t-mx)+w+my)</f>
        <v>#DIV/0!</v>
      </c>
      <c r="G194" s="16" t="e">
        <f t="shared" ref="G194:G257" ca="1" si="17">IF(ISNA(D194),500,MIN(F193,G193))</f>
        <v>#DIV/0!</v>
      </c>
      <c r="H194" s="15" t="e">
        <f t="shared" ref="H194:H257" ca="1" si="18">IF(ISNA(D194),H193,IF(E194&lt;G193,D194,H193))</f>
        <v>#DIV/0!</v>
      </c>
    </row>
    <row r="195" spans="4:8" ht="11.25">
      <c r="D195" s="15">
        <f t="shared" ref="D195:D205" ca="1" si="19">IF(D194&lt;=MAX(x)+(MAX(x)-MIN(x))/50,D194+(MAX(x)-MIN(x))/100,NA())</f>
        <v>0</v>
      </c>
      <c r="E195" s="16" t="e">
        <f t="shared" ca="1" si="15"/>
        <v>#DIV/0!</v>
      </c>
      <c r="F195" s="16" t="e">
        <f t="shared" ca="1" si="16"/>
        <v>#DIV/0!</v>
      </c>
      <c r="G195" s="16" t="e">
        <f t="shared" ca="1" si="17"/>
        <v>#DIV/0!</v>
      </c>
      <c r="H195" s="15" t="e">
        <f t="shared" ca="1" si="18"/>
        <v>#DIV/0!</v>
      </c>
    </row>
    <row r="196" spans="4:8" ht="11.25">
      <c r="D196" s="15">
        <f t="shared" ca="1" si="19"/>
        <v>0</v>
      </c>
      <c r="E196" s="16" t="e">
        <f t="shared" ca="1" si="15"/>
        <v>#DIV/0!</v>
      </c>
      <c r="F196" s="16" t="e">
        <f t="shared" ca="1" si="16"/>
        <v>#DIV/0!</v>
      </c>
      <c r="G196" s="16" t="e">
        <f t="shared" ca="1" si="17"/>
        <v>#DIV/0!</v>
      </c>
      <c r="H196" s="15" t="e">
        <f t="shared" ca="1" si="18"/>
        <v>#DIV/0!</v>
      </c>
    </row>
    <row r="197" spans="4:8" ht="11.25">
      <c r="D197" s="15">
        <f t="shared" ca="1" si="19"/>
        <v>0</v>
      </c>
      <c r="E197" s="16" t="e">
        <f t="shared" ca="1" si="15"/>
        <v>#DIV/0!</v>
      </c>
      <c r="F197" s="16" t="e">
        <f t="shared" ca="1" si="16"/>
        <v>#DIV/0!</v>
      </c>
      <c r="G197" s="16" t="e">
        <f t="shared" ca="1" si="17"/>
        <v>#DIV/0!</v>
      </c>
      <c r="H197" s="15" t="e">
        <f t="shared" ca="1" si="18"/>
        <v>#DIV/0!</v>
      </c>
    </row>
    <row r="198" spans="4:8" ht="11.25">
      <c r="D198" s="15">
        <f t="shared" ca="1" si="19"/>
        <v>0</v>
      </c>
      <c r="E198" s="16" t="e">
        <f t="shared" ca="1" si="15"/>
        <v>#DIV/0!</v>
      </c>
      <c r="F198" s="16" t="e">
        <f t="shared" ca="1" si="16"/>
        <v>#DIV/0!</v>
      </c>
      <c r="G198" s="16" t="e">
        <f t="shared" ca="1" si="17"/>
        <v>#DIV/0!</v>
      </c>
      <c r="H198" s="15" t="e">
        <f t="shared" ca="1" si="18"/>
        <v>#DIV/0!</v>
      </c>
    </row>
    <row r="199" spans="4:8" ht="11.25">
      <c r="D199" s="15">
        <f t="shared" ca="1" si="19"/>
        <v>0</v>
      </c>
      <c r="E199" s="16" t="e">
        <f t="shared" ca="1" si="15"/>
        <v>#DIV/0!</v>
      </c>
      <c r="F199" s="16" t="e">
        <f t="shared" ca="1" si="16"/>
        <v>#DIV/0!</v>
      </c>
      <c r="G199" s="16" t="e">
        <f t="shared" ca="1" si="17"/>
        <v>#DIV/0!</v>
      </c>
      <c r="H199" s="15" t="e">
        <f t="shared" ca="1" si="18"/>
        <v>#DIV/0!</v>
      </c>
    </row>
    <row r="200" spans="4:8" ht="11.25">
      <c r="D200" s="15">
        <f t="shared" ca="1" si="19"/>
        <v>0</v>
      </c>
      <c r="E200" s="16" t="e">
        <f t="shared" ca="1" si="15"/>
        <v>#DIV/0!</v>
      </c>
      <c r="F200" s="16" t="e">
        <f t="shared" ca="1" si="16"/>
        <v>#DIV/0!</v>
      </c>
      <c r="G200" s="16" t="e">
        <f t="shared" ca="1" si="17"/>
        <v>#DIV/0!</v>
      </c>
      <c r="H200" s="15" t="e">
        <f t="shared" ca="1" si="18"/>
        <v>#DIV/0!</v>
      </c>
    </row>
    <row r="201" spans="4:8" ht="11.25">
      <c r="D201" s="15">
        <f t="shared" ca="1" si="19"/>
        <v>0</v>
      </c>
      <c r="E201" s="16" t="e">
        <f t="shared" ca="1" si="15"/>
        <v>#DIV/0!</v>
      </c>
      <c r="F201" s="16" t="e">
        <f t="shared" ca="1" si="16"/>
        <v>#DIV/0!</v>
      </c>
      <c r="G201" s="16" t="e">
        <f t="shared" ca="1" si="17"/>
        <v>#DIV/0!</v>
      </c>
      <c r="H201" s="15" t="e">
        <f t="shared" ca="1" si="18"/>
        <v>#DIV/0!</v>
      </c>
    </row>
    <row r="202" spans="4:8" ht="11.25">
      <c r="D202" s="15">
        <f t="shared" ca="1" si="19"/>
        <v>0</v>
      </c>
      <c r="E202" s="16" t="e">
        <f t="shared" ca="1" si="15"/>
        <v>#DIV/0!</v>
      </c>
      <c r="F202" s="16" t="e">
        <f t="shared" ca="1" si="16"/>
        <v>#DIV/0!</v>
      </c>
      <c r="G202" s="16" t="e">
        <f t="shared" ca="1" si="17"/>
        <v>#DIV/0!</v>
      </c>
      <c r="H202" s="15" t="e">
        <f t="shared" ca="1" si="18"/>
        <v>#DIV/0!</v>
      </c>
    </row>
    <row r="203" spans="4:8" ht="11.25">
      <c r="D203" s="15">
        <f t="shared" ca="1" si="19"/>
        <v>0</v>
      </c>
      <c r="E203" s="16" t="e">
        <f t="shared" ca="1" si="15"/>
        <v>#DIV/0!</v>
      </c>
      <c r="F203" s="16" t="e">
        <f t="shared" ca="1" si="16"/>
        <v>#DIV/0!</v>
      </c>
      <c r="G203" s="16" t="e">
        <f t="shared" ca="1" si="17"/>
        <v>#DIV/0!</v>
      </c>
      <c r="H203" s="15" t="e">
        <f t="shared" ca="1" si="18"/>
        <v>#DIV/0!</v>
      </c>
    </row>
    <row r="204" spans="4:8" ht="11.25">
      <c r="D204" s="15">
        <f t="shared" ca="1" si="19"/>
        <v>0</v>
      </c>
      <c r="E204" s="16" t="e">
        <f t="shared" ca="1" si="15"/>
        <v>#DIV/0!</v>
      </c>
      <c r="F204" s="16" t="e">
        <f t="shared" ca="1" si="16"/>
        <v>#DIV/0!</v>
      </c>
      <c r="G204" s="16" t="e">
        <f t="shared" ca="1" si="17"/>
        <v>#DIV/0!</v>
      </c>
      <c r="H204" s="15" t="e">
        <f t="shared" ca="1" si="18"/>
        <v>#DIV/0!</v>
      </c>
    </row>
    <row r="205" spans="4:8" ht="11.25">
      <c r="D205" s="15">
        <f t="shared" ca="1" si="19"/>
        <v>0</v>
      </c>
      <c r="E205" s="16" t="e">
        <f t="shared" ca="1" si="15"/>
        <v>#DIV/0!</v>
      </c>
      <c r="F205" s="16" t="e">
        <f t="shared" ca="1" si="16"/>
        <v>#DIV/0!</v>
      </c>
      <c r="G205" s="16" t="e">
        <f t="shared" ca="1" si="17"/>
        <v>#DIV/0!</v>
      </c>
      <c r="H205" s="15" t="e">
        <f t="shared" ca="1" si="18"/>
        <v>#DIV/0!</v>
      </c>
    </row>
    <row r="206" spans="4:8" ht="11.25">
      <c r="D206" s="15">
        <f t="shared" ref="D206:D237" ca="1" si="20">IF(D205&lt;=MAX(x)+(MAX(x)-MIN(x)),D205+(MAX(x)-MIN(x))/100,NA())</f>
        <v>0</v>
      </c>
      <c r="E206" s="16" t="e">
        <f t="shared" ca="1" si="15"/>
        <v>#DIV/0!</v>
      </c>
      <c r="F206" s="16" t="e">
        <f t="shared" ca="1" si="16"/>
        <v>#DIV/0!</v>
      </c>
      <c r="G206" s="16" t="e">
        <f t="shared" ca="1" si="17"/>
        <v>#DIV/0!</v>
      </c>
      <c r="H206" s="15" t="e">
        <f t="shared" ca="1" si="18"/>
        <v>#DIV/0!</v>
      </c>
    </row>
    <row r="207" spans="4:8" ht="11.25">
      <c r="D207" s="15">
        <f t="shared" ca="1" si="20"/>
        <v>0</v>
      </c>
      <c r="E207" s="16" t="e">
        <f t="shared" ca="1" si="15"/>
        <v>#DIV/0!</v>
      </c>
      <c r="F207" s="16" t="e">
        <f t="shared" ca="1" si="16"/>
        <v>#DIV/0!</v>
      </c>
      <c r="G207" s="16" t="e">
        <f t="shared" ca="1" si="17"/>
        <v>#DIV/0!</v>
      </c>
      <c r="H207" s="15" t="e">
        <f t="shared" ca="1" si="18"/>
        <v>#DIV/0!</v>
      </c>
    </row>
    <row r="208" spans="4:8" ht="11.25">
      <c r="D208" s="15">
        <f t="shared" ca="1" si="20"/>
        <v>0</v>
      </c>
      <c r="E208" s="16" t="e">
        <f t="shared" ca="1" si="15"/>
        <v>#DIV/0!</v>
      </c>
      <c r="F208" s="16" t="e">
        <f t="shared" ca="1" si="16"/>
        <v>#DIV/0!</v>
      </c>
      <c r="G208" s="16" t="e">
        <f t="shared" ca="1" si="17"/>
        <v>#DIV/0!</v>
      </c>
      <c r="H208" s="15" t="e">
        <f t="shared" ca="1" si="18"/>
        <v>#DIV/0!</v>
      </c>
    </row>
    <row r="209" spans="4:8" ht="11.25">
      <c r="D209" s="15">
        <f t="shared" ca="1" si="20"/>
        <v>0</v>
      </c>
      <c r="E209" s="16" t="e">
        <f t="shared" ca="1" si="15"/>
        <v>#DIV/0!</v>
      </c>
      <c r="F209" s="16" t="e">
        <f t="shared" ca="1" si="16"/>
        <v>#DIV/0!</v>
      </c>
      <c r="G209" s="16" t="e">
        <f t="shared" ca="1" si="17"/>
        <v>#DIV/0!</v>
      </c>
      <c r="H209" s="15" t="e">
        <f t="shared" ca="1" si="18"/>
        <v>#DIV/0!</v>
      </c>
    </row>
    <row r="210" spans="4:8" ht="11.25">
      <c r="D210" s="15">
        <f t="shared" ca="1" si="20"/>
        <v>0</v>
      </c>
      <c r="E210" s="16" t="e">
        <f t="shared" ca="1" si="15"/>
        <v>#DIV/0!</v>
      </c>
      <c r="F210" s="16" t="e">
        <f t="shared" ca="1" si="16"/>
        <v>#DIV/0!</v>
      </c>
      <c r="G210" s="16" t="e">
        <f t="shared" ca="1" si="17"/>
        <v>#DIV/0!</v>
      </c>
      <c r="H210" s="15" t="e">
        <f t="shared" ca="1" si="18"/>
        <v>#DIV/0!</v>
      </c>
    </row>
    <row r="211" spans="4:8" ht="11.25">
      <c r="D211" s="15">
        <f t="shared" ca="1" si="20"/>
        <v>0</v>
      </c>
      <c r="E211" s="16" t="e">
        <f t="shared" ca="1" si="15"/>
        <v>#DIV/0!</v>
      </c>
      <c r="F211" s="16" t="e">
        <f t="shared" ca="1" si="16"/>
        <v>#DIV/0!</v>
      </c>
      <c r="G211" s="16" t="e">
        <f t="shared" ca="1" si="17"/>
        <v>#DIV/0!</v>
      </c>
      <c r="H211" s="15" t="e">
        <f t="shared" ca="1" si="18"/>
        <v>#DIV/0!</v>
      </c>
    </row>
    <row r="212" spans="4:8" ht="11.25">
      <c r="D212" s="15">
        <f t="shared" ca="1" si="20"/>
        <v>0</v>
      </c>
      <c r="E212" s="16" t="e">
        <f t="shared" ca="1" si="15"/>
        <v>#DIV/0!</v>
      </c>
      <c r="F212" s="16" t="e">
        <f t="shared" ca="1" si="16"/>
        <v>#DIV/0!</v>
      </c>
      <c r="G212" s="16" t="e">
        <f t="shared" ca="1" si="17"/>
        <v>#DIV/0!</v>
      </c>
      <c r="H212" s="15" t="e">
        <f t="shared" ca="1" si="18"/>
        <v>#DIV/0!</v>
      </c>
    </row>
    <row r="213" spans="4:8" ht="11.25">
      <c r="D213" s="15">
        <f t="shared" ca="1" si="20"/>
        <v>0</v>
      </c>
      <c r="E213" s="16" t="e">
        <f t="shared" ca="1" si="15"/>
        <v>#DIV/0!</v>
      </c>
      <c r="F213" s="16" t="e">
        <f t="shared" ca="1" si="16"/>
        <v>#DIV/0!</v>
      </c>
      <c r="G213" s="16" t="e">
        <f t="shared" ca="1" si="17"/>
        <v>#DIV/0!</v>
      </c>
      <c r="H213" s="15" t="e">
        <f t="shared" ca="1" si="18"/>
        <v>#DIV/0!</v>
      </c>
    </row>
    <row r="214" spans="4:8" ht="11.25">
      <c r="D214" s="15">
        <f t="shared" ca="1" si="20"/>
        <v>0</v>
      </c>
      <c r="E214" s="16" t="e">
        <f t="shared" ca="1" si="15"/>
        <v>#DIV/0!</v>
      </c>
      <c r="F214" s="16" t="e">
        <f t="shared" ca="1" si="16"/>
        <v>#DIV/0!</v>
      </c>
      <c r="G214" s="16" t="e">
        <f t="shared" ca="1" si="17"/>
        <v>#DIV/0!</v>
      </c>
      <c r="H214" s="15" t="e">
        <f t="shared" ca="1" si="18"/>
        <v>#DIV/0!</v>
      </c>
    </row>
    <row r="215" spans="4:8" ht="11.25">
      <c r="D215" s="15">
        <f t="shared" ca="1" si="20"/>
        <v>0</v>
      </c>
      <c r="E215" s="16" t="e">
        <f t="shared" ca="1" si="15"/>
        <v>#DIV/0!</v>
      </c>
      <c r="F215" s="16" t="e">
        <f t="shared" ca="1" si="16"/>
        <v>#DIV/0!</v>
      </c>
      <c r="G215" s="16" t="e">
        <f t="shared" ca="1" si="17"/>
        <v>#DIV/0!</v>
      </c>
      <c r="H215" s="15" t="e">
        <f t="shared" ca="1" si="18"/>
        <v>#DIV/0!</v>
      </c>
    </row>
    <row r="216" spans="4:8" ht="11.25">
      <c r="D216" s="15">
        <f t="shared" ca="1" si="20"/>
        <v>0</v>
      </c>
      <c r="E216" s="16" t="e">
        <f t="shared" ca="1" si="15"/>
        <v>#DIV/0!</v>
      </c>
      <c r="F216" s="16" t="e">
        <f t="shared" ca="1" si="16"/>
        <v>#DIV/0!</v>
      </c>
      <c r="G216" s="16" t="e">
        <f t="shared" ca="1" si="17"/>
        <v>#DIV/0!</v>
      </c>
      <c r="H216" s="15" t="e">
        <f t="shared" ca="1" si="18"/>
        <v>#DIV/0!</v>
      </c>
    </row>
    <row r="217" spans="4:8" ht="11.25">
      <c r="D217" s="15">
        <f t="shared" ca="1" si="20"/>
        <v>0</v>
      </c>
      <c r="E217" s="16" t="e">
        <f t="shared" ca="1" si="15"/>
        <v>#DIV/0!</v>
      </c>
      <c r="F217" s="16" t="e">
        <f t="shared" ca="1" si="16"/>
        <v>#DIV/0!</v>
      </c>
      <c r="G217" s="16" t="e">
        <f t="shared" ca="1" si="17"/>
        <v>#DIV/0!</v>
      </c>
      <c r="H217" s="15" t="e">
        <f t="shared" ca="1" si="18"/>
        <v>#DIV/0!</v>
      </c>
    </row>
    <row r="218" spans="4:8" ht="11.25">
      <c r="D218" s="15">
        <f t="shared" ca="1" si="20"/>
        <v>0</v>
      </c>
      <c r="E218" s="16" t="e">
        <f t="shared" ca="1" si="15"/>
        <v>#DIV/0!</v>
      </c>
      <c r="F218" s="16" t="e">
        <f t="shared" ca="1" si="16"/>
        <v>#DIV/0!</v>
      </c>
      <c r="G218" s="16" t="e">
        <f t="shared" ca="1" si="17"/>
        <v>#DIV/0!</v>
      </c>
      <c r="H218" s="15" t="e">
        <f t="shared" ca="1" si="18"/>
        <v>#DIV/0!</v>
      </c>
    </row>
    <row r="219" spans="4:8" ht="11.25">
      <c r="D219" s="15">
        <f t="shared" ca="1" si="20"/>
        <v>0</v>
      </c>
      <c r="E219" s="16" t="e">
        <f t="shared" ca="1" si="15"/>
        <v>#DIV/0!</v>
      </c>
      <c r="F219" s="16" t="e">
        <f t="shared" ca="1" si="16"/>
        <v>#DIV/0!</v>
      </c>
      <c r="G219" s="16" t="e">
        <f t="shared" ca="1" si="17"/>
        <v>#DIV/0!</v>
      </c>
      <c r="H219" s="15" t="e">
        <f t="shared" ca="1" si="18"/>
        <v>#DIV/0!</v>
      </c>
    </row>
    <row r="220" spans="4:8" ht="11.25">
      <c r="D220" s="15">
        <f t="shared" ca="1" si="20"/>
        <v>0</v>
      </c>
      <c r="E220" s="16" t="e">
        <f t="shared" ca="1" si="15"/>
        <v>#DIV/0!</v>
      </c>
      <c r="F220" s="16" t="e">
        <f t="shared" ca="1" si="16"/>
        <v>#DIV/0!</v>
      </c>
      <c r="G220" s="16" t="e">
        <f t="shared" ca="1" si="17"/>
        <v>#DIV/0!</v>
      </c>
      <c r="H220" s="15" t="e">
        <f t="shared" ca="1" si="18"/>
        <v>#DIV/0!</v>
      </c>
    </row>
    <row r="221" spans="4:8" ht="11.25">
      <c r="D221" s="15">
        <f t="shared" ca="1" si="20"/>
        <v>0</v>
      </c>
      <c r="E221" s="16" t="e">
        <f t="shared" ca="1" si="15"/>
        <v>#DIV/0!</v>
      </c>
      <c r="F221" s="16" t="e">
        <f t="shared" ca="1" si="16"/>
        <v>#DIV/0!</v>
      </c>
      <c r="G221" s="16" t="e">
        <f t="shared" ca="1" si="17"/>
        <v>#DIV/0!</v>
      </c>
      <c r="H221" s="15" t="e">
        <f t="shared" ca="1" si="18"/>
        <v>#DIV/0!</v>
      </c>
    </row>
    <row r="222" spans="4:8" ht="11.25">
      <c r="D222" s="15">
        <f t="shared" ca="1" si="20"/>
        <v>0</v>
      </c>
      <c r="E222" s="16" t="e">
        <f t="shared" ca="1" si="15"/>
        <v>#DIV/0!</v>
      </c>
      <c r="F222" s="16" t="e">
        <f t="shared" ca="1" si="16"/>
        <v>#DIV/0!</v>
      </c>
      <c r="G222" s="16" t="e">
        <f t="shared" ca="1" si="17"/>
        <v>#DIV/0!</v>
      </c>
      <c r="H222" s="15" t="e">
        <f t="shared" ca="1" si="18"/>
        <v>#DIV/0!</v>
      </c>
    </row>
    <row r="223" spans="4:8" ht="11.25">
      <c r="D223" s="15">
        <f t="shared" ca="1" si="20"/>
        <v>0</v>
      </c>
      <c r="E223" s="16" t="e">
        <f t="shared" ca="1" si="15"/>
        <v>#DIV/0!</v>
      </c>
      <c r="F223" s="16" t="e">
        <f t="shared" ca="1" si="16"/>
        <v>#DIV/0!</v>
      </c>
      <c r="G223" s="16" t="e">
        <f t="shared" ca="1" si="17"/>
        <v>#DIV/0!</v>
      </c>
      <c r="H223" s="15" t="e">
        <f t="shared" ca="1" si="18"/>
        <v>#DIV/0!</v>
      </c>
    </row>
    <row r="224" spans="4:8" ht="11.25">
      <c r="D224" s="15">
        <f t="shared" ca="1" si="20"/>
        <v>0</v>
      </c>
      <c r="E224" s="16" t="e">
        <f t="shared" ca="1" si="15"/>
        <v>#DIV/0!</v>
      </c>
      <c r="F224" s="16" t="e">
        <f t="shared" ca="1" si="16"/>
        <v>#DIV/0!</v>
      </c>
      <c r="G224" s="16" t="e">
        <f t="shared" ca="1" si="17"/>
        <v>#DIV/0!</v>
      </c>
      <c r="H224" s="15" t="e">
        <f t="shared" ca="1" si="18"/>
        <v>#DIV/0!</v>
      </c>
    </row>
    <row r="225" spans="4:8" ht="11.25">
      <c r="D225" s="15">
        <f t="shared" ca="1" si="20"/>
        <v>0</v>
      </c>
      <c r="E225" s="16" t="e">
        <f t="shared" ca="1" si="15"/>
        <v>#DIV/0!</v>
      </c>
      <c r="F225" s="16" t="e">
        <f t="shared" ca="1" si="16"/>
        <v>#DIV/0!</v>
      </c>
      <c r="G225" s="16" t="e">
        <f t="shared" ca="1" si="17"/>
        <v>#DIV/0!</v>
      </c>
      <c r="H225" s="15" t="e">
        <f t="shared" ca="1" si="18"/>
        <v>#DIV/0!</v>
      </c>
    </row>
    <row r="226" spans="4:8" ht="11.25">
      <c r="D226" s="15">
        <f t="shared" ca="1" si="20"/>
        <v>0</v>
      </c>
      <c r="E226" s="16" t="e">
        <f t="shared" ca="1" si="15"/>
        <v>#DIV/0!</v>
      </c>
      <c r="F226" s="16" t="e">
        <f t="shared" ca="1" si="16"/>
        <v>#DIV/0!</v>
      </c>
      <c r="G226" s="16" t="e">
        <f t="shared" ca="1" si="17"/>
        <v>#DIV/0!</v>
      </c>
      <c r="H226" s="15" t="e">
        <f t="shared" ca="1" si="18"/>
        <v>#DIV/0!</v>
      </c>
    </row>
    <row r="227" spans="4:8" ht="11.25">
      <c r="D227" s="15">
        <f t="shared" ca="1" si="20"/>
        <v>0</v>
      </c>
      <c r="E227" s="16" t="e">
        <f t="shared" ca="1" si="15"/>
        <v>#DIV/0!</v>
      </c>
      <c r="F227" s="16" t="e">
        <f t="shared" ca="1" si="16"/>
        <v>#DIV/0!</v>
      </c>
      <c r="G227" s="16" t="e">
        <f t="shared" ca="1" si="17"/>
        <v>#DIV/0!</v>
      </c>
      <c r="H227" s="15" t="e">
        <f t="shared" ca="1" si="18"/>
        <v>#DIV/0!</v>
      </c>
    </row>
    <row r="228" spans="4:8" ht="11.25">
      <c r="D228" s="15">
        <f t="shared" ca="1" si="20"/>
        <v>0</v>
      </c>
      <c r="E228" s="16" t="e">
        <f t="shared" ca="1" si="15"/>
        <v>#DIV/0!</v>
      </c>
      <c r="F228" s="16" t="e">
        <f t="shared" ca="1" si="16"/>
        <v>#DIV/0!</v>
      </c>
      <c r="G228" s="16" t="e">
        <f t="shared" ca="1" si="17"/>
        <v>#DIV/0!</v>
      </c>
      <c r="H228" s="15" t="e">
        <f t="shared" ca="1" si="18"/>
        <v>#DIV/0!</v>
      </c>
    </row>
    <row r="229" spans="4:8" ht="11.25">
      <c r="D229" s="15">
        <f t="shared" ca="1" si="20"/>
        <v>0</v>
      </c>
      <c r="E229" s="16" t="e">
        <f t="shared" ca="1" si="15"/>
        <v>#DIV/0!</v>
      </c>
      <c r="F229" s="16" t="e">
        <f t="shared" ca="1" si="16"/>
        <v>#DIV/0!</v>
      </c>
      <c r="G229" s="16" t="e">
        <f t="shared" ca="1" si="17"/>
        <v>#DIV/0!</v>
      </c>
      <c r="H229" s="15" t="e">
        <f t="shared" ca="1" si="18"/>
        <v>#DIV/0!</v>
      </c>
    </row>
    <row r="230" spans="4:8" ht="11.25">
      <c r="D230" s="15">
        <f t="shared" ca="1" si="20"/>
        <v>0</v>
      </c>
      <c r="E230" s="16" t="e">
        <f t="shared" ca="1" si="15"/>
        <v>#DIV/0!</v>
      </c>
      <c r="F230" s="16" t="e">
        <f t="shared" ca="1" si="16"/>
        <v>#DIV/0!</v>
      </c>
      <c r="G230" s="16" t="e">
        <f t="shared" ca="1" si="17"/>
        <v>#DIV/0!</v>
      </c>
      <c r="H230" s="15" t="e">
        <f t="shared" ca="1" si="18"/>
        <v>#DIV/0!</v>
      </c>
    </row>
    <row r="231" spans="4:8" ht="11.25">
      <c r="D231" s="15">
        <f t="shared" ca="1" si="20"/>
        <v>0</v>
      </c>
      <c r="E231" s="16" t="e">
        <f t="shared" ca="1" si="15"/>
        <v>#DIV/0!</v>
      </c>
      <c r="F231" s="16" t="e">
        <f t="shared" ca="1" si="16"/>
        <v>#DIV/0!</v>
      </c>
      <c r="G231" s="16" t="e">
        <f t="shared" ca="1" si="17"/>
        <v>#DIV/0!</v>
      </c>
      <c r="H231" s="15" t="e">
        <f t="shared" ca="1" si="18"/>
        <v>#DIV/0!</v>
      </c>
    </row>
    <row r="232" spans="4:8" ht="11.25">
      <c r="D232" s="15">
        <f t="shared" ca="1" si="20"/>
        <v>0</v>
      </c>
      <c r="E232" s="16" t="e">
        <f t="shared" ca="1" si="15"/>
        <v>#DIV/0!</v>
      </c>
      <c r="F232" s="16" t="e">
        <f t="shared" ca="1" si="16"/>
        <v>#DIV/0!</v>
      </c>
      <c r="G232" s="16" t="e">
        <f t="shared" ca="1" si="17"/>
        <v>#DIV/0!</v>
      </c>
      <c r="H232" s="15" t="e">
        <f t="shared" ca="1" si="18"/>
        <v>#DIV/0!</v>
      </c>
    </row>
    <row r="233" spans="4:8" ht="11.25">
      <c r="D233" s="15">
        <f t="shared" ca="1" si="20"/>
        <v>0</v>
      </c>
      <c r="E233" s="16" t="e">
        <f t="shared" ca="1" si="15"/>
        <v>#DIV/0!</v>
      </c>
      <c r="F233" s="16" t="e">
        <f t="shared" ca="1" si="16"/>
        <v>#DIV/0!</v>
      </c>
      <c r="G233" s="16" t="e">
        <f t="shared" ca="1" si="17"/>
        <v>#DIV/0!</v>
      </c>
      <c r="H233" s="15" t="e">
        <f t="shared" ca="1" si="18"/>
        <v>#DIV/0!</v>
      </c>
    </row>
    <row r="234" spans="4:8" ht="11.25">
      <c r="D234" s="15">
        <f t="shared" ca="1" si="20"/>
        <v>0</v>
      </c>
      <c r="E234" s="16" t="e">
        <f t="shared" ca="1" si="15"/>
        <v>#DIV/0!</v>
      </c>
      <c r="F234" s="16" t="e">
        <f t="shared" ca="1" si="16"/>
        <v>#DIV/0!</v>
      </c>
      <c r="G234" s="16" t="e">
        <f t="shared" ca="1" si="17"/>
        <v>#DIV/0!</v>
      </c>
      <c r="H234" s="15" t="e">
        <f t="shared" ca="1" si="18"/>
        <v>#DIV/0!</v>
      </c>
    </row>
    <row r="235" spans="4:8" ht="11.25">
      <c r="D235" s="15">
        <f t="shared" ca="1" si="20"/>
        <v>0</v>
      </c>
      <c r="E235" s="16" t="e">
        <f t="shared" ca="1" si="15"/>
        <v>#DIV/0!</v>
      </c>
      <c r="F235" s="16" t="e">
        <f t="shared" ca="1" si="16"/>
        <v>#DIV/0!</v>
      </c>
      <c r="G235" s="16" t="e">
        <f t="shared" ca="1" si="17"/>
        <v>#DIV/0!</v>
      </c>
      <c r="H235" s="15" t="e">
        <f t="shared" ca="1" si="18"/>
        <v>#DIV/0!</v>
      </c>
    </row>
    <row r="236" spans="4:8" ht="11.25">
      <c r="D236" s="15">
        <f t="shared" ca="1" si="20"/>
        <v>0</v>
      </c>
      <c r="E236" s="16" t="e">
        <f t="shared" ca="1" si="15"/>
        <v>#DIV/0!</v>
      </c>
      <c r="F236" s="16" t="e">
        <f t="shared" ca="1" si="16"/>
        <v>#DIV/0!</v>
      </c>
      <c r="G236" s="16" t="e">
        <f t="shared" ca="1" si="17"/>
        <v>#DIV/0!</v>
      </c>
      <c r="H236" s="15" t="e">
        <f t="shared" ca="1" si="18"/>
        <v>#DIV/0!</v>
      </c>
    </row>
    <row r="237" spans="4:8" ht="11.25">
      <c r="D237" s="15">
        <f t="shared" ca="1" si="20"/>
        <v>0</v>
      </c>
      <c r="E237" s="16" t="e">
        <f t="shared" ca="1" si="15"/>
        <v>#DIV/0!</v>
      </c>
      <c r="F237" s="16" t="e">
        <f t="shared" ca="1" si="16"/>
        <v>#DIV/0!</v>
      </c>
      <c r="G237" s="16" t="e">
        <f t="shared" ca="1" si="17"/>
        <v>#DIV/0!</v>
      </c>
      <c r="H237" s="15" t="e">
        <f t="shared" ca="1" si="18"/>
        <v>#DIV/0!</v>
      </c>
    </row>
    <row r="238" spans="4:8" ht="11.25">
      <c r="D238" s="15">
        <f t="shared" ref="D238:D269" ca="1" si="21">IF(D237&lt;=MAX(x)+(MAX(x)-MIN(x)),D237+(MAX(x)-MIN(x))/100,NA())</f>
        <v>0</v>
      </c>
      <c r="E238" s="16" t="e">
        <f t="shared" ca="1" si="15"/>
        <v>#DIV/0!</v>
      </c>
      <c r="F238" s="16" t="e">
        <f t="shared" ca="1" si="16"/>
        <v>#DIV/0!</v>
      </c>
      <c r="G238" s="16" t="e">
        <f t="shared" ca="1" si="17"/>
        <v>#DIV/0!</v>
      </c>
      <c r="H238" s="15" t="e">
        <f t="shared" ca="1" si="18"/>
        <v>#DIV/0!</v>
      </c>
    </row>
    <row r="239" spans="4:8" ht="11.25">
      <c r="D239" s="15">
        <f t="shared" ca="1" si="21"/>
        <v>0</v>
      </c>
      <c r="E239" s="16" t="e">
        <f t="shared" ca="1" si="15"/>
        <v>#DIV/0!</v>
      </c>
      <c r="F239" s="16" t="e">
        <f t="shared" ca="1" si="16"/>
        <v>#DIV/0!</v>
      </c>
      <c r="G239" s="16" t="e">
        <f t="shared" ca="1" si="17"/>
        <v>#DIV/0!</v>
      </c>
      <c r="H239" s="15" t="e">
        <f t="shared" ca="1" si="18"/>
        <v>#DIV/0!</v>
      </c>
    </row>
    <row r="240" spans="4:8" ht="11.25">
      <c r="D240" s="15">
        <f t="shared" ca="1" si="21"/>
        <v>0</v>
      </c>
      <c r="E240" s="16" t="e">
        <f t="shared" ca="1" si="15"/>
        <v>#DIV/0!</v>
      </c>
      <c r="F240" s="16" t="e">
        <f t="shared" ca="1" si="16"/>
        <v>#DIV/0!</v>
      </c>
      <c r="G240" s="16" t="e">
        <f t="shared" ca="1" si="17"/>
        <v>#DIV/0!</v>
      </c>
      <c r="H240" s="15" t="e">
        <f t="shared" ca="1" si="18"/>
        <v>#DIV/0!</v>
      </c>
    </row>
    <row r="241" spans="4:8" ht="11.25">
      <c r="D241" s="15">
        <f t="shared" ca="1" si="21"/>
        <v>0</v>
      </c>
      <c r="E241" s="16" t="e">
        <f t="shared" ca="1" si="15"/>
        <v>#DIV/0!</v>
      </c>
      <c r="F241" s="16" t="e">
        <f t="shared" ca="1" si="16"/>
        <v>#DIV/0!</v>
      </c>
      <c r="G241" s="16" t="e">
        <f t="shared" ca="1" si="17"/>
        <v>#DIV/0!</v>
      </c>
      <c r="H241" s="15" t="e">
        <f t="shared" ca="1" si="18"/>
        <v>#DIV/0!</v>
      </c>
    </row>
    <row r="242" spans="4:8" ht="11.25">
      <c r="D242" s="15">
        <f t="shared" ca="1" si="21"/>
        <v>0</v>
      </c>
      <c r="E242" s="16" t="e">
        <f t="shared" ca="1" si="15"/>
        <v>#DIV/0!</v>
      </c>
      <c r="F242" s="16" t="e">
        <f t="shared" ca="1" si="16"/>
        <v>#DIV/0!</v>
      </c>
      <c r="G242" s="16" t="e">
        <f t="shared" ca="1" si="17"/>
        <v>#DIV/0!</v>
      </c>
      <c r="H242" s="15" t="e">
        <f t="shared" ca="1" si="18"/>
        <v>#DIV/0!</v>
      </c>
    </row>
    <row r="243" spans="4:8" ht="11.25">
      <c r="D243" s="15">
        <f t="shared" ca="1" si="21"/>
        <v>0</v>
      </c>
      <c r="E243" s="16" t="e">
        <f t="shared" ca="1" si="15"/>
        <v>#DIV/0!</v>
      </c>
      <c r="F243" s="16" t="e">
        <f t="shared" ca="1" si="16"/>
        <v>#DIV/0!</v>
      </c>
      <c r="G243" s="16" t="e">
        <f t="shared" ca="1" si="17"/>
        <v>#DIV/0!</v>
      </c>
      <c r="H243" s="15" t="e">
        <f t="shared" ca="1" si="18"/>
        <v>#DIV/0!</v>
      </c>
    </row>
    <row r="244" spans="4:8" ht="11.25">
      <c r="D244" s="15">
        <f t="shared" ca="1" si="21"/>
        <v>0</v>
      </c>
      <c r="E244" s="16" t="e">
        <f t="shared" ca="1" si="15"/>
        <v>#DIV/0!</v>
      </c>
      <c r="F244" s="16" t="e">
        <f t="shared" ca="1" si="16"/>
        <v>#DIV/0!</v>
      </c>
      <c r="G244" s="16" t="e">
        <f t="shared" ca="1" si="17"/>
        <v>#DIV/0!</v>
      </c>
      <c r="H244" s="15" t="e">
        <f t="shared" ca="1" si="18"/>
        <v>#DIV/0!</v>
      </c>
    </row>
    <row r="245" spans="4:8" ht="11.25">
      <c r="D245" s="15">
        <f t="shared" ca="1" si="21"/>
        <v>0</v>
      </c>
      <c r="E245" s="16" t="e">
        <f t="shared" ca="1" si="15"/>
        <v>#DIV/0!</v>
      </c>
      <c r="F245" s="16" t="e">
        <f t="shared" ca="1" si="16"/>
        <v>#DIV/0!</v>
      </c>
      <c r="G245" s="16" t="e">
        <f t="shared" ca="1" si="17"/>
        <v>#DIV/0!</v>
      </c>
      <c r="H245" s="15" t="e">
        <f t="shared" ca="1" si="18"/>
        <v>#DIV/0!</v>
      </c>
    </row>
    <row r="246" spans="4:8" ht="11.25">
      <c r="D246" s="15">
        <f t="shared" ca="1" si="21"/>
        <v>0</v>
      </c>
      <c r="E246" s="16" t="e">
        <f t="shared" ca="1" si="15"/>
        <v>#DIV/0!</v>
      </c>
      <c r="F246" s="16" t="e">
        <f t="shared" ca="1" si="16"/>
        <v>#DIV/0!</v>
      </c>
      <c r="G246" s="16" t="e">
        <f t="shared" ca="1" si="17"/>
        <v>#DIV/0!</v>
      </c>
      <c r="H246" s="15" t="e">
        <f t="shared" ca="1" si="18"/>
        <v>#DIV/0!</v>
      </c>
    </row>
    <row r="247" spans="4:8" ht="11.25">
      <c r="D247" s="15">
        <f t="shared" ca="1" si="21"/>
        <v>0</v>
      </c>
      <c r="E247" s="16" t="e">
        <f t="shared" ca="1" si="15"/>
        <v>#DIV/0!</v>
      </c>
      <c r="F247" s="16" t="e">
        <f t="shared" ca="1" si="16"/>
        <v>#DIV/0!</v>
      </c>
      <c r="G247" s="16" t="e">
        <f t="shared" ca="1" si="17"/>
        <v>#DIV/0!</v>
      </c>
      <c r="H247" s="15" t="e">
        <f t="shared" ca="1" si="18"/>
        <v>#DIV/0!</v>
      </c>
    </row>
    <row r="248" spans="4:8" ht="11.25">
      <c r="D248" s="15">
        <f t="shared" ca="1" si="21"/>
        <v>0</v>
      </c>
      <c r="E248" s="16" t="e">
        <f t="shared" ca="1" si="15"/>
        <v>#DIV/0!</v>
      </c>
      <c r="F248" s="16" t="e">
        <f t="shared" ca="1" si="16"/>
        <v>#DIV/0!</v>
      </c>
      <c r="G248" s="16" t="e">
        <f t="shared" ca="1" si="17"/>
        <v>#DIV/0!</v>
      </c>
      <c r="H248" s="15" t="e">
        <f t="shared" ca="1" si="18"/>
        <v>#DIV/0!</v>
      </c>
    </row>
    <row r="249" spans="4:8" ht="11.25">
      <c r="D249" s="15">
        <f t="shared" ca="1" si="21"/>
        <v>0</v>
      </c>
      <c r="E249" s="16" t="e">
        <f t="shared" ca="1" si="15"/>
        <v>#DIV/0!</v>
      </c>
      <c r="F249" s="16" t="e">
        <f t="shared" ca="1" si="16"/>
        <v>#DIV/0!</v>
      </c>
      <c r="G249" s="16" t="e">
        <f t="shared" ca="1" si="17"/>
        <v>#DIV/0!</v>
      </c>
      <c r="H249" s="15" t="e">
        <f t="shared" ca="1" si="18"/>
        <v>#DIV/0!</v>
      </c>
    </row>
    <row r="250" spans="4:8" ht="11.25">
      <c r="D250" s="15">
        <f t="shared" ca="1" si="21"/>
        <v>0</v>
      </c>
      <c r="E250" s="16" t="e">
        <f t="shared" ca="1" si="15"/>
        <v>#DIV/0!</v>
      </c>
      <c r="F250" s="16" t="e">
        <f t="shared" ca="1" si="16"/>
        <v>#DIV/0!</v>
      </c>
      <c r="G250" s="16" t="e">
        <f t="shared" ca="1" si="17"/>
        <v>#DIV/0!</v>
      </c>
      <c r="H250" s="15" t="e">
        <f t="shared" ca="1" si="18"/>
        <v>#DIV/0!</v>
      </c>
    </row>
    <row r="251" spans="4:8" ht="11.25">
      <c r="D251" s="15">
        <f t="shared" ca="1" si="21"/>
        <v>0</v>
      </c>
      <c r="E251" s="16" t="e">
        <f t="shared" ca="1" si="15"/>
        <v>#DIV/0!</v>
      </c>
      <c r="F251" s="16" t="e">
        <f t="shared" ca="1" si="16"/>
        <v>#DIV/0!</v>
      </c>
      <c r="G251" s="16" t="e">
        <f t="shared" ca="1" si="17"/>
        <v>#DIV/0!</v>
      </c>
      <c r="H251" s="15" t="e">
        <f t="shared" ca="1" si="18"/>
        <v>#DIV/0!</v>
      </c>
    </row>
    <row r="252" spans="4:8" ht="11.25">
      <c r="D252" s="15">
        <f t="shared" ca="1" si="21"/>
        <v>0</v>
      </c>
      <c r="E252" s="16" t="e">
        <f t="shared" ca="1" si="15"/>
        <v>#DIV/0!</v>
      </c>
      <c r="F252" s="16" t="e">
        <f t="shared" ca="1" si="16"/>
        <v>#DIV/0!</v>
      </c>
      <c r="G252" s="16" t="e">
        <f t="shared" ca="1" si="17"/>
        <v>#DIV/0!</v>
      </c>
      <c r="H252" s="15" t="e">
        <f t="shared" ca="1" si="18"/>
        <v>#DIV/0!</v>
      </c>
    </row>
    <row r="253" spans="4:8" ht="11.25">
      <c r="D253" s="15">
        <f t="shared" ca="1" si="21"/>
        <v>0</v>
      </c>
      <c r="E253" s="16" t="e">
        <f t="shared" ca="1" si="15"/>
        <v>#DIV/0!</v>
      </c>
      <c r="F253" s="16" t="e">
        <f t="shared" ca="1" si="16"/>
        <v>#DIV/0!</v>
      </c>
      <c r="G253" s="16" t="e">
        <f t="shared" ca="1" si="17"/>
        <v>#DIV/0!</v>
      </c>
      <c r="H253" s="15" t="e">
        <f t="shared" ca="1" si="18"/>
        <v>#DIV/0!</v>
      </c>
    </row>
    <row r="254" spans="4:8" ht="11.25">
      <c r="D254" s="15">
        <f t="shared" ca="1" si="21"/>
        <v>0</v>
      </c>
      <c r="E254" s="16" t="e">
        <f t="shared" ca="1" si="15"/>
        <v>#DIV/0!</v>
      </c>
      <c r="F254" s="16" t="e">
        <f t="shared" ca="1" si="16"/>
        <v>#DIV/0!</v>
      </c>
      <c r="G254" s="16" t="e">
        <f t="shared" ca="1" si="17"/>
        <v>#DIV/0!</v>
      </c>
      <c r="H254" s="15" t="e">
        <f t="shared" ca="1" si="18"/>
        <v>#DIV/0!</v>
      </c>
    </row>
    <row r="255" spans="4:8" ht="11.25">
      <c r="D255" s="15">
        <f t="shared" ca="1" si="21"/>
        <v>0</v>
      </c>
      <c r="E255" s="16" t="e">
        <f t="shared" ca="1" si="15"/>
        <v>#DIV/0!</v>
      </c>
      <c r="F255" s="16" t="e">
        <f t="shared" ca="1" si="16"/>
        <v>#DIV/0!</v>
      </c>
      <c r="G255" s="16" t="e">
        <f t="shared" ca="1" si="17"/>
        <v>#DIV/0!</v>
      </c>
      <c r="H255" s="15" t="e">
        <f t="shared" ca="1" si="18"/>
        <v>#DIV/0!</v>
      </c>
    </row>
    <row r="256" spans="4:8" ht="11.25">
      <c r="D256" s="15">
        <f t="shared" ca="1" si="21"/>
        <v>0</v>
      </c>
      <c r="E256" s="16" t="e">
        <f t="shared" ca="1" si="15"/>
        <v>#DIV/0!</v>
      </c>
      <c r="F256" s="16" t="e">
        <f t="shared" ca="1" si="16"/>
        <v>#DIV/0!</v>
      </c>
      <c r="G256" s="16" t="e">
        <f t="shared" ca="1" si="17"/>
        <v>#DIV/0!</v>
      </c>
      <c r="H256" s="15" t="e">
        <f t="shared" ca="1" si="18"/>
        <v>#DIV/0!</v>
      </c>
    </row>
    <row r="257" spans="4:8" ht="11.25">
      <c r="D257" s="15">
        <f t="shared" ca="1" si="21"/>
        <v>0</v>
      </c>
      <c r="E257" s="16" t="e">
        <f t="shared" ca="1" si="15"/>
        <v>#DIV/0!</v>
      </c>
      <c r="F257" s="16" t="e">
        <f t="shared" ca="1" si="16"/>
        <v>#DIV/0!</v>
      </c>
      <c r="G257" s="16" t="e">
        <f t="shared" ca="1" si="17"/>
        <v>#DIV/0!</v>
      </c>
      <c r="H257" s="15" t="e">
        <f t="shared" ca="1" si="18"/>
        <v>#DIV/0!</v>
      </c>
    </row>
    <row r="258" spans="4:8" ht="11.25">
      <c r="D258" s="15">
        <f t="shared" ca="1" si="21"/>
        <v>0</v>
      </c>
      <c r="E258" s="16" t="e">
        <f t="shared" ref="E258:E321" ca="1" si="22">IF(ISNA(D258),NA(),a*t^2+b*t+g)</f>
        <v>#DIV/0!</v>
      </c>
      <c r="F258" s="16" t="e">
        <f t="shared" ref="F258:F321" ca="1" si="23">IF(ISNA(D258),NA(),u*(t-mx)^2+v*(t-mx)+w+my)</f>
        <v>#DIV/0!</v>
      </c>
      <c r="G258" s="16" t="e">
        <f t="shared" ref="G258:G321" ca="1" si="24">IF(ISNA(D258),500,MIN(F257,G257))</f>
        <v>#DIV/0!</v>
      </c>
      <c r="H258" s="15" t="e">
        <f t="shared" ref="H258:H321" ca="1" si="25">IF(ISNA(D258),H257,IF(E258&lt;G257,D258,H257))</f>
        <v>#DIV/0!</v>
      </c>
    </row>
    <row r="259" spans="4:8" ht="11.25">
      <c r="D259" s="15">
        <f t="shared" ca="1" si="21"/>
        <v>0</v>
      </c>
      <c r="E259" s="16" t="e">
        <f t="shared" ca="1" si="22"/>
        <v>#DIV/0!</v>
      </c>
      <c r="F259" s="16" t="e">
        <f t="shared" ca="1" si="23"/>
        <v>#DIV/0!</v>
      </c>
      <c r="G259" s="16" t="e">
        <f t="shared" ca="1" si="24"/>
        <v>#DIV/0!</v>
      </c>
      <c r="H259" s="15" t="e">
        <f t="shared" ca="1" si="25"/>
        <v>#DIV/0!</v>
      </c>
    </row>
    <row r="260" spans="4:8" ht="11.25">
      <c r="D260" s="15">
        <f t="shared" ca="1" si="21"/>
        <v>0</v>
      </c>
      <c r="E260" s="16" t="e">
        <f t="shared" ca="1" si="22"/>
        <v>#DIV/0!</v>
      </c>
      <c r="F260" s="16" t="e">
        <f t="shared" ca="1" si="23"/>
        <v>#DIV/0!</v>
      </c>
      <c r="G260" s="16" t="e">
        <f t="shared" ca="1" si="24"/>
        <v>#DIV/0!</v>
      </c>
      <c r="H260" s="15" t="e">
        <f t="shared" ca="1" si="25"/>
        <v>#DIV/0!</v>
      </c>
    </row>
    <row r="261" spans="4:8" ht="11.25">
      <c r="D261" s="15">
        <f t="shared" ca="1" si="21"/>
        <v>0</v>
      </c>
      <c r="E261" s="16" t="e">
        <f t="shared" ca="1" si="22"/>
        <v>#DIV/0!</v>
      </c>
      <c r="F261" s="16" t="e">
        <f t="shared" ca="1" si="23"/>
        <v>#DIV/0!</v>
      </c>
      <c r="G261" s="16" t="e">
        <f t="shared" ca="1" si="24"/>
        <v>#DIV/0!</v>
      </c>
      <c r="H261" s="15" t="e">
        <f t="shared" ca="1" si="25"/>
        <v>#DIV/0!</v>
      </c>
    </row>
    <row r="262" spans="4:8" ht="11.25">
      <c r="D262" s="15">
        <f t="shared" ca="1" si="21"/>
        <v>0</v>
      </c>
      <c r="E262" s="16" t="e">
        <f t="shared" ca="1" si="22"/>
        <v>#DIV/0!</v>
      </c>
      <c r="F262" s="16" t="e">
        <f t="shared" ca="1" si="23"/>
        <v>#DIV/0!</v>
      </c>
      <c r="G262" s="16" t="e">
        <f t="shared" ca="1" si="24"/>
        <v>#DIV/0!</v>
      </c>
      <c r="H262" s="15" t="e">
        <f t="shared" ca="1" si="25"/>
        <v>#DIV/0!</v>
      </c>
    </row>
    <row r="263" spans="4:8" ht="11.25">
      <c r="D263" s="15">
        <f t="shared" ca="1" si="21"/>
        <v>0</v>
      </c>
      <c r="E263" s="16" t="e">
        <f t="shared" ca="1" si="22"/>
        <v>#DIV/0!</v>
      </c>
      <c r="F263" s="16" t="e">
        <f t="shared" ca="1" si="23"/>
        <v>#DIV/0!</v>
      </c>
      <c r="G263" s="16" t="e">
        <f t="shared" ca="1" si="24"/>
        <v>#DIV/0!</v>
      </c>
      <c r="H263" s="15" t="e">
        <f t="shared" ca="1" si="25"/>
        <v>#DIV/0!</v>
      </c>
    </row>
    <row r="264" spans="4:8" ht="11.25">
      <c r="D264" s="15">
        <f t="shared" ca="1" si="21"/>
        <v>0</v>
      </c>
      <c r="E264" s="16" t="e">
        <f t="shared" ca="1" si="22"/>
        <v>#DIV/0!</v>
      </c>
      <c r="F264" s="16" t="e">
        <f t="shared" ca="1" si="23"/>
        <v>#DIV/0!</v>
      </c>
      <c r="G264" s="16" t="e">
        <f t="shared" ca="1" si="24"/>
        <v>#DIV/0!</v>
      </c>
      <c r="H264" s="15" t="e">
        <f t="shared" ca="1" si="25"/>
        <v>#DIV/0!</v>
      </c>
    </row>
    <row r="265" spans="4:8" ht="11.25">
      <c r="D265" s="15">
        <f t="shared" ca="1" si="21"/>
        <v>0</v>
      </c>
      <c r="E265" s="16" t="e">
        <f t="shared" ca="1" si="22"/>
        <v>#DIV/0!</v>
      </c>
      <c r="F265" s="16" t="e">
        <f t="shared" ca="1" si="23"/>
        <v>#DIV/0!</v>
      </c>
      <c r="G265" s="16" t="e">
        <f t="shared" ca="1" si="24"/>
        <v>#DIV/0!</v>
      </c>
      <c r="H265" s="15" t="e">
        <f t="shared" ca="1" si="25"/>
        <v>#DIV/0!</v>
      </c>
    </row>
    <row r="266" spans="4:8" ht="11.25">
      <c r="D266" s="15">
        <f t="shared" ca="1" si="21"/>
        <v>0</v>
      </c>
      <c r="E266" s="16" t="e">
        <f t="shared" ca="1" si="22"/>
        <v>#DIV/0!</v>
      </c>
      <c r="F266" s="16" t="e">
        <f t="shared" ca="1" si="23"/>
        <v>#DIV/0!</v>
      </c>
      <c r="G266" s="16" t="e">
        <f t="shared" ca="1" si="24"/>
        <v>#DIV/0!</v>
      </c>
      <c r="H266" s="15" t="e">
        <f t="shared" ca="1" si="25"/>
        <v>#DIV/0!</v>
      </c>
    </row>
    <row r="267" spans="4:8" ht="11.25">
      <c r="D267" s="15">
        <f t="shared" ca="1" si="21"/>
        <v>0</v>
      </c>
      <c r="E267" s="16" t="e">
        <f t="shared" ca="1" si="22"/>
        <v>#DIV/0!</v>
      </c>
      <c r="F267" s="16" t="e">
        <f t="shared" ca="1" si="23"/>
        <v>#DIV/0!</v>
      </c>
      <c r="G267" s="16" t="e">
        <f t="shared" ca="1" si="24"/>
        <v>#DIV/0!</v>
      </c>
      <c r="H267" s="15" t="e">
        <f t="shared" ca="1" si="25"/>
        <v>#DIV/0!</v>
      </c>
    </row>
    <row r="268" spans="4:8" ht="11.25">
      <c r="D268" s="15">
        <f t="shared" ca="1" si="21"/>
        <v>0</v>
      </c>
      <c r="E268" s="16" t="e">
        <f t="shared" ca="1" si="22"/>
        <v>#DIV/0!</v>
      </c>
      <c r="F268" s="16" t="e">
        <f t="shared" ca="1" si="23"/>
        <v>#DIV/0!</v>
      </c>
      <c r="G268" s="16" t="e">
        <f t="shared" ca="1" si="24"/>
        <v>#DIV/0!</v>
      </c>
      <c r="H268" s="15" t="e">
        <f t="shared" ca="1" si="25"/>
        <v>#DIV/0!</v>
      </c>
    </row>
    <row r="269" spans="4:8" ht="11.25">
      <c r="D269" s="15">
        <f t="shared" ca="1" si="21"/>
        <v>0</v>
      </c>
      <c r="E269" s="16" t="e">
        <f t="shared" ca="1" si="22"/>
        <v>#DIV/0!</v>
      </c>
      <c r="F269" s="16" t="e">
        <f t="shared" ca="1" si="23"/>
        <v>#DIV/0!</v>
      </c>
      <c r="G269" s="16" t="e">
        <f t="shared" ca="1" si="24"/>
        <v>#DIV/0!</v>
      </c>
      <c r="H269" s="15" t="e">
        <f t="shared" ca="1" si="25"/>
        <v>#DIV/0!</v>
      </c>
    </row>
    <row r="270" spans="4:8" ht="11.25">
      <c r="D270" s="15">
        <f t="shared" ref="D270:D301" ca="1" si="26">IF(D269&lt;=MAX(x)+(MAX(x)-MIN(x)),D269+(MAX(x)-MIN(x))/100,NA())</f>
        <v>0</v>
      </c>
      <c r="E270" s="16" t="e">
        <f t="shared" ca="1" si="22"/>
        <v>#DIV/0!</v>
      </c>
      <c r="F270" s="16" t="e">
        <f t="shared" ca="1" si="23"/>
        <v>#DIV/0!</v>
      </c>
      <c r="G270" s="16" t="e">
        <f t="shared" ca="1" si="24"/>
        <v>#DIV/0!</v>
      </c>
      <c r="H270" s="15" t="e">
        <f t="shared" ca="1" si="25"/>
        <v>#DIV/0!</v>
      </c>
    </row>
    <row r="271" spans="4:8" ht="11.25">
      <c r="D271" s="15">
        <f t="shared" ca="1" si="26"/>
        <v>0</v>
      </c>
      <c r="E271" s="16" t="e">
        <f t="shared" ca="1" si="22"/>
        <v>#DIV/0!</v>
      </c>
      <c r="F271" s="16" t="e">
        <f t="shared" ca="1" si="23"/>
        <v>#DIV/0!</v>
      </c>
      <c r="G271" s="16" t="e">
        <f t="shared" ca="1" si="24"/>
        <v>#DIV/0!</v>
      </c>
      <c r="H271" s="15" t="e">
        <f t="shared" ca="1" si="25"/>
        <v>#DIV/0!</v>
      </c>
    </row>
    <row r="272" spans="4:8" ht="11.25">
      <c r="D272" s="15">
        <f t="shared" ca="1" si="26"/>
        <v>0</v>
      </c>
      <c r="E272" s="16" t="e">
        <f t="shared" ca="1" si="22"/>
        <v>#DIV/0!</v>
      </c>
      <c r="F272" s="16" t="e">
        <f t="shared" ca="1" si="23"/>
        <v>#DIV/0!</v>
      </c>
      <c r="G272" s="16" t="e">
        <f t="shared" ca="1" si="24"/>
        <v>#DIV/0!</v>
      </c>
      <c r="H272" s="15" t="e">
        <f t="shared" ca="1" si="25"/>
        <v>#DIV/0!</v>
      </c>
    </row>
    <row r="273" spans="4:8" ht="11.25">
      <c r="D273" s="15">
        <f t="shared" ca="1" si="26"/>
        <v>0</v>
      </c>
      <c r="E273" s="16" t="e">
        <f t="shared" ca="1" si="22"/>
        <v>#DIV/0!</v>
      </c>
      <c r="F273" s="16" t="e">
        <f t="shared" ca="1" si="23"/>
        <v>#DIV/0!</v>
      </c>
      <c r="G273" s="16" t="e">
        <f t="shared" ca="1" si="24"/>
        <v>#DIV/0!</v>
      </c>
      <c r="H273" s="15" t="e">
        <f t="shared" ca="1" si="25"/>
        <v>#DIV/0!</v>
      </c>
    </row>
    <row r="274" spans="4:8" ht="11.25">
      <c r="D274" s="15">
        <f t="shared" ca="1" si="26"/>
        <v>0</v>
      </c>
      <c r="E274" s="16" t="e">
        <f t="shared" ca="1" si="22"/>
        <v>#DIV/0!</v>
      </c>
      <c r="F274" s="16" t="e">
        <f t="shared" ca="1" si="23"/>
        <v>#DIV/0!</v>
      </c>
      <c r="G274" s="16" t="e">
        <f t="shared" ca="1" si="24"/>
        <v>#DIV/0!</v>
      </c>
      <c r="H274" s="15" t="e">
        <f t="shared" ca="1" si="25"/>
        <v>#DIV/0!</v>
      </c>
    </row>
    <row r="275" spans="4:8" ht="11.25">
      <c r="D275" s="15">
        <f t="shared" ca="1" si="26"/>
        <v>0</v>
      </c>
      <c r="E275" s="16" t="e">
        <f t="shared" ca="1" si="22"/>
        <v>#DIV/0!</v>
      </c>
      <c r="F275" s="16" t="e">
        <f t="shared" ca="1" si="23"/>
        <v>#DIV/0!</v>
      </c>
      <c r="G275" s="16" t="e">
        <f t="shared" ca="1" si="24"/>
        <v>#DIV/0!</v>
      </c>
      <c r="H275" s="15" t="e">
        <f t="shared" ca="1" si="25"/>
        <v>#DIV/0!</v>
      </c>
    </row>
    <row r="276" spans="4:8" ht="11.25">
      <c r="D276" s="15">
        <f t="shared" ca="1" si="26"/>
        <v>0</v>
      </c>
      <c r="E276" s="16" t="e">
        <f t="shared" ca="1" si="22"/>
        <v>#DIV/0!</v>
      </c>
      <c r="F276" s="16" t="e">
        <f t="shared" ca="1" si="23"/>
        <v>#DIV/0!</v>
      </c>
      <c r="G276" s="16" t="e">
        <f t="shared" ca="1" si="24"/>
        <v>#DIV/0!</v>
      </c>
      <c r="H276" s="15" t="e">
        <f t="shared" ca="1" si="25"/>
        <v>#DIV/0!</v>
      </c>
    </row>
    <row r="277" spans="4:8" ht="11.25">
      <c r="D277" s="15">
        <f t="shared" ca="1" si="26"/>
        <v>0</v>
      </c>
      <c r="E277" s="16" t="e">
        <f t="shared" ca="1" si="22"/>
        <v>#DIV/0!</v>
      </c>
      <c r="F277" s="16" t="e">
        <f t="shared" ca="1" si="23"/>
        <v>#DIV/0!</v>
      </c>
      <c r="G277" s="16" t="e">
        <f t="shared" ca="1" si="24"/>
        <v>#DIV/0!</v>
      </c>
      <c r="H277" s="15" t="e">
        <f t="shared" ca="1" si="25"/>
        <v>#DIV/0!</v>
      </c>
    </row>
    <row r="278" spans="4:8" ht="11.25">
      <c r="D278" s="15">
        <f t="shared" ca="1" si="26"/>
        <v>0</v>
      </c>
      <c r="E278" s="16" t="e">
        <f t="shared" ca="1" si="22"/>
        <v>#DIV/0!</v>
      </c>
      <c r="F278" s="16" t="e">
        <f t="shared" ca="1" si="23"/>
        <v>#DIV/0!</v>
      </c>
      <c r="G278" s="16" t="e">
        <f t="shared" ca="1" si="24"/>
        <v>#DIV/0!</v>
      </c>
      <c r="H278" s="15" t="e">
        <f t="shared" ca="1" si="25"/>
        <v>#DIV/0!</v>
      </c>
    </row>
    <row r="279" spans="4:8" ht="11.25">
      <c r="D279" s="15">
        <f t="shared" ca="1" si="26"/>
        <v>0</v>
      </c>
      <c r="E279" s="16" t="e">
        <f t="shared" ca="1" si="22"/>
        <v>#DIV/0!</v>
      </c>
      <c r="F279" s="16" t="e">
        <f t="shared" ca="1" si="23"/>
        <v>#DIV/0!</v>
      </c>
      <c r="G279" s="16" t="e">
        <f t="shared" ca="1" si="24"/>
        <v>#DIV/0!</v>
      </c>
      <c r="H279" s="15" t="e">
        <f t="shared" ca="1" si="25"/>
        <v>#DIV/0!</v>
      </c>
    </row>
    <row r="280" spans="4:8" ht="11.25">
      <c r="D280" s="15">
        <f t="shared" ca="1" si="26"/>
        <v>0</v>
      </c>
      <c r="E280" s="16" t="e">
        <f t="shared" ca="1" si="22"/>
        <v>#DIV/0!</v>
      </c>
      <c r="F280" s="16" t="e">
        <f t="shared" ca="1" si="23"/>
        <v>#DIV/0!</v>
      </c>
      <c r="G280" s="16" t="e">
        <f t="shared" ca="1" si="24"/>
        <v>#DIV/0!</v>
      </c>
      <c r="H280" s="15" t="e">
        <f t="shared" ca="1" si="25"/>
        <v>#DIV/0!</v>
      </c>
    </row>
    <row r="281" spans="4:8" ht="11.25">
      <c r="D281" s="15">
        <f t="shared" ca="1" si="26"/>
        <v>0</v>
      </c>
      <c r="E281" s="16" t="e">
        <f t="shared" ca="1" si="22"/>
        <v>#DIV/0!</v>
      </c>
      <c r="F281" s="16" t="e">
        <f t="shared" ca="1" si="23"/>
        <v>#DIV/0!</v>
      </c>
      <c r="G281" s="16" t="e">
        <f t="shared" ca="1" si="24"/>
        <v>#DIV/0!</v>
      </c>
      <c r="H281" s="15" t="e">
        <f t="shared" ca="1" si="25"/>
        <v>#DIV/0!</v>
      </c>
    </row>
    <row r="282" spans="4:8" ht="11.25">
      <c r="D282" s="15">
        <f t="shared" ca="1" si="26"/>
        <v>0</v>
      </c>
      <c r="E282" s="16" t="e">
        <f t="shared" ca="1" si="22"/>
        <v>#DIV/0!</v>
      </c>
      <c r="F282" s="16" t="e">
        <f t="shared" ca="1" si="23"/>
        <v>#DIV/0!</v>
      </c>
      <c r="G282" s="16" t="e">
        <f t="shared" ca="1" si="24"/>
        <v>#DIV/0!</v>
      </c>
      <c r="H282" s="15" t="e">
        <f t="shared" ca="1" si="25"/>
        <v>#DIV/0!</v>
      </c>
    </row>
    <row r="283" spans="4:8" ht="11.25">
      <c r="D283" s="15">
        <f t="shared" ca="1" si="26"/>
        <v>0</v>
      </c>
      <c r="E283" s="16" t="e">
        <f t="shared" ca="1" si="22"/>
        <v>#DIV/0!</v>
      </c>
      <c r="F283" s="16" t="e">
        <f t="shared" ca="1" si="23"/>
        <v>#DIV/0!</v>
      </c>
      <c r="G283" s="16" t="e">
        <f t="shared" ca="1" si="24"/>
        <v>#DIV/0!</v>
      </c>
      <c r="H283" s="15" t="e">
        <f t="shared" ca="1" si="25"/>
        <v>#DIV/0!</v>
      </c>
    </row>
    <row r="284" spans="4:8" ht="11.25">
      <c r="D284" s="15">
        <f t="shared" ca="1" si="26"/>
        <v>0</v>
      </c>
      <c r="E284" s="16" t="e">
        <f t="shared" ca="1" si="22"/>
        <v>#DIV/0!</v>
      </c>
      <c r="F284" s="16" t="e">
        <f t="shared" ca="1" si="23"/>
        <v>#DIV/0!</v>
      </c>
      <c r="G284" s="16" t="e">
        <f t="shared" ca="1" si="24"/>
        <v>#DIV/0!</v>
      </c>
      <c r="H284" s="15" t="e">
        <f t="shared" ca="1" si="25"/>
        <v>#DIV/0!</v>
      </c>
    </row>
    <row r="285" spans="4:8" ht="11.25">
      <c r="D285" s="15">
        <f t="shared" ca="1" si="26"/>
        <v>0</v>
      </c>
      <c r="E285" s="16" t="e">
        <f t="shared" ca="1" si="22"/>
        <v>#DIV/0!</v>
      </c>
      <c r="F285" s="16" t="e">
        <f t="shared" ca="1" si="23"/>
        <v>#DIV/0!</v>
      </c>
      <c r="G285" s="16" t="e">
        <f t="shared" ca="1" si="24"/>
        <v>#DIV/0!</v>
      </c>
      <c r="H285" s="15" t="e">
        <f t="shared" ca="1" si="25"/>
        <v>#DIV/0!</v>
      </c>
    </row>
    <row r="286" spans="4:8" ht="11.25">
      <c r="D286" s="15">
        <f t="shared" ca="1" si="26"/>
        <v>0</v>
      </c>
      <c r="E286" s="16" t="e">
        <f t="shared" ca="1" si="22"/>
        <v>#DIV/0!</v>
      </c>
      <c r="F286" s="16" t="e">
        <f t="shared" ca="1" si="23"/>
        <v>#DIV/0!</v>
      </c>
      <c r="G286" s="16" t="e">
        <f t="shared" ca="1" si="24"/>
        <v>#DIV/0!</v>
      </c>
      <c r="H286" s="15" t="e">
        <f t="shared" ca="1" si="25"/>
        <v>#DIV/0!</v>
      </c>
    </row>
    <row r="287" spans="4:8" ht="11.25">
      <c r="D287" s="15">
        <f t="shared" ca="1" si="26"/>
        <v>0</v>
      </c>
      <c r="E287" s="16" t="e">
        <f t="shared" ca="1" si="22"/>
        <v>#DIV/0!</v>
      </c>
      <c r="F287" s="16" t="e">
        <f t="shared" ca="1" si="23"/>
        <v>#DIV/0!</v>
      </c>
      <c r="G287" s="16" t="e">
        <f t="shared" ca="1" si="24"/>
        <v>#DIV/0!</v>
      </c>
      <c r="H287" s="15" t="e">
        <f t="shared" ca="1" si="25"/>
        <v>#DIV/0!</v>
      </c>
    </row>
    <row r="288" spans="4:8" ht="11.25">
      <c r="D288" s="15">
        <f t="shared" ca="1" si="26"/>
        <v>0</v>
      </c>
      <c r="E288" s="16" t="e">
        <f t="shared" ca="1" si="22"/>
        <v>#DIV/0!</v>
      </c>
      <c r="F288" s="16" t="e">
        <f t="shared" ca="1" si="23"/>
        <v>#DIV/0!</v>
      </c>
      <c r="G288" s="16" t="e">
        <f t="shared" ca="1" si="24"/>
        <v>#DIV/0!</v>
      </c>
      <c r="H288" s="15" t="e">
        <f t="shared" ca="1" si="25"/>
        <v>#DIV/0!</v>
      </c>
    </row>
    <row r="289" spans="4:8" ht="11.25">
      <c r="D289" s="15">
        <f t="shared" ca="1" si="26"/>
        <v>0</v>
      </c>
      <c r="E289" s="16" t="e">
        <f t="shared" ca="1" si="22"/>
        <v>#DIV/0!</v>
      </c>
      <c r="F289" s="16" t="e">
        <f t="shared" ca="1" si="23"/>
        <v>#DIV/0!</v>
      </c>
      <c r="G289" s="16" t="e">
        <f t="shared" ca="1" si="24"/>
        <v>#DIV/0!</v>
      </c>
      <c r="H289" s="15" t="e">
        <f t="shared" ca="1" si="25"/>
        <v>#DIV/0!</v>
      </c>
    </row>
    <row r="290" spans="4:8" ht="11.25">
      <c r="D290" s="15">
        <f t="shared" ca="1" si="26"/>
        <v>0</v>
      </c>
      <c r="E290" s="16" t="e">
        <f t="shared" ca="1" si="22"/>
        <v>#DIV/0!</v>
      </c>
      <c r="F290" s="16" t="e">
        <f t="shared" ca="1" si="23"/>
        <v>#DIV/0!</v>
      </c>
      <c r="G290" s="16" t="e">
        <f t="shared" ca="1" si="24"/>
        <v>#DIV/0!</v>
      </c>
      <c r="H290" s="15" t="e">
        <f t="shared" ca="1" si="25"/>
        <v>#DIV/0!</v>
      </c>
    </row>
    <row r="291" spans="4:8" ht="11.25">
      <c r="D291" s="15">
        <f t="shared" ca="1" si="26"/>
        <v>0</v>
      </c>
      <c r="E291" s="16" t="e">
        <f t="shared" ca="1" si="22"/>
        <v>#DIV/0!</v>
      </c>
      <c r="F291" s="16" t="e">
        <f t="shared" ca="1" si="23"/>
        <v>#DIV/0!</v>
      </c>
      <c r="G291" s="16" t="e">
        <f t="shared" ca="1" si="24"/>
        <v>#DIV/0!</v>
      </c>
      <c r="H291" s="15" t="e">
        <f t="shared" ca="1" si="25"/>
        <v>#DIV/0!</v>
      </c>
    </row>
    <row r="292" spans="4:8" ht="11.25">
      <c r="D292" s="15">
        <f t="shared" ca="1" si="26"/>
        <v>0</v>
      </c>
      <c r="E292" s="16" t="e">
        <f t="shared" ca="1" si="22"/>
        <v>#DIV/0!</v>
      </c>
      <c r="F292" s="16" t="e">
        <f t="shared" ca="1" si="23"/>
        <v>#DIV/0!</v>
      </c>
      <c r="G292" s="16" t="e">
        <f t="shared" ca="1" si="24"/>
        <v>#DIV/0!</v>
      </c>
      <c r="H292" s="15" t="e">
        <f t="shared" ca="1" si="25"/>
        <v>#DIV/0!</v>
      </c>
    </row>
    <row r="293" spans="4:8" ht="11.25">
      <c r="D293" s="15">
        <f t="shared" ca="1" si="26"/>
        <v>0</v>
      </c>
      <c r="E293" s="16" t="e">
        <f t="shared" ca="1" si="22"/>
        <v>#DIV/0!</v>
      </c>
      <c r="F293" s="16" t="e">
        <f t="shared" ca="1" si="23"/>
        <v>#DIV/0!</v>
      </c>
      <c r="G293" s="16" t="e">
        <f t="shared" ca="1" si="24"/>
        <v>#DIV/0!</v>
      </c>
      <c r="H293" s="15" t="e">
        <f t="shared" ca="1" si="25"/>
        <v>#DIV/0!</v>
      </c>
    </row>
    <row r="294" spans="4:8" ht="11.25">
      <c r="D294" s="15">
        <f t="shared" ca="1" si="26"/>
        <v>0</v>
      </c>
      <c r="E294" s="16" t="e">
        <f t="shared" ca="1" si="22"/>
        <v>#DIV/0!</v>
      </c>
      <c r="F294" s="16" t="e">
        <f t="shared" ca="1" si="23"/>
        <v>#DIV/0!</v>
      </c>
      <c r="G294" s="16" t="e">
        <f t="shared" ca="1" si="24"/>
        <v>#DIV/0!</v>
      </c>
      <c r="H294" s="15" t="e">
        <f t="shared" ca="1" si="25"/>
        <v>#DIV/0!</v>
      </c>
    </row>
    <row r="295" spans="4:8" ht="11.25">
      <c r="D295" s="15">
        <f t="shared" ca="1" si="26"/>
        <v>0</v>
      </c>
      <c r="E295" s="16" t="e">
        <f t="shared" ca="1" si="22"/>
        <v>#DIV/0!</v>
      </c>
      <c r="F295" s="16" t="e">
        <f t="shared" ca="1" si="23"/>
        <v>#DIV/0!</v>
      </c>
      <c r="G295" s="16" t="e">
        <f t="shared" ca="1" si="24"/>
        <v>#DIV/0!</v>
      </c>
      <c r="H295" s="15" t="e">
        <f t="shared" ca="1" si="25"/>
        <v>#DIV/0!</v>
      </c>
    </row>
    <row r="296" spans="4:8" ht="11.25">
      <c r="D296" s="15">
        <f t="shared" ca="1" si="26"/>
        <v>0</v>
      </c>
      <c r="E296" s="16" t="e">
        <f t="shared" ca="1" si="22"/>
        <v>#DIV/0!</v>
      </c>
      <c r="F296" s="16" t="e">
        <f t="shared" ca="1" si="23"/>
        <v>#DIV/0!</v>
      </c>
      <c r="G296" s="16" t="e">
        <f t="shared" ca="1" si="24"/>
        <v>#DIV/0!</v>
      </c>
      <c r="H296" s="15" t="e">
        <f t="shared" ca="1" si="25"/>
        <v>#DIV/0!</v>
      </c>
    </row>
    <row r="297" spans="4:8" ht="11.25">
      <c r="D297" s="15">
        <f t="shared" ca="1" si="26"/>
        <v>0</v>
      </c>
      <c r="E297" s="16" t="e">
        <f t="shared" ca="1" si="22"/>
        <v>#DIV/0!</v>
      </c>
      <c r="F297" s="16" t="e">
        <f t="shared" ca="1" si="23"/>
        <v>#DIV/0!</v>
      </c>
      <c r="G297" s="16" t="e">
        <f t="shared" ca="1" si="24"/>
        <v>#DIV/0!</v>
      </c>
      <c r="H297" s="15" t="e">
        <f t="shared" ca="1" si="25"/>
        <v>#DIV/0!</v>
      </c>
    </row>
    <row r="298" spans="4:8" ht="11.25">
      <c r="D298" s="15">
        <f t="shared" ca="1" si="26"/>
        <v>0</v>
      </c>
      <c r="E298" s="16" t="e">
        <f t="shared" ca="1" si="22"/>
        <v>#DIV/0!</v>
      </c>
      <c r="F298" s="16" t="e">
        <f t="shared" ca="1" si="23"/>
        <v>#DIV/0!</v>
      </c>
      <c r="G298" s="16" t="e">
        <f t="shared" ca="1" si="24"/>
        <v>#DIV/0!</v>
      </c>
      <c r="H298" s="15" t="e">
        <f t="shared" ca="1" si="25"/>
        <v>#DIV/0!</v>
      </c>
    </row>
    <row r="299" spans="4:8" ht="11.25">
      <c r="D299" s="15">
        <f t="shared" ca="1" si="26"/>
        <v>0</v>
      </c>
      <c r="E299" s="16" t="e">
        <f t="shared" ca="1" si="22"/>
        <v>#DIV/0!</v>
      </c>
      <c r="F299" s="16" t="e">
        <f t="shared" ca="1" si="23"/>
        <v>#DIV/0!</v>
      </c>
      <c r="G299" s="16" t="e">
        <f t="shared" ca="1" si="24"/>
        <v>#DIV/0!</v>
      </c>
      <c r="H299" s="15" t="e">
        <f t="shared" ca="1" si="25"/>
        <v>#DIV/0!</v>
      </c>
    </row>
    <row r="300" spans="4:8" ht="11.25">
      <c r="D300" s="15">
        <f t="shared" ca="1" si="26"/>
        <v>0</v>
      </c>
      <c r="E300" s="16" t="e">
        <f t="shared" ca="1" si="22"/>
        <v>#DIV/0!</v>
      </c>
      <c r="F300" s="16" t="e">
        <f t="shared" ca="1" si="23"/>
        <v>#DIV/0!</v>
      </c>
      <c r="G300" s="16" t="e">
        <f t="shared" ca="1" si="24"/>
        <v>#DIV/0!</v>
      </c>
      <c r="H300" s="15" t="e">
        <f t="shared" ca="1" si="25"/>
        <v>#DIV/0!</v>
      </c>
    </row>
    <row r="301" spans="4:8" ht="11.25">
      <c r="D301" s="15">
        <f t="shared" ca="1" si="26"/>
        <v>0</v>
      </c>
      <c r="E301" s="16" t="e">
        <f t="shared" ca="1" si="22"/>
        <v>#DIV/0!</v>
      </c>
      <c r="F301" s="16" t="e">
        <f t="shared" ca="1" si="23"/>
        <v>#DIV/0!</v>
      </c>
      <c r="G301" s="16" t="e">
        <f t="shared" ca="1" si="24"/>
        <v>#DIV/0!</v>
      </c>
      <c r="H301" s="15" t="e">
        <f t="shared" ca="1" si="25"/>
        <v>#DIV/0!</v>
      </c>
    </row>
    <row r="302" spans="4:8" ht="11.25">
      <c r="D302" s="15">
        <f t="shared" ref="D302:D333" ca="1" si="27">IF(D301&lt;=MAX(x)+(MAX(x)-MIN(x)),D301+(MAX(x)-MIN(x))/100,NA())</f>
        <v>0</v>
      </c>
      <c r="E302" s="16" t="e">
        <f t="shared" ca="1" si="22"/>
        <v>#DIV/0!</v>
      </c>
      <c r="F302" s="16" t="e">
        <f t="shared" ca="1" si="23"/>
        <v>#DIV/0!</v>
      </c>
      <c r="G302" s="16" t="e">
        <f t="shared" ca="1" si="24"/>
        <v>#DIV/0!</v>
      </c>
      <c r="H302" s="15" t="e">
        <f t="shared" ca="1" si="25"/>
        <v>#DIV/0!</v>
      </c>
    </row>
    <row r="303" spans="4:8" ht="11.25">
      <c r="D303" s="15">
        <f t="shared" ca="1" si="27"/>
        <v>0</v>
      </c>
      <c r="E303" s="16" t="e">
        <f t="shared" ca="1" si="22"/>
        <v>#DIV/0!</v>
      </c>
      <c r="F303" s="16" t="e">
        <f t="shared" ca="1" si="23"/>
        <v>#DIV/0!</v>
      </c>
      <c r="G303" s="16" t="e">
        <f t="shared" ca="1" si="24"/>
        <v>#DIV/0!</v>
      </c>
      <c r="H303" s="15" t="e">
        <f t="shared" ca="1" si="25"/>
        <v>#DIV/0!</v>
      </c>
    </row>
    <row r="304" spans="4:8" ht="11.25">
      <c r="D304" s="15">
        <f t="shared" ca="1" si="27"/>
        <v>0</v>
      </c>
      <c r="E304" s="16" t="e">
        <f t="shared" ca="1" si="22"/>
        <v>#DIV/0!</v>
      </c>
      <c r="F304" s="16" t="e">
        <f t="shared" ca="1" si="23"/>
        <v>#DIV/0!</v>
      </c>
      <c r="G304" s="16" t="e">
        <f t="shared" ca="1" si="24"/>
        <v>#DIV/0!</v>
      </c>
      <c r="H304" s="15" t="e">
        <f t="shared" ca="1" si="25"/>
        <v>#DIV/0!</v>
      </c>
    </row>
    <row r="305" spans="4:8" ht="11.25">
      <c r="D305" s="15">
        <f t="shared" ca="1" si="27"/>
        <v>0</v>
      </c>
      <c r="E305" s="16" t="e">
        <f t="shared" ca="1" si="22"/>
        <v>#DIV/0!</v>
      </c>
      <c r="F305" s="16" t="e">
        <f t="shared" ca="1" si="23"/>
        <v>#DIV/0!</v>
      </c>
      <c r="G305" s="16" t="e">
        <f t="shared" ca="1" si="24"/>
        <v>#DIV/0!</v>
      </c>
      <c r="H305" s="15" t="e">
        <f t="shared" ca="1" si="25"/>
        <v>#DIV/0!</v>
      </c>
    </row>
    <row r="306" spans="4:8" ht="11.25">
      <c r="D306" s="15">
        <f t="shared" ca="1" si="27"/>
        <v>0</v>
      </c>
      <c r="E306" s="16" t="e">
        <f t="shared" ca="1" si="22"/>
        <v>#DIV/0!</v>
      </c>
      <c r="F306" s="16" t="e">
        <f t="shared" ca="1" si="23"/>
        <v>#DIV/0!</v>
      </c>
      <c r="G306" s="16" t="e">
        <f t="shared" ca="1" si="24"/>
        <v>#DIV/0!</v>
      </c>
      <c r="H306" s="15" t="e">
        <f t="shared" ca="1" si="25"/>
        <v>#DIV/0!</v>
      </c>
    </row>
    <row r="307" spans="4:8" ht="11.25">
      <c r="D307" s="15">
        <f t="shared" ca="1" si="27"/>
        <v>0</v>
      </c>
      <c r="E307" s="16" t="e">
        <f t="shared" ca="1" si="22"/>
        <v>#DIV/0!</v>
      </c>
      <c r="F307" s="16" t="e">
        <f t="shared" ca="1" si="23"/>
        <v>#DIV/0!</v>
      </c>
      <c r="G307" s="16" t="e">
        <f t="shared" ca="1" si="24"/>
        <v>#DIV/0!</v>
      </c>
      <c r="H307" s="15" t="e">
        <f t="shared" ca="1" si="25"/>
        <v>#DIV/0!</v>
      </c>
    </row>
    <row r="308" spans="4:8" ht="11.25">
      <c r="D308" s="15">
        <f t="shared" ca="1" si="27"/>
        <v>0</v>
      </c>
      <c r="E308" s="16" t="e">
        <f t="shared" ca="1" si="22"/>
        <v>#DIV/0!</v>
      </c>
      <c r="F308" s="16" t="e">
        <f t="shared" ca="1" si="23"/>
        <v>#DIV/0!</v>
      </c>
      <c r="G308" s="16" t="e">
        <f t="shared" ca="1" si="24"/>
        <v>#DIV/0!</v>
      </c>
      <c r="H308" s="15" t="e">
        <f t="shared" ca="1" si="25"/>
        <v>#DIV/0!</v>
      </c>
    </row>
    <row r="309" spans="4:8" ht="11.25">
      <c r="D309" s="15">
        <f t="shared" ca="1" si="27"/>
        <v>0</v>
      </c>
      <c r="E309" s="16" t="e">
        <f t="shared" ca="1" si="22"/>
        <v>#DIV/0!</v>
      </c>
      <c r="F309" s="16" t="e">
        <f t="shared" ca="1" si="23"/>
        <v>#DIV/0!</v>
      </c>
      <c r="G309" s="16" t="e">
        <f t="shared" ca="1" si="24"/>
        <v>#DIV/0!</v>
      </c>
      <c r="H309" s="15" t="e">
        <f t="shared" ca="1" si="25"/>
        <v>#DIV/0!</v>
      </c>
    </row>
    <row r="310" spans="4:8" ht="11.25">
      <c r="D310" s="15">
        <f t="shared" ca="1" si="27"/>
        <v>0</v>
      </c>
      <c r="E310" s="16" t="e">
        <f t="shared" ca="1" si="22"/>
        <v>#DIV/0!</v>
      </c>
      <c r="F310" s="16" t="e">
        <f t="shared" ca="1" si="23"/>
        <v>#DIV/0!</v>
      </c>
      <c r="G310" s="16" t="e">
        <f t="shared" ca="1" si="24"/>
        <v>#DIV/0!</v>
      </c>
      <c r="H310" s="15" t="e">
        <f t="shared" ca="1" si="25"/>
        <v>#DIV/0!</v>
      </c>
    </row>
    <row r="311" spans="4:8" ht="11.25">
      <c r="D311" s="15">
        <f t="shared" ca="1" si="27"/>
        <v>0</v>
      </c>
      <c r="E311" s="16" t="e">
        <f t="shared" ca="1" si="22"/>
        <v>#DIV/0!</v>
      </c>
      <c r="F311" s="16" t="e">
        <f t="shared" ca="1" si="23"/>
        <v>#DIV/0!</v>
      </c>
      <c r="G311" s="16" t="e">
        <f t="shared" ca="1" si="24"/>
        <v>#DIV/0!</v>
      </c>
      <c r="H311" s="15" t="e">
        <f t="shared" ca="1" si="25"/>
        <v>#DIV/0!</v>
      </c>
    </row>
    <row r="312" spans="4:8" ht="11.25">
      <c r="D312" s="15">
        <f t="shared" ca="1" si="27"/>
        <v>0</v>
      </c>
      <c r="E312" s="16" t="e">
        <f t="shared" ca="1" si="22"/>
        <v>#DIV/0!</v>
      </c>
      <c r="F312" s="16" t="e">
        <f t="shared" ca="1" si="23"/>
        <v>#DIV/0!</v>
      </c>
      <c r="G312" s="16" t="e">
        <f t="shared" ca="1" si="24"/>
        <v>#DIV/0!</v>
      </c>
      <c r="H312" s="15" t="e">
        <f t="shared" ca="1" si="25"/>
        <v>#DIV/0!</v>
      </c>
    </row>
    <row r="313" spans="4:8" ht="11.25">
      <c r="D313" s="15">
        <f t="shared" ca="1" si="27"/>
        <v>0</v>
      </c>
      <c r="E313" s="16" t="e">
        <f t="shared" ca="1" si="22"/>
        <v>#DIV/0!</v>
      </c>
      <c r="F313" s="16" t="e">
        <f t="shared" ca="1" si="23"/>
        <v>#DIV/0!</v>
      </c>
      <c r="G313" s="16" t="e">
        <f t="shared" ca="1" si="24"/>
        <v>#DIV/0!</v>
      </c>
      <c r="H313" s="15" t="e">
        <f t="shared" ca="1" si="25"/>
        <v>#DIV/0!</v>
      </c>
    </row>
    <row r="314" spans="4:8" ht="11.25">
      <c r="D314" s="15">
        <f t="shared" ca="1" si="27"/>
        <v>0</v>
      </c>
      <c r="E314" s="16" t="e">
        <f t="shared" ca="1" si="22"/>
        <v>#DIV/0!</v>
      </c>
      <c r="F314" s="16" t="e">
        <f t="shared" ca="1" si="23"/>
        <v>#DIV/0!</v>
      </c>
      <c r="G314" s="16" t="e">
        <f t="shared" ca="1" si="24"/>
        <v>#DIV/0!</v>
      </c>
      <c r="H314" s="15" t="e">
        <f t="shared" ca="1" si="25"/>
        <v>#DIV/0!</v>
      </c>
    </row>
    <row r="315" spans="4:8" ht="11.25">
      <c r="D315" s="15">
        <f t="shared" ca="1" si="27"/>
        <v>0</v>
      </c>
      <c r="E315" s="16" t="e">
        <f t="shared" ca="1" si="22"/>
        <v>#DIV/0!</v>
      </c>
      <c r="F315" s="16" t="e">
        <f t="shared" ca="1" si="23"/>
        <v>#DIV/0!</v>
      </c>
      <c r="G315" s="16" t="e">
        <f t="shared" ca="1" si="24"/>
        <v>#DIV/0!</v>
      </c>
      <c r="H315" s="15" t="e">
        <f t="shared" ca="1" si="25"/>
        <v>#DIV/0!</v>
      </c>
    </row>
    <row r="316" spans="4:8" ht="11.25">
      <c r="D316" s="15">
        <f t="shared" ca="1" si="27"/>
        <v>0</v>
      </c>
      <c r="E316" s="16" t="e">
        <f t="shared" ca="1" si="22"/>
        <v>#DIV/0!</v>
      </c>
      <c r="F316" s="16" t="e">
        <f t="shared" ca="1" si="23"/>
        <v>#DIV/0!</v>
      </c>
      <c r="G316" s="16" t="e">
        <f t="shared" ca="1" si="24"/>
        <v>#DIV/0!</v>
      </c>
      <c r="H316" s="15" t="e">
        <f t="shared" ca="1" si="25"/>
        <v>#DIV/0!</v>
      </c>
    </row>
    <row r="317" spans="4:8" ht="11.25">
      <c r="D317" s="15">
        <f t="shared" ca="1" si="27"/>
        <v>0</v>
      </c>
      <c r="E317" s="16" t="e">
        <f t="shared" ca="1" si="22"/>
        <v>#DIV/0!</v>
      </c>
      <c r="F317" s="16" t="e">
        <f t="shared" ca="1" si="23"/>
        <v>#DIV/0!</v>
      </c>
      <c r="G317" s="16" t="e">
        <f t="shared" ca="1" si="24"/>
        <v>#DIV/0!</v>
      </c>
      <c r="H317" s="15" t="e">
        <f t="shared" ca="1" si="25"/>
        <v>#DIV/0!</v>
      </c>
    </row>
    <row r="318" spans="4:8" ht="11.25">
      <c r="D318" s="15">
        <f t="shared" ca="1" si="27"/>
        <v>0</v>
      </c>
      <c r="E318" s="16" t="e">
        <f t="shared" ca="1" si="22"/>
        <v>#DIV/0!</v>
      </c>
      <c r="F318" s="16" t="e">
        <f t="shared" ca="1" si="23"/>
        <v>#DIV/0!</v>
      </c>
      <c r="G318" s="16" t="e">
        <f t="shared" ca="1" si="24"/>
        <v>#DIV/0!</v>
      </c>
      <c r="H318" s="15" t="e">
        <f t="shared" ca="1" si="25"/>
        <v>#DIV/0!</v>
      </c>
    </row>
    <row r="319" spans="4:8" ht="11.25">
      <c r="D319" s="15">
        <f t="shared" ca="1" si="27"/>
        <v>0</v>
      </c>
      <c r="E319" s="16" t="e">
        <f t="shared" ca="1" si="22"/>
        <v>#DIV/0!</v>
      </c>
      <c r="F319" s="16" t="e">
        <f t="shared" ca="1" si="23"/>
        <v>#DIV/0!</v>
      </c>
      <c r="G319" s="16" t="e">
        <f t="shared" ca="1" si="24"/>
        <v>#DIV/0!</v>
      </c>
      <c r="H319" s="15" t="e">
        <f t="shared" ca="1" si="25"/>
        <v>#DIV/0!</v>
      </c>
    </row>
    <row r="320" spans="4:8" ht="11.25">
      <c r="D320" s="15">
        <f t="shared" ca="1" si="27"/>
        <v>0</v>
      </c>
      <c r="E320" s="16" t="e">
        <f t="shared" ca="1" si="22"/>
        <v>#DIV/0!</v>
      </c>
      <c r="F320" s="16" t="e">
        <f t="shared" ca="1" si="23"/>
        <v>#DIV/0!</v>
      </c>
      <c r="G320" s="16" t="e">
        <f t="shared" ca="1" si="24"/>
        <v>#DIV/0!</v>
      </c>
      <c r="H320" s="15" t="e">
        <f t="shared" ca="1" si="25"/>
        <v>#DIV/0!</v>
      </c>
    </row>
    <row r="321" spans="4:8" ht="11.25">
      <c r="D321" s="15">
        <f t="shared" ca="1" si="27"/>
        <v>0</v>
      </c>
      <c r="E321" s="16" t="e">
        <f t="shared" ca="1" si="22"/>
        <v>#DIV/0!</v>
      </c>
      <c r="F321" s="16" t="e">
        <f t="shared" ca="1" si="23"/>
        <v>#DIV/0!</v>
      </c>
      <c r="G321" s="16" t="e">
        <f t="shared" ca="1" si="24"/>
        <v>#DIV/0!</v>
      </c>
      <c r="H321" s="15" t="e">
        <f t="shared" ca="1" si="25"/>
        <v>#DIV/0!</v>
      </c>
    </row>
    <row r="322" spans="4:8" ht="11.25">
      <c r="D322" s="15">
        <f t="shared" ca="1" si="27"/>
        <v>0</v>
      </c>
      <c r="E322" s="16" t="e">
        <f t="shared" ref="E322:E385" ca="1" si="28">IF(ISNA(D322),NA(),a*t^2+b*t+g)</f>
        <v>#DIV/0!</v>
      </c>
      <c r="F322" s="16" t="e">
        <f t="shared" ref="F322:F385" ca="1" si="29">IF(ISNA(D322),NA(),u*(t-mx)^2+v*(t-mx)+w+my)</f>
        <v>#DIV/0!</v>
      </c>
      <c r="G322" s="16" t="e">
        <f t="shared" ref="G322:G385" ca="1" si="30">IF(ISNA(D322),500,MIN(F321,G321))</f>
        <v>#DIV/0!</v>
      </c>
      <c r="H322" s="15" t="e">
        <f t="shared" ref="H322:H385" ca="1" si="31">IF(ISNA(D322),H321,IF(E322&lt;G321,D322,H321))</f>
        <v>#DIV/0!</v>
      </c>
    </row>
    <row r="323" spans="4:8" ht="11.25">
      <c r="D323" s="15">
        <f t="shared" ca="1" si="27"/>
        <v>0</v>
      </c>
      <c r="E323" s="16" t="e">
        <f t="shared" ca="1" si="28"/>
        <v>#DIV/0!</v>
      </c>
      <c r="F323" s="16" t="e">
        <f t="shared" ca="1" si="29"/>
        <v>#DIV/0!</v>
      </c>
      <c r="G323" s="16" t="e">
        <f t="shared" ca="1" si="30"/>
        <v>#DIV/0!</v>
      </c>
      <c r="H323" s="15" t="e">
        <f t="shared" ca="1" si="31"/>
        <v>#DIV/0!</v>
      </c>
    </row>
    <row r="324" spans="4:8" ht="11.25">
      <c r="D324" s="15">
        <f t="shared" ca="1" si="27"/>
        <v>0</v>
      </c>
      <c r="E324" s="16" t="e">
        <f t="shared" ca="1" si="28"/>
        <v>#DIV/0!</v>
      </c>
      <c r="F324" s="16" t="e">
        <f t="shared" ca="1" si="29"/>
        <v>#DIV/0!</v>
      </c>
      <c r="G324" s="16" t="e">
        <f t="shared" ca="1" si="30"/>
        <v>#DIV/0!</v>
      </c>
      <c r="H324" s="15" t="e">
        <f t="shared" ca="1" si="31"/>
        <v>#DIV/0!</v>
      </c>
    </row>
    <row r="325" spans="4:8" ht="11.25">
      <c r="D325" s="15">
        <f t="shared" ca="1" si="27"/>
        <v>0</v>
      </c>
      <c r="E325" s="16" t="e">
        <f t="shared" ca="1" si="28"/>
        <v>#DIV/0!</v>
      </c>
      <c r="F325" s="16" t="e">
        <f t="shared" ca="1" si="29"/>
        <v>#DIV/0!</v>
      </c>
      <c r="G325" s="16" t="e">
        <f t="shared" ca="1" si="30"/>
        <v>#DIV/0!</v>
      </c>
      <c r="H325" s="15" t="e">
        <f t="shared" ca="1" si="31"/>
        <v>#DIV/0!</v>
      </c>
    </row>
    <row r="326" spans="4:8" ht="11.25">
      <c r="D326" s="15">
        <f t="shared" ca="1" si="27"/>
        <v>0</v>
      </c>
      <c r="E326" s="16" t="e">
        <f t="shared" ca="1" si="28"/>
        <v>#DIV/0!</v>
      </c>
      <c r="F326" s="16" t="e">
        <f t="shared" ca="1" si="29"/>
        <v>#DIV/0!</v>
      </c>
      <c r="G326" s="16" t="e">
        <f t="shared" ca="1" si="30"/>
        <v>#DIV/0!</v>
      </c>
      <c r="H326" s="15" t="e">
        <f t="shared" ca="1" si="31"/>
        <v>#DIV/0!</v>
      </c>
    </row>
    <row r="327" spans="4:8" ht="11.25">
      <c r="D327" s="15">
        <f t="shared" ca="1" si="27"/>
        <v>0</v>
      </c>
      <c r="E327" s="16" t="e">
        <f t="shared" ca="1" si="28"/>
        <v>#DIV/0!</v>
      </c>
      <c r="F327" s="16" t="e">
        <f t="shared" ca="1" si="29"/>
        <v>#DIV/0!</v>
      </c>
      <c r="G327" s="16" t="e">
        <f t="shared" ca="1" si="30"/>
        <v>#DIV/0!</v>
      </c>
      <c r="H327" s="15" t="e">
        <f t="shared" ca="1" si="31"/>
        <v>#DIV/0!</v>
      </c>
    </row>
    <row r="328" spans="4:8" ht="11.25">
      <c r="D328" s="15">
        <f t="shared" ca="1" si="27"/>
        <v>0</v>
      </c>
      <c r="E328" s="16" t="e">
        <f t="shared" ca="1" si="28"/>
        <v>#DIV/0!</v>
      </c>
      <c r="F328" s="16" t="e">
        <f t="shared" ca="1" si="29"/>
        <v>#DIV/0!</v>
      </c>
      <c r="G328" s="16" t="e">
        <f t="shared" ca="1" si="30"/>
        <v>#DIV/0!</v>
      </c>
      <c r="H328" s="15" t="e">
        <f t="shared" ca="1" si="31"/>
        <v>#DIV/0!</v>
      </c>
    </row>
    <row r="329" spans="4:8" ht="11.25">
      <c r="D329" s="15">
        <f t="shared" ca="1" si="27"/>
        <v>0</v>
      </c>
      <c r="E329" s="16" t="e">
        <f t="shared" ca="1" si="28"/>
        <v>#DIV/0!</v>
      </c>
      <c r="F329" s="16" t="e">
        <f t="shared" ca="1" si="29"/>
        <v>#DIV/0!</v>
      </c>
      <c r="G329" s="16" t="e">
        <f t="shared" ca="1" si="30"/>
        <v>#DIV/0!</v>
      </c>
      <c r="H329" s="15" t="e">
        <f t="shared" ca="1" si="31"/>
        <v>#DIV/0!</v>
      </c>
    </row>
    <row r="330" spans="4:8" ht="11.25">
      <c r="D330" s="15">
        <f t="shared" ca="1" si="27"/>
        <v>0</v>
      </c>
      <c r="E330" s="16" t="e">
        <f t="shared" ca="1" si="28"/>
        <v>#DIV/0!</v>
      </c>
      <c r="F330" s="16" t="e">
        <f t="shared" ca="1" si="29"/>
        <v>#DIV/0!</v>
      </c>
      <c r="G330" s="16" t="e">
        <f t="shared" ca="1" si="30"/>
        <v>#DIV/0!</v>
      </c>
      <c r="H330" s="15" t="e">
        <f t="shared" ca="1" si="31"/>
        <v>#DIV/0!</v>
      </c>
    </row>
    <row r="331" spans="4:8" ht="11.25">
      <c r="D331" s="15">
        <f t="shared" ca="1" si="27"/>
        <v>0</v>
      </c>
      <c r="E331" s="16" t="e">
        <f t="shared" ca="1" si="28"/>
        <v>#DIV/0!</v>
      </c>
      <c r="F331" s="16" t="e">
        <f t="shared" ca="1" si="29"/>
        <v>#DIV/0!</v>
      </c>
      <c r="G331" s="16" t="e">
        <f t="shared" ca="1" si="30"/>
        <v>#DIV/0!</v>
      </c>
      <c r="H331" s="15" t="e">
        <f t="shared" ca="1" si="31"/>
        <v>#DIV/0!</v>
      </c>
    </row>
    <row r="332" spans="4:8" ht="11.25">
      <c r="D332" s="15">
        <f t="shared" ca="1" si="27"/>
        <v>0</v>
      </c>
      <c r="E332" s="16" t="e">
        <f t="shared" ca="1" si="28"/>
        <v>#DIV/0!</v>
      </c>
      <c r="F332" s="16" t="e">
        <f t="shared" ca="1" si="29"/>
        <v>#DIV/0!</v>
      </c>
      <c r="G332" s="16" t="e">
        <f t="shared" ca="1" si="30"/>
        <v>#DIV/0!</v>
      </c>
      <c r="H332" s="15" t="e">
        <f t="shared" ca="1" si="31"/>
        <v>#DIV/0!</v>
      </c>
    </row>
    <row r="333" spans="4:8" ht="11.25">
      <c r="D333" s="15">
        <f t="shared" ca="1" si="27"/>
        <v>0</v>
      </c>
      <c r="E333" s="16" t="e">
        <f t="shared" ca="1" si="28"/>
        <v>#DIV/0!</v>
      </c>
      <c r="F333" s="16" t="e">
        <f t="shared" ca="1" si="29"/>
        <v>#DIV/0!</v>
      </c>
      <c r="G333" s="16" t="e">
        <f t="shared" ca="1" si="30"/>
        <v>#DIV/0!</v>
      </c>
      <c r="H333" s="15" t="e">
        <f t="shared" ca="1" si="31"/>
        <v>#DIV/0!</v>
      </c>
    </row>
    <row r="334" spans="4:8" ht="11.25">
      <c r="D334" s="15">
        <f t="shared" ref="D334:D365" ca="1" si="32">IF(D333&lt;=MAX(x)+(MAX(x)-MIN(x)),D333+(MAX(x)-MIN(x))/100,NA())</f>
        <v>0</v>
      </c>
      <c r="E334" s="16" t="e">
        <f t="shared" ca="1" si="28"/>
        <v>#DIV/0!</v>
      </c>
      <c r="F334" s="16" t="e">
        <f t="shared" ca="1" si="29"/>
        <v>#DIV/0!</v>
      </c>
      <c r="G334" s="16" t="e">
        <f t="shared" ca="1" si="30"/>
        <v>#DIV/0!</v>
      </c>
      <c r="H334" s="15" t="e">
        <f t="shared" ca="1" si="31"/>
        <v>#DIV/0!</v>
      </c>
    </row>
    <row r="335" spans="4:8" ht="11.25">
      <c r="D335" s="15">
        <f t="shared" ca="1" si="32"/>
        <v>0</v>
      </c>
      <c r="E335" s="16" t="e">
        <f t="shared" ca="1" si="28"/>
        <v>#DIV/0!</v>
      </c>
      <c r="F335" s="16" t="e">
        <f t="shared" ca="1" si="29"/>
        <v>#DIV/0!</v>
      </c>
      <c r="G335" s="16" t="e">
        <f t="shared" ca="1" si="30"/>
        <v>#DIV/0!</v>
      </c>
      <c r="H335" s="15" t="e">
        <f t="shared" ca="1" si="31"/>
        <v>#DIV/0!</v>
      </c>
    </row>
    <row r="336" spans="4:8" ht="11.25">
      <c r="D336" s="15">
        <f t="shared" ca="1" si="32"/>
        <v>0</v>
      </c>
      <c r="E336" s="16" t="e">
        <f t="shared" ca="1" si="28"/>
        <v>#DIV/0!</v>
      </c>
      <c r="F336" s="16" t="e">
        <f t="shared" ca="1" si="29"/>
        <v>#DIV/0!</v>
      </c>
      <c r="G336" s="16" t="e">
        <f t="shared" ca="1" si="30"/>
        <v>#DIV/0!</v>
      </c>
      <c r="H336" s="15" t="e">
        <f t="shared" ca="1" si="31"/>
        <v>#DIV/0!</v>
      </c>
    </row>
    <row r="337" spans="4:8" ht="11.25">
      <c r="D337" s="15">
        <f t="shared" ca="1" si="32"/>
        <v>0</v>
      </c>
      <c r="E337" s="16" t="e">
        <f t="shared" ca="1" si="28"/>
        <v>#DIV/0!</v>
      </c>
      <c r="F337" s="16" t="e">
        <f t="shared" ca="1" si="29"/>
        <v>#DIV/0!</v>
      </c>
      <c r="G337" s="16" t="e">
        <f t="shared" ca="1" si="30"/>
        <v>#DIV/0!</v>
      </c>
      <c r="H337" s="15" t="e">
        <f t="shared" ca="1" si="31"/>
        <v>#DIV/0!</v>
      </c>
    </row>
    <row r="338" spans="4:8" ht="11.25">
      <c r="D338" s="15">
        <f t="shared" ca="1" si="32"/>
        <v>0</v>
      </c>
      <c r="E338" s="16" t="e">
        <f t="shared" ca="1" si="28"/>
        <v>#DIV/0!</v>
      </c>
      <c r="F338" s="16" t="e">
        <f t="shared" ca="1" si="29"/>
        <v>#DIV/0!</v>
      </c>
      <c r="G338" s="16" t="e">
        <f t="shared" ca="1" si="30"/>
        <v>#DIV/0!</v>
      </c>
      <c r="H338" s="15" t="e">
        <f t="shared" ca="1" si="31"/>
        <v>#DIV/0!</v>
      </c>
    </row>
    <row r="339" spans="4:8" ht="11.25">
      <c r="D339" s="15">
        <f t="shared" ca="1" si="32"/>
        <v>0</v>
      </c>
      <c r="E339" s="16" t="e">
        <f t="shared" ca="1" si="28"/>
        <v>#DIV/0!</v>
      </c>
      <c r="F339" s="16" t="e">
        <f t="shared" ca="1" si="29"/>
        <v>#DIV/0!</v>
      </c>
      <c r="G339" s="16" t="e">
        <f t="shared" ca="1" si="30"/>
        <v>#DIV/0!</v>
      </c>
      <c r="H339" s="15" t="e">
        <f t="shared" ca="1" si="31"/>
        <v>#DIV/0!</v>
      </c>
    </row>
    <row r="340" spans="4:8" ht="11.25">
      <c r="D340" s="15">
        <f t="shared" ca="1" si="32"/>
        <v>0</v>
      </c>
      <c r="E340" s="16" t="e">
        <f t="shared" ca="1" si="28"/>
        <v>#DIV/0!</v>
      </c>
      <c r="F340" s="16" t="e">
        <f t="shared" ca="1" si="29"/>
        <v>#DIV/0!</v>
      </c>
      <c r="G340" s="16" t="e">
        <f t="shared" ca="1" si="30"/>
        <v>#DIV/0!</v>
      </c>
      <c r="H340" s="15" t="e">
        <f t="shared" ca="1" si="31"/>
        <v>#DIV/0!</v>
      </c>
    </row>
    <row r="341" spans="4:8" ht="11.25">
      <c r="D341" s="15">
        <f t="shared" ca="1" si="32"/>
        <v>0</v>
      </c>
      <c r="E341" s="16" t="e">
        <f t="shared" ca="1" si="28"/>
        <v>#DIV/0!</v>
      </c>
      <c r="F341" s="16" t="e">
        <f t="shared" ca="1" si="29"/>
        <v>#DIV/0!</v>
      </c>
      <c r="G341" s="16" t="e">
        <f t="shared" ca="1" si="30"/>
        <v>#DIV/0!</v>
      </c>
      <c r="H341" s="15" t="e">
        <f t="shared" ca="1" si="31"/>
        <v>#DIV/0!</v>
      </c>
    </row>
    <row r="342" spans="4:8" ht="11.25">
      <c r="D342" s="15">
        <f t="shared" ca="1" si="32"/>
        <v>0</v>
      </c>
      <c r="E342" s="16" t="e">
        <f t="shared" ca="1" si="28"/>
        <v>#DIV/0!</v>
      </c>
      <c r="F342" s="16" t="e">
        <f t="shared" ca="1" si="29"/>
        <v>#DIV/0!</v>
      </c>
      <c r="G342" s="16" t="e">
        <f t="shared" ca="1" si="30"/>
        <v>#DIV/0!</v>
      </c>
      <c r="H342" s="15" t="e">
        <f t="shared" ca="1" si="31"/>
        <v>#DIV/0!</v>
      </c>
    </row>
    <row r="343" spans="4:8" ht="11.25">
      <c r="D343" s="15">
        <f t="shared" ca="1" si="32"/>
        <v>0</v>
      </c>
      <c r="E343" s="16" t="e">
        <f t="shared" ca="1" si="28"/>
        <v>#DIV/0!</v>
      </c>
      <c r="F343" s="16" t="e">
        <f t="shared" ca="1" si="29"/>
        <v>#DIV/0!</v>
      </c>
      <c r="G343" s="16" t="e">
        <f t="shared" ca="1" si="30"/>
        <v>#DIV/0!</v>
      </c>
      <c r="H343" s="15" t="e">
        <f t="shared" ca="1" si="31"/>
        <v>#DIV/0!</v>
      </c>
    </row>
    <row r="344" spans="4:8" ht="11.25">
      <c r="D344" s="15">
        <f t="shared" ca="1" si="32"/>
        <v>0</v>
      </c>
      <c r="E344" s="16" t="e">
        <f t="shared" ca="1" si="28"/>
        <v>#DIV/0!</v>
      </c>
      <c r="F344" s="16" t="e">
        <f t="shared" ca="1" si="29"/>
        <v>#DIV/0!</v>
      </c>
      <c r="G344" s="16" t="e">
        <f t="shared" ca="1" si="30"/>
        <v>#DIV/0!</v>
      </c>
      <c r="H344" s="15" t="e">
        <f t="shared" ca="1" si="31"/>
        <v>#DIV/0!</v>
      </c>
    </row>
    <row r="345" spans="4:8" ht="11.25">
      <c r="D345" s="15">
        <f t="shared" ca="1" si="32"/>
        <v>0</v>
      </c>
      <c r="E345" s="16" t="e">
        <f t="shared" ca="1" si="28"/>
        <v>#DIV/0!</v>
      </c>
      <c r="F345" s="16" t="e">
        <f t="shared" ca="1" si="29"/>
        <v>#DIV/0!</v>
      </c>
      <c r="G345" s="16" t="e">
        <f t="shared" ca="1" si="30"/>
        <v>#DIV/0!</v>
      </c>
      <c r="H345" s="15" t="e">
        <f t="shared" ca="1" si="31"/>
        <v>#DIV/0!</v>
      </c>
    </row>
    <row r="346" spans="4:8" ht="11.25">
      <c r="D346" s="15">
        <f t="shared" ca="1" si="32"/>
        <v>0</v>
      </c>
      <c r="E346" s="16" t="e">
        <f t="shared" ca="1" si="28"/>
        <v>#DIV/0!</v>
      </c>
      <c r="F346" s="16" t="e">
        <f t="shared" ca="1" si="29"/>
        <v>#DIV/0!</v>
      </c>
      <c r="G346" s="16" t="e">
        <f t="shared" ca="1" si="30"/>
        <v>#DIV/0!</v>
      </c>
      <c r="H346" s="15" t="e">
        <f t="shared" ca="1" si="31"/>
        <v>#DIV/0!</v>
      </c>
    </row>
    <row r="347" spans="4:8" ht="11.25">
      <c r="D347" s="15">
        <f t="shared" ca="1" si="32"/>
        <v>0</v>
      </c>
      <c r="E347" s="16" t="e">
        <f t="shared" ca="1" si="28"/>
        <v>#DIV/0!</v>
      </c>
      <c r="F347" s="16" t="e">
        <f t="shared" ca="1" si="29"/>
        <v>#DIV/0!</v>
      </c>
      <c r="G347" s="16" t="e">
        <f t="shared" ca="1" si="30"/>
        <v>#DIV/0!</v>
      </c>
      <c r="H347" s="15" t="e">
        <f t="shared" ca="1" si="31"/>
        <v>#DIV/0!</v>
      </c>
    </row>
    <row r="348" spans="4:8" ht="11.25">
      <c r="D348" s="15">
        <f t="shared" ca="1" si="32"/>
        <v>0</v>
      </c>
      <c r="E348" s="16" t="e">
        <f t="shared" ca="1" si="28"/>
        <v>#DIV/0!</v>
      </c>
      <c r="F348" s="16" t="e">
        <f t="shared" ca="1" si="29"/>
        <v>#DIV/0!</v>
      </c>
      <c r="G348" s="16" t="e">
        <f t="shared" ca="1" si="30"/>
        <v>#DIV/0!</v>
      </c>
      <c r="H348" s="15" t="e">
        <f t="shared" ca="1" si="31"/>
        <v>#DIV/0!</v>
      </c>
    </row>
    <row r="349" spans="4:8" ht="11.25">
      <c r="D349" s="15">
        <f t="shared" ca="1" si="32"/>
        <v>0</v>
      </c>
      <c r="E349" s="16" t="e">
        <f t="shared" ca="1" si="28"/>
        <v>#DIV/0!</v>
      </c>
      <c r="F349" s="16" t="e">
        <f t="shared" ca="1" si="29"/>
        <v>#DIV/0!</v>
      </c>
      <c r="G349" s="16" t="e">
        <f t="shared" ca="1" si="30"/>
        <v>#DIV/0!</v>
      </c>
      <c r="H349" s="15" t="e">
        <f t="shared" ca="1" si="31"/>
        <v>#DIV/0!</v>
      </c>
    </row>
    <row r="350" spans="4:8" ht="11.25">
      <c r="D350" s="15">
        <f t="shared" ca="1" si="32"/>
        <v>0</v>
      </c>
      <c r="E350" s="16" t="e">
        <f t="shared" ca="1" si="28"/>
        <v>#DIV/0!</v>
      </c>
      <c r="F350" s="16" t="e">
        <f t="shared" ca="1" si="29"/>
        <v>#DIV/0!</v>
      </c>
      <c r="G350" s="16" t="e">
        <f t="shared" ca="1" si="30"/>
        <v>#DIV/0!</v>
      </c>
      <c r="H350" s="15" t="e">
        <f t="shared" ca="1" si="31"/>
        <v>#DIV/0!</v>
      </c>
    </row>
    <row r="351" spans="4:8" ht="11.25">
      <c r="D351" s="15">
        <f t="shared" ca="1" si="32"/>
        <v>0</v>
      </c>
      <c r="E351" s="16" t="e">
        <f t="shared" ca="1" si="28"/>
        <v>#DIV/0!</v>
      </c>
      <c r="F351" s="16" t="e">
        <f t="shared" ca="1" si="29"/>
        <v>#DIV/0!</v>
      </c>
      <c r="G351" s="16" t="e">
        <f t="shared" ca="1" si="30"/>
        <v>#DIV/0!</v>
      </c>
      <c r="H351" s="15" t="e">
        <f t="shared" ca="1" si="31"/>
        <v>#DIV/0!</v>
      </c>
    </row>
    <row r="352" spans="4:8" ht="11.25">
      <c r="D352" s="15">
        <f t="shared" ca="1" si="32"/>
        <v>0</v>
      </c>
      <c r="E352" s="16" t="e">
        <f t="shared" ca="1" si="28"/>
        <v>#DIV/0!</v>
      </c>
      <c r="F352" s="16" t="e">
        <f t="shared" ca="1" si="29"/>
        <v>#DIV/0!</v>
      </c>
      <c r="G352" s="16" t="e">
        <f t="shared" ca="1" si="30"/>
        <v>#DIV/0!</v>
      </c>
      <c r="H352" s="15" t="e">
        <f t="shared" ca="1" si="31"/>
        <v>#DIV/0!</v>
      </c>
    </row>
    <row r="353" spans="4:8" ht="11.25">
      <c r="D353" s="15">
        <f t="shared" ca="1" si="32"/>
        <v>0</v>
      </c>
      <c r="E353" s="16" t="e">
        <f t="shared" ca="1" si="28"/>
        <v>#DIV/0!</v>
      </c>
      <c r="F353" s="16" t="e">
        <f t="shared" ca="1" si="29"/>
        <v>#DIV/0!</v>
      </c>
      <c r="G353" s="16" t="e">
        <f t="shared" ca="1" si="30"/>
        <v>#DIV/0!</v>
      </c>
      <c r="H353" s="15" t="e">
        <f t="shared" ca="1" si="31"/>
        <v>#DIV/0!</v>
      </c>
    </row>
    <row r="354" spans="4:8" ht="11.25">
      <c r="D354" s="15">
        <f t="shared" ca="1" si="32"/>
        <v>0</v>
      </c>
      <c r="E354" s="16" t="e">
        <f t="shared" ca="1" si="28"/>
        <v>#DIV/0!</v>
      </c>
      <c r="F354" s="16" t="e">
        <f t="shared" ca="1" si="29"/>
        <v>#DIV/0!</v>
      </c>
      <c r="G354" s="16" t="e">
        <f t="shared" ca="1" si="30"/>
        <v>#DIV/0!</v>
      </c>
      <c r="H354" s="15" t="e">
        <f t="shared" ca="1" si="31"/>
        <v>#DIV/0!</v>
      </c>
    </row>
    <row r="355" spans="4:8" ht="11.25">
      <c r="D355" s="15">
        <f t="shared" ca="1" si="32"/>
        <v>0</v>
      </c>
      <c r="E355" s="16" t="e">
        <f t="shared" ca="1" si="28"/>
        <v>#DIV/0!</v>
      </c>
      <c r="F355" s="16" t="e">
        <f t="shared" ca="1" si="29"/>
        <v>#DIV/0!</v>
      </c>
      <c r="G355" s="16" t="e">
        <f t="shared" ca="1" si="30"/>
        <v>#DIV/0!</v>
      </c>
      <c r="H355" s="15" t="e">
        <f t="shared" ca="1" si="31"/>
        <v>#DIV/0!</v>
      </c>
    </row>
    <row r="356" spans="4:8" ht="11.25">
      <c r="D356" s="15">
        <f t="shared" ca="1" si="32"/>
        <v>0</v>
      </c>
      <c r="E356" s="16" t="e">
        <f t="shared" ca="1" si="28"/>
        <v>#DIV/0!</v>
      </c>
      <c r="F356" s="16" t="e">
        <f t="shared" ca="1" si="29"/>
        <v>#DIV/0!</v>
      </c>
      <c r="G356" s="16" t="e">
        <f t="shared" ca="1" si="30"/>
        <v>#DIV/0!</v>
      </c>
      <c r="H356" s="15" t="e">
        <f t="shared" ca="1" si="31"/>
        <v>#DIV/0!</v>
      </c>
    </row>
    <row r="357" spans="4:8" ht="11.25">
      <c r="D357" s="15">
        <f t="shared" ca="1" si="32"/>
        <v>0</v>
      </c>
      <c r="E357" s="16" t="e">
        <f t="shared" ca="1" si="28"/>
        <v>#DIV/0!</v>
      </c>
      <c r="F357" s="16" t="e">
        <f t="shared" ca="1" si="29"/>
        <v>#DIV/0!</v>
      </c>
      <c r="G357" s="16" t="e">
        <f t="shared" ca="1" si="30"/>
        <v>#DIV/0!</v>
      </c>
      <c r="H357" s="15" t="e">
        <f t="shared" ca="1" si="31"/>
        <v>#DIV/0!</v>
      </c>
    </row>
    <row r="358" spans="4:8" ht="11.25">
      <c r="D358" s="15">
        <f t="shared" ca="1" si="32"/>
        <v>0</v>
      </c>
      <c r="E358" s="16" t="e">
        <f t="shared" ca="1" si="28"/>
        <v>#DIV/0!</v>
      </c>
      <c r="F358" s="16" t="e">
        <f t="shared" ca="1" si="29"/>
        <v>#DIV/0!</v>
      </c>
      <c r="G358" s="16" t="e">
        <f t="shared" ca="1" si="30"/>
        <v>#DIV/0!</v>
      </c>
      <c r="H358" s="15" t="e">
        <f t="shared" ca="1" si="31"/>
        <v>#DIV/0!</v>
      </c>
    </row>
    <row r="359" spans="4:8" ht="11.25">
      <c r="D359" s="15">
        <f t="shared" ca="1" si="32"/>
        <v>0</v>
      </c>
      <c r="E359" s="16" t="e">
        <f t="shared" ca="1" si="28"/>
        <v>#DIV/0!</v>
      </c>
      <c r="F359" s="16" t="e">
        <f t="shared" ca="1" si="29"/>
        <v>#DIV/0!</v>
      </c>
      <c r="G359" s="16" t="e">
        <f t="shared" ca="1" si="30"/>
        <v>#DIV/0!</v>
      </c>
      <c r="H359" s="15" t="e">
        <f t="shared" ca="1" si="31"/>
        <v>#DIV/0!</v>
      </c>
    </row>
    <row r="360" spans="4:8" ht="11.25">
      <c r="D360" s="15">
        <f t="shared" ca="1" si="32"/>
        <v>0</v>
      </c>
      <c r="E360" s="16" t="e">
        <f t="shared" ca="1" si="28"/>
        <v>#DIV/0!</v>
      </c>
      <c r="F360" s="16" t="e">
        <f t="shared" ca="1" si="29"/>
        <v>#DIV/0!</v>
      </c>
      <c r="G360" s="16" t="e">
        <f t="shared" ca="1" si="30"/>
        <v>#DIV/0!</v>
      </c>
      <c r="H360" s="15" t="e">
        <f t="shared" ca="1" si="31"/>
        <v>#DIV/0!</v>
      </c>
    </row>
    <row r="361" spans="4:8" ht="11.25">
      <c r="D361" s="15">
        <f t="shared" ca="1" si="32"/>
        <v>0</v>
      </c>
      <c r="E361" s="16" t="e">
        <f t="shared" ca="1" si="28"/>
        <v>#DIV/0!</v>
      </c>
      <c r="F361" s="16" t="e">
        <f t="shared" ca="1" si="29"/>
        <v>#DIV/0!</v>
      </c>
      <c r="G361" s="16" t="e">
        <f t="shared" ca="1" si="30"/>
        <v>#DIV/0!</v>
      </c>
      <c r="H361" s="15" t="e">
        <f t="shared" ca="1" si="31"/>
        <v>#DIV/0!</v>
      </c>
    </row>
    <row r="362" spans="4:8" ht="11.25">
      <c r="D362" s="15">
        <f t="shared" ca="1" si="32"/>
        <v>0</v>
      </c>
      <c r="E362" s="16" t="e">
        <f t="shared" ca="1" si="28"/>
        <v>#DIV/0!</v>
      </c>
      <c r="F362" s="16" t="e">
        <f t="shared" ca="1" si="29"/>
        <v>#DIV/0!</v>
      </c>
      <c r="G362" s="16" t="e">
        <f t="shared" ca="1" si="30"/>
        <v>#DIV/0!</v>
      </c>
      <c r="H362" s="15" t="e">
        <f t="shared" ca="1" si="31"/>
        <v>#DIV/0!</v>
      </c>
    </row>
    <row r="363" spans="4:8" ht="11.25">
      <c r="D363" s="15">
        <f t="shared" ca="1" si="32"/>
        <v>0</v>
      </c>
      <c r="E363" s="16" t="e">
        <f t="shared" ca="1" si="28"/>
        <v>#DIV/0!</v>
      </c>
      <c r="F363" s="16" t="e">
        <f t="shared" ca="1" si="29"/>
        <v>#DIV/0!</v>
      </c>
      <c r="G363" s="16" t="e">
        <f t="shared" ca="1" si="30"/>
        <v>#DIV/0!</v>
      </c>
      <c r="H363" s="15" t="e">
        <f t="shared" ca="1" si="31"/>
        <v>#DIV/0!</v>
      </c>
    </row>
    <row r="364" spans="4:8" ht="11.25">
      <c r="D364" s="15">
        <f t="shared" ca="1" si="32"/>
        <v>0</v>
      </c>
      <c r="E364" s="16" t="e">
        <f t="shared" ca="1" si="28"/>
        <v>#DIV/0!</v>
      </c>
      <c r="F364" s="16" t="e">
        <f t="shared" ca="1" si="29"/>
        <v>#DIV/0!</v>
      </c>
      <c r="G364" s="16" t="e">
        <f t="shared" ca="1" si="30"/>
        <v>#DIV/0!</v>
      </c>
      <c r="H364" s="15" t="e">
        <f t="shared" ca="1" si="31"/>
        <v>#DIV/0!</v>
      </c>
    </row>
    <row r="365" spans="4:8" ht="11.25">
      <c r="D365" s="15">
        <f t="shared" ca="1" si="32"/>
        <v>0</v>
      </c>
      <c r="E365" s="16" t="e">
        <f t="shared" ca="1" si="28"/>
        <v>#DIV/0!</v>
      </c>
      <c r="F365" s="16" t="e">
        <f t="shared" ca="1" si="29"/>
        <v>#DIV/0!</v>
      </c>
      <c r="G365" s="16" t="e">
        <f t="shared" ca="1" si="30"/>
        <v>#DIV/0!</v>
      </c>
      <c r="H365" s="15" t="e">
        <f t="shared" ca="1" si="31"/>
        <v>#DIV/0!</v>
      </c>
    </row>
    <row r="366" spans="4:8" ht="11.25">
      <c r="D366" s="15">
        <f t="shared" ref="D366:D400" ca="1" si="33">IF(D365&lt;=MAX(x)+(MAX(x)-MIN(x)),D365+(MAX(x)-MIN(x))/100,NA())</f>
        <v>0</v>
      </c>
      <c r="E366" s="16" t="e">
        <f t="shared" ca="1" si="28"/>
        <v>#DIV/0!</v>
      </c>
      <c r="F366" s="16" t="e">
        <f t="shared" ca="1" si="29"/>
        <v>#DIV/0!</v>
      </c>
      <c r="G366" s="16" t="e">
        <f t="shared" ca="1" si="30"/>
        <v>#DIV/0!</v>
      </c>
      <c r="H366" s="15" t="e">
        <f t="shared" ca="1" si="31"/>
        <v>#DIV/0!</v>
      </c>
    </row>
    <row r="367" spans="4:8" ht="11.25">
      <c r="D367" s="15">
        <f t="shared" ca="1" si="33"/>
        <v>0</v>
      </c>
      <c r="E367" s="16" t="e">
        <f t="shared" ca="1" si="28"/>
        <v>#DIV/0!</v>
      </c>
      <c r="F367" s="16" t="e">
        <f t="shared" ca="1" si="29"/>
        <v>#DIV/0!</v>
      </c>
      <c r="G367" s="16" t="e">
        <f t="shared" ca="1" si="30"/>
        <v>#DIV/0!</v>
      </c>
      <c r="H367" s="15" t="e">
        <f t="shared" ca="1" si="31"/>
        <v>#DIV/0!</v>
      </c>
    </row>
    <row r="368" spans="4:8" ht="11.25">
      <c r="D368" s="15">
        <f t="shared" ca="1" si="33"/>
        <v>0</v>
      </c>
      <c r="E368" s="16" t="e">
        <f t="shared" ca="1" si="28"/>
        <v>#DIV/0!</v>
      </c>
      <c r="F368" s="16" t="e">
        <f t="shared" ca="1" si="29"/>
        <v>#DIV/0!</v>
      </c>
      <c r="G368" s="16" t="e">
        <f t="shared" ca="1" si="30"/>
        <v>#DIV/0!</v>
      </c>
      <c r="H368" s="15" t="e">
        <f t="shared" ca="1" si="31"/>
        <v>#DIV/0!</v>
      </c>
    </row>
    <row r="369" spans="4:8" ht="11.25">
      <c r="D369" s="15">
        <f t="shared" ca="1" si="33"/>
        <v>0</v>
      </c>
      <c r="E369" s="16" t="e">
        <f t="shared" ca="1" si="28"/>
        <v>#DIV/0!</v>
      </c>
      <c r="F369" s="16" t="e">
        <f t="shared" ca="1" si="29"/>
        <v>#DIV/0!</v>
      </c>
      <c r="G369" s="16" t="e">
        <f t="shared" ca="1" si="30"/>
        <v>#DIV/0!</v>
      </c>
      <c r="H369" s="15" t="e">
        <f t="shared" ca="1" si="31"/>
        <v>#DIV/0!</v>
      </c>
    </row>
    <row r="370" spans="4:8" ht="11.25">
      <c r="D370" s="15">
        <f t="shared" ca="1" si="33"/>
        <v>0</v>
      </c>
      <c r="E370" s="16" t="e">
        <f t="shared" ca="1" si="28"/>
        <v>#DIV/0!</v>
      </c>
      <c r="F370" s="16" t="e">
        <f t="shared" ca="1" si="29"/>
        <v>#DIV/0!</v>
      </c>
      <c r="G370" s="16" t="e">
        <f t="shared" ca="1" si="30"/>
        <v>#DIV/0!</v>
      </c>
      <c r="H370" s="15" t="e">
        <f t="shared" ca="1" si="31"/>
        <v>#DIV/0!</v>
      </c>
    </row>
    <row r="371" spans="4:8" ht="11.25">
      <c r="D371" s="15">
        <f t="shared" ca="1" si="33"/>
        <v>0</v>
      </c>
      <c r="E371" s="16" t="e">
        <f t="shared" ca="1" si="28"/>
        <v>#DIV/0!</v>
      </c>
      <c r="F371" s="16" t="e">
        <f t="shared" ca="1" si="29"/>
        <v>#DIV/0!</v>
      </c>
      <c r="G371" s="16" t="e">
        <f t="shared" ca="1" si="30"/>
        <v>#DIV/0!</v>
      </c>
      <c r="H371" s="15" t="e">
        <f t="shared" ca="1" si="31"/>
        <v>#DIV/0!</v>
      </c>
    </row>
    <row r="372" spans="4:8" ht="11.25">
      <c r="D372" s="15">
        <f t="shared" ca="1" si="33"/>
        <v>0</v>
      </c>
      <c r="E372" s="16" t="e">
        <f t="shared" ca="1" si="28"/>
        <v>#DIV/0!</v>
      </c>
      <c r="F372" s="16" t="e">
        <f t="shared" ca="1" si="29"/>
        <v>#DIV/0!</v>
      </c>
      <c r="G372" s="16" t="e">
        <f t="shared" ca="1" si="30"/>
        <v>#DIV/0!</v>
      </c>
      <c r="H372" s="15" t="e">
        <f t="shared" ca="1" si="31"/>
        <v>#DIV/0!</v>
      </c>
    </row>
    <row r="373" spans="4:8" ht="11.25">
      <c r="D373" s="15">
        <f t="shared" ca="1" si="33"/>
        <v>0</v>
      </c>
      <c r="E373" s="16" t="e">
        <f t="shared" ca="1" si="28"/>
        <v>#DIV/0!</v>
      </c>
      <c r="F373" s="16" t="e">
        <f t="shared" ca="1" si="29"/>
        <v>#DIV/0!</v>
      </c>
      <c r="G373" s="16" t="e">
        <f t="shared" ca="1" si="30"/>
        <v>#DIV/0!</v>
      </c>
      <c r="H373" s="15" t="e">
        <f t="shared" ca="1" si="31"/>
        <v>#DIV/0!</v>
      </c>
    </row>
    <row r="374" spans="4:8" ht="11.25">
      <c r="D374" s="15">
        <f t="shared" ca="1" si="33"/>
        <v>0</v>
      </c>
      <c r="E374" s="16" t="e">
        <f t="shared" ca="1" si="28"/>
        <v>#DIV/0!</v>
      </c>
      <c r="F374" s="16" t="e">
        <f t="shared" ca="1" si="29"/>
        <v>#DIV/0!</v>
      </c>
      <c r="G374" s="16" t="e">
        <f t="shared" ca="1" si="30"/>
        <v>#DIV/0!</v>
      </c>
      <c r="H374" s="15" t="e">
        <f t="shared" ca="1" si="31"/>
        <v>#DIV/0!</v>
      </c>
    </row>
    <row r="375" spans="4:8" ht="11.25">
      <c r="D375" s="15">
        <f t="shared" ca="1" si="33"/>
        <v>0</v>
      </c>
      <c r="E375" s="16" t="e">
        <f t="shared" ca="1" si="28"/>
        <v>#DIV/0!</v>
      </c>
      <c r="F375" s="16" t="e">
        <f t="shared" ca="1" si="29"/>
        <v>#DIV/0!</v>
      </c>
      <c r="G375" s="16" t="e">
        <f t="shared" ca="1" si="30"/>
        <v>#DIV/0!</v>
      </c>
      <c r="H375" s="15" t="e">
        <f t="shared" ca="1" si="31"/>
        <v>#DIV/0!</v>
      </c>
    </row>
    <row r="376" spans="4:8" ht="11.25">
      <c r="D376" s="15">
        <f t="shared" ca="1" si="33"/>
        <v>0</v>
      </c>
      <c r="E376" s="16" t="e">
        <f t="shared" ca="1" si="28"/>
        <v>#DIV/0!</v>
      </c>
      <c r="F376" s="16" t="e">
        <f t="shared" ca="1" si="29"/>
        <v>#DIV/0!</v>
      </c>
      <c r="G376" s="16" t="e">
        <f t="shared" ca="1" si="30"/>
        <v>#DIV/0!</v>
      </c>
      <c r="H376" s="15" t="e">
        <f t="shared" ca="1" si="31"/>
        <v>#DIV/0!</v>
      </c>
    </row>
    <row r="377" spans="4:8" ht="11.25">
      <c r="D377" s="15">
        <f t="shared" ca="1" si="33"/>
        <v>0</v>
      </c>
      <c r="E377" s="16" t="e">
        <f t="shared" ca="1" si="28"/>
        <v>#DIV/0!</v>
      </c>
      <c r="F377" s="16" t="e">
        <f t="shared" ca="1" si="29"/>
        <v>#DIV/0!</v>
      </c>
      <c r="G377" s="16" t="e">
        <f t="shared" ca="1" si="30"/>
        <v>#DIV/0!</v>
      </c>
      <c r="H377" s="15" t="e">
        <f t="shared" ca="1" si="31"/>
        <v>#DIV/0!</v>
      </c>
    </row>
    <row r="378" spans="4:8" ht="11.25">
      <c r="D378" s="15">
        <f t="shared" ca="1" si="33"/>
        <v>0</v>
      </c>
      <c r="E378" s="16" t="e">
        <f t="shared" ca="1" si="28"/>
        <v>#DIV/0!</v>
      </c>
      <c r="F378" s="16" t="e">
        <f t="shared" ca="1" si="29"/>
        <v>#DIV/0!</v>
      </c>
      <c r="G378" s="16" t="e">
        <f t="shared" ca="1" si="30"/>
        <v>#DIV/0!</v>
      </c>
      <c r="H378" s="15" t="e">
        <f t="shared" ca="1" si="31"/>
        <v>#DIV/0!</v>
      </c>
    </row>
    <row r="379" spans="4:8" ht="11.25">
      <c r="D379" s="15">
        <f t="shared" ca="1" si="33"/>
        <v>0</v>
      </c>
      <c r="E379" s="16" t="e">
        <f t="shared" ca="1" si="28"/>
        <v>#DIV/0!</v>
      </c>
      <c r="F379" s="16" t="e">
        <f t="shared" ca="1" si="29"/>
        <v>#DIV/0!</v>
      </c>
      <c r="G379" s="16" t="e">
        <f t="shared" ca="1" si="30"/>
        <v>#DIV/0!</v>
      </c>
      <c r="H379" s="15" t="e">
        <f t="shared" ca="1" si="31"/>
        <v>#DIV/0!</v>
      </c>
    </row>
    <row r="380" spans="4:8" ht="11.25">
      <c r="D380" s="15">
        <f t="shared" ca="1" si="33"/>
        <v>0</v>
      </c>
      <c r="E380" s="16" t="e">
        <f t="shared" ca="1" si="28"/>
        <v>#DIV/0!</v>
      </c>
      <c r="F380" s="16" t="e">
        <f t="shared" ca="1" si="29"/>
        <v>#DIV/0!</v>
      </c>
      <c r="G380" s="16" t="e">
        <f t="shared" ca="1" si="30"/>
        <v>#DIV/0!</v>
      </c>
      <c r="H380" s="15" t="e">
        <f t="shared" ca="1" si="31"/>
        <v>#DIV/0!</v>
      </c>
    </row>
    <row r="381" spans="4:8" ht="11.25">
      <c r="D381" s="15">
        <f t="shared" ca="1" si="33"/>
        <v>0</v>
      </c>
      <c r="E381" s="16" t="e">
        <f t="shared" ca="1" si="28"/>
        <v>#DIV/0!</v>
      </c>
      <c r="F381" s="16" t="e">
        <f t="shared" ca="1" si="29"/>
        <v>#DIV/0!</v>
      </c>
      <c r="G381" s="16" t="e">
        <f t="shared" ca="1" si="30"/>
        <v>#DIV/0!</v>
      </c>
      <c r="H381" s="15" t="e">
        <f t="shared" ca="1" si="31"/>
        <v>#DIV/0!</v>
      </c>
    </row>
    <row r="382" spans="4:8" ht="11.25">
      <c r="D382" s="15">
        <f t="shared" ca="1" si="33"/>
        <v>0</v>
      </c>
      <c r="E382" s="16" t="e">
        <f t="shared" ca="1" si="28"/>
        <v>#DIV/0!</v>
      </c>
      <c r="F382" s="16" t="e">
        <f t="shared" ca="1" si="29"/>
        <v>#DIV/0!</v>
      </c>
      <c r="G382" s="16" t="e">
        <f t="shared" ca="1" si="30"/>
        <v>#DIV/0!</v>
      </c>
      <c r="H382" s="15" t="e">
        <f t="shared" ca="1" si="31"/>
        <v>#DIV/0!</v>
      </c>
    </row>
    <row r="383" spans="4:8" ht="11.25">
      <c r="D383" s="15">
        <f t="shared" ca="1" si="33"/>
        <v>0</v>
      </c>
      <c r="E383" s="16" t="e">
        <f t="shared" ca="1" si="28"/>
        <v>#DIV/0!</v>
      </c>
      <c r="F383" s="16" t="e">
        <f t="shared" ca="1" si="29"/>
        <v>#DIV/0!</v>
      </c>
      <c r="G383" s="16" t="e">
        <f t="shared" ca="1" si="30"/>
        <v>#DIV/0!</v>
      </c>
      <c r="H383" s="15" t="e">
        <f t="shared" ca="1" si="31"/>
        <v>#DIV/0!</v>
      </c>
    </row>
    <row r="384" spans="4:8" ht="11.25">
      <c r="D384" s="15">
        <f t="shared" ca="1" si="33"/>
        <v>0</v>
      </c>
      <c r="E384" s="16" t="e">
        <f t="shared" ca="1" si="28"/>
        <v>#DIV/0!</v>
      </c>
      <c r="F384" s="16" t="e">
        <f t="shared" ca="1" si="29"/>
        <v>#DIV/0!</v>
      </c>
      <c r="G384" s="16" t="e">
        <f t="shared" ca="1" si="30"/>
        <v>#DIV/0!</v>
      </c>
      <c r="H384" s="15" t="e">
        <f t="shared" ca="1" si="31"/>
        <v>#DIV/0!</v>
      </c>
    </row>
    <row r="385" spans="4:8" ht="11.25">
      <c r="D385" s="15">
        <f t="shared" ca="1" si="33"/>
        <v>0</v>
      </c>
      <c r="E385" s="16" t="e">
        <f t="shared" ca="1" si="28"/>
        <v>#DIV/0!</v>
      </c>
      <c r="F385" s="16" t="e">
        <f t="shared" ca="1" si="29"/>
        <v>#DIV/0!</v>
      </c>
      <c r="G385" s="16" t="e">
        <f t="shared" ca="1" si="30"/>
        <v>#DIV/0!</v>
      </c>
      <c r="H385" s="15" t="e">
        <f t="shared" ca="1" si="31"/>
        <v>#DIV/0!</v>
      </c>
    </row>
    <row r="386" spans="4:8" ht="11.25">
      <c r="D386" s="15">
        <f t="shared" ca="1" si="33"/>
        <v>0</v>
      </c>
      <c r="E386" s="16" t="e">
        <f t="shared" ref="E386:E400" ca="1" si="34">IF(ISNA(D386),NA(),a*t^2+b*t+g)</f>
        <v>#DIV/0!</v>
      </c>
      <c r="F386" s="16" t="e">
        <f t="shared" ref="F386:F400" ca="1" si="35">IF(ISNA(D386),NA(),u*(t-mx)^2+v*(t-mx)+w+my)</f>
        <v>#DIV/0!</v>
      </c>
      <c r="G386" s="16" t="e">
        <f t="shared" ref="G386:G400" ca="1" si="36">IF(ISNA(D386),500,MIN(F385,G385))</f>
        <v>#DIV/0!</v>
      </c>
      <c r="H386" s="15" t="e">
        <f t="shared" ref="H386:H400" ca="1" si="37">IF(ISNA(D386),H385,IF(E386&lt;G385,D386,H385))</f>
        <v>#DIV/0!</v>
      </c>
    </row>
    <row r="387" spans="4:8" ht="11.25">
      <c r="D387" s="15">
        <f t="shared" ca="1" si="33"/>
        <v>0</v>
      </c>
      <c r="E387" s="16" t="e">
        <f t="shared" ca="1" si="34"/>
        <v>#DIV/0!</v>
      </c>
      <c r="F387" s="16" t="e">
        <f t="shared" ca="1" si="35"/>
        <v>#DIV/0!</v>
      </c>
      <c r="G387" s="16" t="e">
        <f t="shared" ca="1" si="36"/>
        <v>#DIV/0!</v>
      </c>
      <c r="H387" s="15" t="e">
        <f t="shared" ca="1" si="37"/>
        <v>#DIV/0!</v>
      </c>
    </row>
    <row r="388" spans="4:8" ht="11.25">
      <c r="D388" s="15">
        <f t="shared" ca="1" si="33"/>
        <v>0</v>
      </c>
      <c r="E388" s="16" t="e">
        <f t="shared" ca="1" si="34"/>
        <v>#DIV/0!</v>
      </c>
      <c r="F388" s="16" t="e">
        <f t="shared" ca="1" si="35"/>
        <v>#DIV/0!</v>
      </c>
      <c r="G388" s="16" t="e">
        <f t="shared" ca="1" si="36"/>
        <v>#DIV/0!</v>
      </c>
      <c r="H388" s="15" t="e">
        <f t="shared" ca="1" si="37"/>
        <v>#DIV/0!</v>
      </c>
    </row>
    <row r="389" spans="4:8" ht="11.25">
      <c r="D389" s="15">
        <f t="shared" ca="1" si="33"/>
        <v>0</v>
      </c>
      <c r="E389" s="16" t="e">
        <f t="shared" ca="1" si="34"/>
        <v>#DIV/0!</v>
      </c>
      <c r="F389" s="16" t="e">
        <f t="shared" ca="1" si="35"/>
        <v>#DIV/0!</v>
      </c>
      <c r="G389" s="16" t="e">
        <f t="shared" ca="1" si="36"/>
        <v>#DIV/0!</v>
      </c>
      <c r="H389" s="15" t="e">
        <f t="shared" ca="1" si="37"/>
        <v>#DIV/0!</v>
      </c>
    </row>
    <row r="390" spans="4:8" ht="11.25">
      <c r="D390" s="15">
        <f t="shared" ca="1" si="33"/>
        <v>0</v>
      </c>
      <c r="E390" s="16" t="e">
        <f t="shared" ca="1" si="34"/>
        <v>#DIV/0!</v>
      </c>
      <c r="F390" s="16" t="e">
        <f t="shared" ca="1" si="35"/>
        <v>#DIV/0!</v>
      </c>
      <c r="G390" s="16" t="e">
        <f t="shared" ca="1" si="36"/>
        <v>#DIV/0!</v>
      </c>
      <c r="H390" s="15" t="e">
        <f t="shared" ca="1" si="37"/>
        <v>#DIV/0!</v>
      </c>
    </row>
    <row r="391" spans="4:8" ht="11.25">
      <c r="D391" s="15">
        <f t="shared" ca="1" si="33"/>
        <v>0</v>
      </c>
      <c r="E391" s="16" t="e">
        <f t="shared" ca="1" si="34"/>
        <v>#DIV/0!</v>
      </c>
      <c r="F391" s="16" t="e">
        <f t="shared" ca="1" si="35"/>
        <v>#DIV/0!</v>
      </c>
      <c r="G391" s="16" t="e">
        <f t="shared" ca="1" si="36"/>
        <v>#DIV/0!</v>
      </c>
      <c r="H391" s="15" t="e">
        <f t="shared" ca="1" si="37"/>
        <v>#DIV/0!</v>
      </c>
    </row>
    <row r="392" spans="4:8" ht="11.25">
      <c r="D392" s="15">
        <f t="shared" ca="1" si="33"/>
        <v>0</v>
      </c>
      <c r="E392" s="16" t="e">
        <f t="shared" ca="1" si="34"/>
        <v>#DIV/0!</v>
      </c>
      <c r="F392" s="16" t="e">
        <f t="shared" ca="1" si="35"/>
        <v>#DIV/0!</v>
      </c>
      <c r="G392" s="16" t="e">
        <f t="shared" ca="1" si="36"/>
        <v>#DIV/0!</v>
      </c>
      <c r="H392" s="15" t="e">
        <f t="shared" ca="1" si="37"/>
        <v>#DIV/0!</v>
      </c>
    </row>
    <row r="393" spans="4:8" ht="11.25">
      <c r="D393" s="15">
        <f t="shared" ca="1" si="33"/>
        <v>0</v>
      </c>
      <c r="E393" s="16" t="e">
        <f t="shared" ca="1" si="34"/>
        <v>#DIV/0!</v>
      </c>
      <c r="F393" s="16" t="e">
        <f t="shared" ca="1" si="35"/>
        <v>#DIV/0!</v>
      </c>
      <c r="G393" s="16" t="e">
        <f t="shared" ca="1" si="36"/>
        <v>#DIV/0!</v>
      </c>
      <c r="H393" s="15" t="e">
        <f t="shared" ca="1" si="37"/>
        <v>#DIV/0!</v>
      </c>
    </row>
    <row r="394" spans="4:8" ht="11.25">
      <c r="D394" s="15">
        <f t="shared" ca="1" si="33"/>
        <v>0</v>
      </c>
      <c r="E394" s="16" t="e">
        <f t="shared" ca="1" si="34"/>
        <v>#DIV/0!</v>
      </c>
      <c r="F394" s="16" t="e">
        <f t="shared" ca="1" si="35"/>
        <v>#DIV/0!</v>
      </c>
      <c r="G394" s="16" t="e">
        <f t="shared" ca="1" si="36"/>
        <v>#DIV/0!</v>
      </c>
      <c r="H394" s="15" t="e">
        <f t="shared" ca="1" si="37"/>
        <v>#DIV/0!</v>
      </c>
    </row>
    <row r="395" spans="4:8" ht="11.25">
      <c r="D395" s="15">
        <f t="shared" ca="1" si="33"/>
        <v>0</v>
      </c>
      <c r="E395" s="16" t="e">
        <f t="shared" ca="1" si="34"/>
        <v>#DIV/0!</v>
      </c>
      <c r="F395" s="16" t="e">
        <f t="shared" ca="1" si="35"/>
        <v>#DIV/0!</v>
      </c>
      <c r="G395" s="16" t="e">
        <f t="shared" ca="1" si="36"/>
        <v>#DIV/0!</v>
      </c>
      <c r="H395" s="15" t="e">
        <f t="shared" ca="1" si="37"/>
        <v>#DIV/0!</v>
      </c>
    </row>
    <row r="396" spans="4:8" ht="11.25">
      <c r="D396" s="15">
        <f t="shared" ca="1" si="33"/>
        <v>0</v>
      </c>
      <c r="E396" s="16" t="e">
        <f t="shared" ca="1" si="34"/>
        <v>#DIV/0!</v>
      </c>
      <c r="F396" s="16" t="e">
        <f t="shared" ca="1" si="35"/>
        <v>#DIV/0!</v>
      </c>
      <c r="G396" s="16" t="e">
        <f t="shared" ca="1" si="36"/>
        <v>#DIV/0!</v>
      </c>
      <c r="H396" s="15" t="e">
        <f t="shared" ca="1" si="37"/>
        <v>#DIV/0!</v>
      </c>
    </row>
    <row r="397" spans="4:8" ht="11.25">
      <c r="D397" s="15">
        <f t="shared" ca="1" si="33"/>
        <v>0</v>
      </c>
      <c r="E397" s="16" t="e">
        <f t="shared" ca="1" si="34"/>
        <v>#DIV/0!</v>
      </c>
      <c r="F397" s="16" t="e">
        <f t="shared" ca="1" si="35"/>
        <v>#DIV/0!</v>
      </c>
      <c r="G397" s="16" t="e">
        <f t="shared" ca="1" si="36"/>
        <v>#DIV/0!</v>
      </c>
      <c r="H397" s="15" t="e">
        <f t="shared" ca="1" si="37"/>
        <v>#DIV/0!</v>
      </c>
    </row>
    <row r="398" spans="4:8" ht="11.25">
      <c r="D398" s="15">
        <f t="shared" ca="1" si="33"/>
        <v>0</v>
      </c>
      <c r="E398" s="16" t="e">
        <f t="shared" ca="1" si="34"/>
        <v>#DIV/0!</v>
      </c>
      <c r="F398" s="16" t="e">
        <f t="shared" ca="1" si="35"/>
        <v>#DIV/0!</v>
      </c>
      <c r="G398" s="16" t="e">
        <f t="shared" ca="1" si="36"/>
        <v>#DIV/0!</v>
      </c>
      <c r="H398" s="15" t="e">
        <f t="shared" ca="1" si="37"/>
        <v>#DIV/0!</v>
      </c>
    </row>
    <row r="399" spans="4:8" ht="11.25">
      <c r="D399" s="15">
        <f t="shared" ca="1" si="33"/>
        <v>0</v>
      </c>
      <c r="E399" s="16" t="e">
        <f t="shared" ca="1" si="34"/>
        <v>#DIV/0!</v>
      </c>
      <c r="F399" s="16" t="e">
        <f t="shared" ca="1" si="35"/>
        <v>#DIV/0!</v>
      </c>
      <c r="G399" s="16" t="e">
        <f t="shared" ca="1" si="36"/>
        <v>#DIV/0!</v>
      </c>
      <c r="H399" s="15" t="e">
        <f t="shared" ca="1" si="37"/>
        <v>#DIV/0!</v>
      </c>
    </row>
    <row r="400" spans="4:8" ht="11.25">
      <c r="D400" s="15">
        <f t="shared" ca="1" si="33"/>
        <v>0</v>
      </c>
      <c r="E400" s="16" t="e">
        <f t="shared" ca="1" si="34"/>
        <v>#DIV/0!</v>
      </c>
      <c r="F400" s="16" t="e">
        <f t="shared" ca="1" si="35"/>
        <v>#DIV/0!</v>
      </c>
      <c r="G400" s="16" t="e">
        <f t="shared" ca="1" si="36"/>
        <v>#DIV/0!</v>
      </c>
      <c r="H400" s="15" t="e">
        <f t="shared" ca="1" si="37"/>
        <v>#DIV/0!</v>
      </c>
    </row>
  </sheetData>
  <mergeCells count="6">
    <mergeCell ref="M12:O12"/>
    <mergeCell ref="N13:O13"/>
    <mergeCell ref="N8:O8"/>
    <mergeCell ref="N9:O9"/>
    <mergeCell ref="N10:O10"/>
    <mergeCell ref="N11:O11"/>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Feuil8"/>
  <dimension ref="A1:Z60"/>
  <sheetViews>
    <sheetView showGridLines="0" showRowColHeaders="0" workbookViewId="0">
      <selection activeCell="E5" sqref="E5"/>
    </sheetView>
  </sheetViews>
  <sheetFormatPr baseColWidth="10" defaultColWidth="0" defaultRowHeight="15"/>
  <cols>
    <col min="1" max="1" width="6.28515625" customWidth="1"/>
    <col min="2" max="2" width="11.42578125" customWidth="1"/>
    <col min="3" max="3" width="6.28515625" customWidth="1"/>
    <col min="4" max="4" width="7" bestFit="1" customWidth="1"/>
    <col min="5" max="6" width="11.140625" customWidth="1"/>
    <col min="7" max="7" width="17.7109375" customWidth="1"/>
    <col min="8" max="8" width="11.140625" customWidth="1"/>
    <col min="9" max="9" width="17.7109375" customWidth="1"/>
    <col min="10" max="10" width="11.140625" customWidth="1"/>
    <col min="11" max="11" width="17.7109375" customWidth="1"/>
    <col min="12" max="12" width="11.140625" customWidth="1"/>
    <col min="13" max="13" width="17.7109375" customWidth="1"/>
    <col min="14" max="14" width="11.140625" customWidth="1"/>
    <col min="15" max="15" width="17.7109375" customWidth="1"/>
    <col min="16" max="16" width="6.28515625" customWidth="1"/>
    <col min="17" max="17" width="11.42578125" customWidth="1"/>
    <col min="18" max="18" width="82.42578125" bestFit="1" customWidth="1"/>
    <col min="19" max="20" width="11.42578125" customWidth="1"/>
    <col min="21" max="21" width="76.140625" bestFit="1" customWidth="1"/>
    <col min="22" max="26" width="11.42578125" customWidth="1"/>
    <col min="27" max="16384" width="11.42578125" hidden="1"/>
  </cols>
  <sheetData>
    <row r="1" spans="2:16" ht="15" customHeight="1" thickBot="1">
      <c r="J1" s="171"/>
    </row>
    <row r="2" spans="2:16" ht="32.25" thickBot="1">
      <c r="B2" s="306"/>
      <c r="D2" s="808" t="s">
        <v>343</v>
      </c>
      <c r="E2" s="809"/>
      <c r="F2" s="809"/>
      <c r="G2" s="809"/>
      <c r="H2" s="809"/>
      <c r="I2" s="809"/>
      <c r="J2" s="809"/>
      <c r="K2" s="809"/>
      <c r="L2" s="809"/>
      <c r="M2" s="809"/>
      <c r="N2" s="809"/>
      <c r="O2" s="810"/>
    </row>
    <row r="3" spans="2:16" ht="9.9499999999999993" customHeight="1" thickBot="1">
      <c r="D3" s="825" t="s">
        <v>515</v>
      </c>
      <c r="E3" s="825"/>
      <c r="F3" s="825"/>
      <c r="G3" s="825"/>
      <c r="H3" s="825"/>
      <c r="I3" s="825"/>
      <c r="J3" s="825"/>
      <c r="K3" s="825"/>
      <c r="L3" s="825"/>
      <c r="M3" s="825"/>
      <c r="N3" s="825"/>
      <c r="O3" s="825"/>
    </row>
    <row r="4" spans="2:16" ht="35.1" customHeight="1" thickBot="1">
      <c r="B4" s="307" t="s">
        <v>71</v>
      </c>
      <c r="D4" s="308" t="s">
        <v>344</v>
      </c>
      <c r="E4" s="309" t="s">
        <v>339</v>
      </c>
      <c r="F4" s="310" t="s">
        <v>340</v>
      </c>
      <c r="G4" s="311" t="s">
        <v>345</v>
      </c>
      <c r="H4" s="312" t="s">
        <v>15</v>
      </c>
      <c r="I4" s="311" t="s">
        <v>345</v>
      </c>
      <c r="J4" s="312" t="s">
        <v>14</v>
      </c>
      <c r="K4" s="313" t="s">
        <v>345</v>
      </c>
      <c r="L4" s="312" t="s">
        <v>346</v>
      </c>
      <c r="M4" s="313" t="s">
        <v>345</v>
      </c>
      <c r="N4" s="309" t="s">
        <v>10</v>
      </c>
      <c r="O4" s="313" t="s">
        <v>345</v>
      </c>
    </row>
    <row r="5" spans="2:16" ht="35.1" customHeight="1" thickBot="1">
      <c r="B5" s="314" t="s">
        <v>58</v>
      </c>
      <c r="D5" s="315" t="s">
        <v>347</v>
      </c>
      <c r="E5" s="316"/>
      <c r="F5" s="317"/>
      <c r="G5" s="318"/>
      <c r="H5" s="316"/>
      <c r="I5" s="318"/>
      <c r="J5" s="316"/>
      <c r="K5" s="318"/>
      <c r="L5" s="316"/>
      <c r="M5" s="318"/>
      <c r="N5" s="316"/>
      <c r="O5" s="318"/>
      <c r="P5" s="319" t="s">
        <v>348</v>
      </c>
    </row>
    <row r="6" spans="2:16" ht="35.1" customHeight="1" thickBot="1">
      <c r="B6" s="431">
        <f>Module!B6</f>
        <v>62</v>
      </c>
      <c r="D6" s="320" t="s">
        <v>349</v>
      </c>
      <c r="E6" s="321" t="str">
        <f t="shared" ref="E6:E12" si="0">IF(G5="","",SUM(E5,E21))</f>
        <v/>
      </c>
      <c r="F6" s="322" t="str">
        <f t="shared" ref="F6:F12" si="1">IF(G5="","",SUM(F5,F21))</f>
        <v/>
      </c>
      <c r="G6" s="323"/>
      <c r="H6" s="321" t="str">
        <f t="shared" ref="H6:H12" si="2">IF(I5="","",SUM(H5,H21))</f>
        <v/>
      </c>
      <c r="I6" s="323"/>
      <c r="J6" s="321" t="str">
        <f t="shared" ref="J6:J12" si="3">IF(K5="","",SUM(J5,J21))</f>
        <v/>
      </c>
      <c r="K6" s="323"/>
      <c r="L6" s="321" t="str">
        <f t="shared" ref="L6:L12" si="4">IF(M5="","",SUM(L5,L21))</f>
        <v/>
      </c>
      <c r="M6" s="323"/>
      <c r="N6" s="321" t="str">
        <f t="shared" ref="N6:N12" si="5">IF(O5="","",SUM(N5,N21))</f>
        <v/>
      </c>
      <c r="O6" s="323"/>
      <c r="P6" s="324" t="s">
        <v>348</v>
      </c>
    </row>
    <row r="7" spans="2:16" ht="35.1" customHeight="1" thickBot="1">
      <c r="B7" s="392" t="s">
        <v>350</v>
      </c>
      <c r="D7" s="325" t="s">
        <v>351</v>
      </c>
      <c r="E7" s="326" t="str">
        <f t="shared" si="0"/>
        <v/>
      </c>
      <c r="F7" s="327" t="str">
        <f t="shared" si="1"/>
        <v/>
      </c>
      <c r="G7" s="323"/>
      <c r="H7" s="326" t="str">
        <f t="shared" si="2"/>
        <v/>
      </c>
      <c r="I7" s="323"/>
      <c r="J7" s="326" t="str">
        <f t="shared" si="3"/>
        <v/>
      </c>
      <c r="K7" s="323"/>
      <c r="L7" s="326" t="str">
        <f t="shared" si="4"/>
        <v/>
      </c>
      <c r="M7" s="323"/>
      <c r="N7" s="326" t="str">
        <f t="shared" si="5"/>
        <v/>
      </c>
      <c r="O7" s="323"/>
      <c r="P7" s="324" t="s">
        <v>348</v>
      </c>
    </row>
    <row r="8" spans="2:16" ht="35.1" customHeight="1" thickBot="1">
      <c r="B8" s="432">
        <f>Module!B7</f>
        <v>167</v>
      </c>
      <c r="D8" s="320" t="s">
        <v>352</v>
      </c>
      <c r="E8" s="321" t="str">
        <f t="shared" si="0"/>
        <v/>
      </c>
      <c r="F8" s="322" t="str">
        <f t="shared" si="1"/>
        <v/>
      </c>
      <c r="G8" s="323"/>
      <c r="H8" s="321" t="str">
        <f t="shared" si="2"/>
        <v/>
      </c>
      <c r="I8" s="323"/>
      <c r="J8" s="321" t="str">
        <f t="shared" si="3"/>
        <v/>
      </c>
      <c r="K8" s="323"/>
      <c r="L8" s="321" t="str">
        <f t="shared" si="4"/>
        <v/>
      </c>
      <c r="M8" s="323"/>
      <c r="N8" s="321" t="str">
        <f t="shared" si="5"/>
        <v/>
      </c>
      <c r="O8" s="323"/>
      <c r="P8" s="324" t="s">
        <v>348</v>
      </c>
    </row>
    <row r="9" spans="2:16" ht="35.1" customHeight="1">
      <c r="B9" s="811" t="s">
        <v>480</v>
      </c>
      <c r="D9" s="325" t="s">
        <v>353</v>
      </c>
      <c r="E9" s="326" t="str">
        <f t="shared" si="0"/>
        <v/>
      </c>
      <c r="F9" s="327" t="str">
        <f t="shared" si="1"/>
        <v/>
      </c>
      <c r="G9" s="323"/>
      <c r="H9" s="326" t="str">
        <f t="shared" si="2"/>
        <v/>
      </c>
      <c r="I9" s="323"/>
      <c r="J9" s="326" t="str">
        <f t="shared" si="3"/>
        <v/>
      </c>
      <c r="K9" s="323"/>
      <c r="L9" s="326" t="str">
        <f t="shared" si="4"/>
        <v/>
      </c>
      <c r="M9" s="323"/>
      <c r="N9" s="326" t="str">
        <f t="shared" si="5"/>
        <v/>
      </c>
      <c r="O9" s="323"/>
      <c r="P9" s="324" t="s">
        <v>348</v>
      </c>
    </row>
    <row r="10" spans="2:16" ht="35.1" customHeight="1" thickBot="1">
      <c r="B10" s="812"/>
      <c r="D10" s="320" t="s">
        <v>354</v>
      </c>
      <c r="E10" s="321" t="str">
        <f t="shared" si="0"/>
        <v/>
      </c>
      <c r="F10" s="322" t="str">
        <f t="shared" si="1"/>
        <v/>
      </c>
      <c r="G10" s="323"/>
      <c r="H10" s="321" t="str">
        <f t="shared" si="2"/>
        <v/>
      </c>
      <c r="I10" s="323"/>
      <c r="J10" s="321" t="str">
        <f t="shared" si="3"/>
        <v/>
      </c>
      <c r="K10" s="323"/>
      <c r="L10" s="321" t="str">
        <f t="shared" si="4"/>
        <v/>
      </c>
      <c r="M10" s="323"/>
      <c r="N10" s="321" t="str">
        <f t="shared" si="5"/>
        <v/>
      </c>
      <c r="O10" s="323"/>
      <c r="P10" s="324" t="s">
        <v>348</v>
      </c>
    </row>
    <row r="11" spans="2:16" ht="35.1" customHeight="1" thickBot="1">
      <c r="B11" s="328" t="s">
        <v>46</v>
      </c>
      <c r="D11" s="325" t="s">
        <v>355</v>
      </c>
      <c r="E11" s="326" t="str">
        <f t="shared" si="0"/>
        <v/>
      </c>
      <c r="F11" s="327" t="str">
        <f t="shared" si="1"/>
        <v/>
      </c>
      <c r="G11" s="323"/>
      <c r="H11" s="326" t="str">
        <f t="shared" si="2"/>
        <v/>
      </c>
      <c r="I11" s="323"/>
      <c r="J11" s="326" t="str">
        <f t="shared" si="3"/>
        <v/>
      </c>
      <c r="K11" s="323"/>
      <c r="L11" s="326" t="str">
        <f t="shared" si="4"/>
        <v/>
      </c>
      <c r="M11" s="323"/>
      <c r="N11" s="326" t="str">
        <f t="shared" si="5"/>
        <v/>
      </c>
      <c r="O11" s="323"/>
      <c r="P11" s="324" t="s">
        <v>348</v>
      </c>
    </row>
    <row r="12" spans="2:16" ht="35.1" customHeight="1" thickBot="1">
      <c r="B12" s="329">
        <f>135.017-(B6*0.10172)-(B8*0.30014)</f>
        <v>78.586980000000011</v>
      </c>
      <c r="D12" s="330" t="s">
        <v>356</v>
      </c>
      <c r="E12" s="331" t="str">
        <f t="shared" si="0"/>
        <v/>
      </c>
      <c r="F12" s="332" t="str">
        <f t="shared" si="1"/>
        <v/>
      </c>
      <c r="G12" s="333"/>
      <c r="H12" s="331" t="str">
        <f t="shared" si="2"/>
        <v/>
      </c>
      <c r="I12" s="333"/>
      <c r="J12" s="331" t="str">
        <f t="shared" si="3"/>
        <v/>
      </c>
      <c r="K12" s="333"/>
      <c r="L12" s="331" t="str">
        <f t="shared" si="4"/>
        <v/>
      </c>
      <c r="M12" s="333"/>
      <c r="N12" s="331" t="str">
        <f t="shared" si="5"/>
        <v/>
      </c>
      <c r="O12" s="333"/>
      <c r="P12" s="324" t="s">
        <v>348</v>
      </c>
    </row>
    <row r="13" spans="2:16" ht="9.9499999999999993" customHeight="1" thickBot="1"/>
    <row r="14" spans="2:16">
      <c r="B14" s="813"/>
      <c r="D14" s="816" t="s">
        <v>357</v>
      </c>
      <c r="E14" s="817"/>
      <c r="F14" s="817"/>
      <c r="G14" s="817"/>
      <c r="H14" s="817"/>
      <c r="I14" s="817"/>
      <c r="J14" s="817"/>
      <c r="K14" s="817"/>
      <c r="L14" s="817"/>
      <c r="M14" s="817"/>
      <c r="N14" s="817"/>
      <c r="O14" s="818"/>
    </row>
    <row r="15" spans="2:16">
      <c r="B15" s="814"/>
      <c r="D15" s="819" t="s">
        <v>514</v>
      </c>
      <c r="E15" s="820"/>
      <c r="F15" s="820"/>
      <c r="G15" s="820"/>
      <c r="H15" s="820"/>
      <c r="I15" s="820"/>
      <c r="J15" s="820"/>
      <c r="K15" s="820"/>
      <c r="L15" s="820"/>
      <c r="M15" s="820"/>
      <c r="N15" s="820"/>
      <c r="O15" s="821"/>
    </row>
    <row r="16" spans="2:16" ht="15.75" thickBot="1">
      <c r="B16" s="815"/>
      <c r="D16" s="822" t="s">
        <v>358</v>
      </c>
      <c r="E16" s="823"/>
      <c r="F16" s="823"/>
      <c r="G16" s="823"/>
      <c r="H16" s="823"/>
      <c r="I16" s="823"/>
      <c r="J16" s="823"/>
      <c r="K16" s="823"/>
      <c r="L16" s="823"/>
      <c r="M16" s="823"/>
      <c r="N16" s="823"/>
      <c r="O16" s="824"/>
    </row>
    <row r="17" spans="2:21">
      <c r="B17" s="334"/>
      <c r="D17" s="335"/>
      <c r="E17" s="335"/>
      <c r="F17" s="335"/>
      <c r="G17" s="335"/>
      <c r="H17" s="335"/>
      <c r="I17" s="335"/>
      <c r="J17" s="335"/>
      <c r="K17" s="335"/>
      <c r="L17" s="335"/>
      <c r="M17" s="335"/>
      <c r="N17" s="335"/>
      <c r="O17" s="335"/>
    </row>
    <row r="18" spans="2:21">
      <c r="B18" s="334"/>
      <c r="D18" s="335"/>
      <c r="E18" s="335"/>
      <c r="F18" s="335"/>
      <c r="G18" s="335"/>
      <c r="H18" s="335"/>
      <c r="I18" s="335"/>
      <c r="J18" s="335"/>
      <c r="K18" s="335"/>
      <c r="L18" s="335"/>
      <c r="M18" s="335"/>
      <c r="N18" s="335"/>
      <c r="O18" s="335"/>
    </row>
    <row r="19" spans="2:21" ht="50.1" customHeight="1">
      <c r="E19" s="171"/>
      <c r="F19" s="171"/>
      <c r="H19" s="171"/>
      <c r="J19" s="171"/>
      <c r="L19" s="171"/>
      <c r="N19" s="171"/>
    </row>
    <row r="20" spans="2:21" ht="15.75" hidden="1" thickBot="1">
      <c r="D20" s="336" t="s">
        <v>344</v>
      </c>
      <c r="E20" s="337" t="s">
        <v>339</v>
      </c>
      <c r="F20" s="338" t="s">
        <v>340</v>
      </c>
      <c r="G20" s="339" t="s">
        <v>359</v>
      </c>
      <c r="H20" s="337" t="s">
        <v>15</v>
      </c>
      <c r="I20" s="340" t="s">
        <v>359</v>
      </c>
      <c r="J20" s="341" t="s">
        <v>14</v>
      </c>
      <c r="K20" s="340" t="s">
        <v>359</v>
      </c>
      <c r="L20" s="341" t="s">
        <v>346</v>
      </c>
      <c r="M20" s="342" t="s">
        <v>359</v>
      </c>
      <c r="N20" s="337" t="s">
        <v>10</v>
      </c>
      <c r="O20" s="343" t="s">
        <v>359</v>
      </c>
      <c r="Q20" t="s">
        <v>360</v>
      </c>
      <c r="R20" t="s">
        <v>361</v>
      </c>
      <c r="T20" t="s">
        <v>362</v>
      </c>
      <c r="U20" t="s">
        <v>363</v>
      </c>
    </row>
    <row r="21" spans="2:21" ht="15.75" hidden="1" thickBot="1">
      <c r="D21" s="344" t="s">
        <v>364</v>
      </c>
      <c r="E21" s="345" t="str">
        <f>IF(G5=U20,-$K$30*3,IF(G5=U21,-$K$30*2,IF(G5=U22,-$K$30*1,IF(G5=U23,$K$30,IF(G5=U24,$K$30*1,IF(G5=U25,$K$30*2,IF(G5=U26,$K$30*3,"")))))))</f>
        <v/>
      </c>
      <c r="F21" s="346" t="str">
        <f>IF(G5=U20,-$K$30*3,IF(G5=U21,-$K$30*2,IF(G5=U22,-$K$30*1,IF(G5=U23,$K$30,IF(G5=U24,$K$30*1,IF(G5=U25,$K$30*2,IF(G5=U26,$K$30*3,"")))))))</f>
        <v/>
      </c>
      <c r="G21" s="347">
        <f>G5</f>
        <v>0</v>
      </c>
      <c r="H21" s="345" t="str">
        <f>IF(I5=U28,-$K$30*3,IF(I5=U29,-$K$30*2,IF(I5=U30,-$K$30*1,IF(I5=U31,$K$30,IF(I5=U32,$K$30*1,IF(I5=U33,$K$30*2,IF(I5=U34,$K$30*3,"")))))))</f>
        <v/>
      </c>
      <c r="I21" s="347">
        <f>I5</f>
        <v>0</v>
      </c>
      <c r="J21" s="345" t="str">
        <f>IF(K5=U36,-$K$30*3,IF(K5=U37,-$K$30*2,IF(K5=U38,-$K$30*1,IF(K5=U39,$K$30,IF(K5=U40,$K$30*1,IF(K5=U41,$K$30*2,IF(K5=U42,$K$30*3,"")))))))</f>
        <v/>
      </c>
      <c r="K21" s="348">
        <f>K5</f>
        <v>0</v>
      </c>
      <c r="L21" s="345" t="str">
        <f>IF(M5=U44,-$K$30*3,IF(M5=U45,-$K$30*2,IF(M5=U46,-$K$30*1,IF(M5=U47,$K$30,IF(M5=U48,$K$30*1,IF(M5=U49,$K$30*2,IF(M5=U50,$K$30*3,"")))))))</f>
        <v/>
      </c>
      <c r="M21" s="347">
        <f>M5</f>
        <v>0</v>
      </c>
      <c r="N21" s="345" t="str">
        <f>IF(O5=U52,-$K$30*3,IF(O5=U53,-$K$30*2,IF(O5=U54,-$K$30*1,IF(O5=U55,$K$30,IF(O5=U56,$K$30*1,IF(O5=U57,$K$30*2,IF(O5=U58,$K$30*3,"")))))))</f>
        <v/>
      </c>
      <c r="O21" s="347">
        <f>O5</f>
        <v>0</v>
      </c>
      <c r="R21" t="s">
        <v>365</v>
      </c>
      <c r="U21" t="s">
        <v>366</v>
      </c>
    </row>
    <row r="22" spans="2:21" ht="15.75" hidden="1" thickBot="1">
      <c r="D22" s="344" t="s">
        <v>367</v>
      </c>
      <c r="E22" s="345" t="str">
        <f>IF(G6=U20,-$K$30*3,IF(G6=U21,-$K$30*2,IF(G6=U22,-$K$30*1,IF(G6=U23,$K$30/2,IF(G6=U24,$K$30*1,IF(G6=U25,$K$30*2,IF(G6=U26,$K$30*3,"")))))))</f>
        <v/>
      </c>
      <c r="F22" s="346" t="str">
        <f>IF($G$6=U20,-$K$30*3,IF($G$6=U21,-$K$30*2,IF($G$6=U22,-$K$30*1,IF($G$6=U23,$K$30/2,IF($G$6=U24,$K$30*1,IF($G$6=U25,$K$30*2,IF($G$6=U26,$K$30*3,"")))))))</f>
        <v/>
      </c>
      <c r="G22" s="347">
        <f t="shared" ref="G22:G28" si="6">G6</f>
        <v>0</v>
      </c>
      <c r="H22" s="345" t="str">
        <f>IF(I6=U28,-$K$30*3,IF(I6=U29,-$K$30*2,IF(I6=U30,-$K$30*1,IF(I6=U31,$K$30/2,IF(I6=U32,$K$30*1,IF(I6=U33,$K$30*2,IF(I6=U34,$K$30*3,"")))))))</f>
        <v/>
      </c>
      <c r="I22" s="347">
        <f t="shared" ref="I22:I28" si="7">I6</f>
        <v>0</v>
      </c>
      <c r="J22" s="345" t="str">
        <f>IF(K6=U36,-$K$30*3,IF(K6=U37,-$K$30*2,IF(K6=U38,-$K$30*1,IF(K6=U39,$K$30/2,IF(K6=U40,$K$30*1,IF(K6=U41,$K$30*2,IF(K6=U42,$K$30*3,"")))))))</f>
        <v/>
      </c>
      <c r="K22" s="348">
        <f t="shared" ref="K22:K28" si="8">K6</f>
        <v>0</v>
      </c>
      <c r="L22" s="345" t="str">
        <f>IF(M6=U44,-$K$30*3,IF(M6=U45,-$K$30*2,IF(M6=U46,-$K$30*1,IF(M6=U47,$K$30/2,IF(M6=U48,$K$30*1,IF(M6=U49,$K$30*2,IF(M6=U50,$K$30*3,"")))))))</f>
        <v/>
      </c>
      <c r="M22" s="347">
        <f t="shared" ref="M22:M28" si="9">M6</f>
        <v>0</v>
      </c>
      <c r="N22" s="345" t="str">
        <f>IF(O6=U52,-$K$30*3,IF(O6=U53,-$K$30*2,IF(O6=U54,-$K$30*1,IF(O6=U55,$K$30/2,IF(O6=U56,$K$30*1,IF(O6=U57,$K$30*2,IF(O6=U58,$K$30*3,"")))))))</f>
        <v/>
      </c>
      <c r="O22" s="347">
        <f t="shared" ref="O22:O28" si="10">O6</f>
        <v>0</v>
      </c>
      <c r="R22" t="s">
        <v>368</v>
      </c>
      <c r="U22" t="s">
        <v>369</v>
      </c>
    </row>
    <row r="23" spans="2:21" ht="15.75" hidden="1" thickBot="1">
      <c r="D23" s="344" t="s">
        <v>370</v>
      </c>
      <c r="E23" s="345" t="str">
        <f>IF($G$7=U20,-$K$30*3,IF($G$7=U21,-$K$30*2,IF($G$7=U22,-$K$30*1,IF($G$7=U23,$K$30/4,IF($G$7=U24,$K$30*1,IF($G$7=U25,$K$30*2,IF($G$7=U26,$K$30*3,"")))))))</f>
        <v/>
      </c>
      <c r="F23" s="346" t="str">
        <f>IF(G7=U20,-$K$30*3,IF(G7=U21,-$K$30*2,IF(G7=U22,-$K$30*1,IF(G7=U23,$K$30/4,IF(G7=U24,$K$30*1,IF(G7=U25,$K$30*2,IF(G7=U26,$K$30*3,"")))))))</f>
        <v/>
      </c>
      <c r="G23" s="347">
        <f t="shared" si="6"/>
        <v>0</v>
      </c>
      <c r="H23" s="345" t="str">
        <f>IF(I7=U28,-$K$30*3,IF(I7=U29,-$K$30*2,IF(I7=U30,-$K$30*1,IF(I7=U31,$K$30/4,IF(I7=U32,$K$30*1,IF(I7=U33,$K$30*2,IF(I7=U34,$K$30*3,"")))))))</f>
        <v/>
      </c>
      <c r="I23" s="347">
        <f t="shared" si="7"/>
        <v>0</v>
      </c>
      <c r="J23" s="345" t="str">
        <f>IF(K7=U36,-$K$30*3,IF(K7=U37,-$K$30*2,IF(K7=U38,-$K$30*1,IF(K7=U39,$K$30/4,IF(K7=U40,$K$30*1,IF(K7=U41,$K$30*2,IF(K7=U42,$K$30*3,"")))))))</f>
        <v/>
      </c>
      <c r="K23" s="348">
        <f t="shared" si="8"/>
        <v>0</v>
      </c>
      <c r="L23" s="345" t="str">
        <f>IF(M7=U44,-$K$30*3,IF(M7=U45,-$K$30*2,IF(M7=U46,-$K$30*1,IF(M7=U47,$K$30/4,IF(M7=U48,$K$30*1,IF(M7=U49,$K$30*2,IF(M7=U50,$K$30*3,"")))))))</f>
        <v/>
      </c>
      <c r="M23" s="347">
        <f t="shared" si="9"/>
        <v>0</v>
      </c>
      <c r="N23" s="345" t="str">
        <f>IF(O7=U52,-$K$30*3,IF(O7=U53,-$K$30*2,IF(O7=U54,-$K$30*1,IF(O7=U55,$K$30/4,IF(O7=U56,$K$30*1,IF(O7=U57,$K$30*2,IF(O7=U58,$K$30*3,"")))))))</f>
        <v/>
      </c>
      <c r="O23" s="347">
        <f t="shared" si="10"/>
        <v>0</v>
      </c>
      <c r="R23" t="s">
        <v>371</v>
      </c>
      <c r="U23" t="s">
        <v>372</v>
      </c>
    </row>
    <row r="24" spans="2:21" ht="15.75" hidden="1" thickBot="1">
      <c r="C24" s="171"/>
      <c r="D24" s="344" t="s">
        <v>373</v>
      </c>
      <c r="E24" s="345" t="str">
        <f>IF(G8=U20,-$K$30*3,IF(G8=U21,-$K$30*2,IF(G8=U22,-$K$30*1,IF(G8=U23,$K$30/8,IF(G8=U24,$K$30*1,IF(G8=U25,$K$30*2,IF(G8=U26,$K$30*3,"")))))))</f>
        <v/>
      </c>
      <c r="F24" s="346" t="str">
        <f>IF(G8=U20,-$K$30*3,IF(G8=U21,-$K$30*2,IF(G8=U22,-$K$30*1,IF(G8=U23,$K$30/8,IF(G8=U24,$K$30*1,IF(G8=U25,$K$30*2,IF(G8=U26,$K$30*3,"")))))))</f>
        <v/>
      </c>
      <c r="G24" s="347">
        <f t="shared" si="6"/>
        <v>0</v>
      </c>
      <c r="H24" s="345" t="str">
        <f>IF(I8=U28,-$K$30*3,IF(I8=U29,-$K$30*2,IF(I8=U30,-$K$30*1,IF(I8=U31,$K$30/8,IF(I8=U32,$K$30*1,IF(I8=U33,$K$30*2,IF(I8=U34,$K$30*3,"")))))))</f>
        <v/>
      </c>
      <c r="I24" s="347">
        <f t="shared" si="7"/>
        <v>0</v>
      </c>
      <c r="J24" s="345" t="str">
        <f>IF(K8=U36,-$K$30*3,IF(K8=U37,-$K$30*2,IF(K8=U38,-$K$30*1,IF(K8=U39,$K$30/8,IF(K8=U40,$K$30*1,IF(K8=U41,$K$30*2,IF(K8=U42,$K$30*3,"")))))))</f>
        <v/>
      </c>
      <c r="K24" s="348">
        <f t="shared" si="8"/>
        <v>0</v>
      </c>
      <c r="L24" s="345" t="str">
        <f>IF(M8=U44,-$K$30*3,IF(M8=U45,-$K$30*2,IF(M8=U46,-$K$30*1,IF(M8=U47,$K$30/8,IF(M8=U48,$K$30*1,IF(M8=U49,$K$30*2,IF(M8=U50,$K$30*3,"")))))))</f>
        <v/>
      </c>
      <c r="M24" s="347">
        <f t="shared" si="9"/>
        <v>0</v>
      </c>
      <c r="N24" s="345" t="str">
        <f>IF(O8=U52,-$K$30*3,IF(O8=U53,-$K$30*2,IF(O8=U54,-$K$30*1,IF(O8=U55,$K$30/8,IF(O8=U56,$K$30*1,IF(O8=U57,$K$30*2,IF(O8=U58,$K$30*3,"")))))))</f>
        <v/>
      </c>
      <c r="O24" s="347">
        <f t="shared" si="10"/>
        <v>0</v>
      </c>
      <c r="R24" t="s">
        <v>374</v>
      </c>
      <c r="U24" t="s">
        <v>375</v>
      </c>
    </row>
    <row r="25" spans="2:21" ht="15.75" hidden="1" thickBot="1">
      <c r="D25" s="344" t="s">
        <v>376</v>
      </c>
      <c r="E25" s="345" t="str">
        <f>IF(G9=U20,-$K$30*3,IF(G9=U21,-$K$30*2,IF(G9=U22,-$K$30*1,IF(G9=U23,$K$30/16,IF(G9=U24,$K$30*1,IF(G9=U25,$K$30*2,IF(G9=U26,$K$30*3,"")))))))</f>
        <v/>
      </c>
      <c r="F25" s="346" t="str">
        <f>IF(G9=U20,-$K$30*3,IF(G9=U21,-$K$30*2,IF(G9=U22,-$K$30*1,IF(G9=U23,$K$30/16,IF(G9=U24,$K$30*1,IF(G9=U25,$K$30*2,IF(G9=U26,$K$30*3,"")))))))</f>
        <v/>
      </c>
      <c r="G25" s="347">
        <f t="shared" si="6"/>
        <v>0</v>
      </c>
      <c r="H25" s="345" t="str">
        <f>IF(I9=U28,-$K$30*3,IF(I9=U29,-$K$30*2,IF(I9=U30,-$K$30*1,IF(I9=U31,$K$30/16,IF(I9=U32,$K$30*1,IF(I9=U33,$K$30*2,IF(I9=U34,$K$30*3,"")))))))</f>
        <v/>
      </c>
      <c r="I25" s="347">
        <f t="shared" si="7"/>
        <v>0</v>
      </c>
      <c r="J25" s="345" t="str">
        <f>IF(K9=U36,-$K$30*3,IF(K9=U37,-$K$30*2,IF(K9=U38,-$K$30*1,IF(K9=U39,$K$30/16,IF(K9=U40,$K$30*1,IF(K9=U41,$K$30*2,IF(K9=U42,$K$30*3,"")))))))</f>
        <v/>
      </c>
      <c r="K25" s="348">
        <f t="shared" si="8"/>
        <v>0</v>
      </c>
      <c r="L25" s="345" t="str">
        <f>IF(M9=U44,-$K$30*3,IF(M9=U45,-$K$30*2,IF(M9=U46,-$K$30*1,IF(M9=U47,$K$30/16,IF(M9=U48,$K$30*1,IF(M9=U49,$K$30*2,IF(M9=U50,$K$30*3,"")))))))</f>
        <v/>
      </c>
      <c r="M25" s="347">
        <f t="shared" si="9"/>
        <v>0</v>
      </c>
      <c r="N25" s="345" t="str">
        <f>IF(O9=U52,-$K$30*3,IF(O9=U53,-$K$30*2,IF(O9=U54,-$K$30*1,IF(O9=U55,$K$30/16,IF(O9=U56,$K$30*1,IF(O9=U57,$K$30*2,IF(O9=U58,$K$30*3,"")))))))</f>
        <v/>
      </c>
      <c r="O25" s="347">
        <f t="shared" si="10"/>
        <v>0</v>
      </c>
      <c r="R25" t="s">
        <v>377</v>
      </c>
      <c r="U25" t="s">
        <v>378</v>
      </c>
    </row>
    <row r="26" spans="2:21" ht="15.75" hidden="1" thickBot="1">
      <c r="D26" s="344" t="s">
        <v>379</v>
      </c>
      <c r="E26" s="345" t="str">
        <f>IF(G10=U20,-$K$30*3,IF(G10=U21,-$K$30*2,IF(G10=U22,-$K$30*1,IF(G10=U23,$K$30/32,IF(G10=U24,$K$30*1,IF(G10=U25,$K$30*2,IF(G10=U26,$K$30*3,"")))))))</f>
        <v/>
      </c>
      <c r="F26" s="346" t="str">
        <f>IF(G10=U20,-$K$30*3,IF(G10=U21,-$K$30*2,IF(G10=U22,-$K$30*1,IF(G10=U23,$K$30/32,IF(G10=U24,$K$30*1,IF(G10=U25,$K$30*2,IF(G10=U26,$K$30*3,"")))))))</f>
        <v/>
      </c>
      <c r="G26" s="347">
        <f t="shared" si="6"/>
        <v>0</v>
      </c>
      <c r="H26" s="345" t="str">
        <f>IF(I10=U28,-$K$30*3,IF(I10=U29,-$K$30*2,IF(I10=U30,-$K$30*1,IF(I10=U31,$K$30/32,IF(I10=U32,$K$30*1,IF(I10=U33,$K$30*2,IF(I10=U34,$K$30*3,"")))))))</f>
        <v/>
      </c>
      <c r="I26" s="347">
        <f t="shared" si="7"/>
        <v>0</v>
      </c>
      <c r="J26" s="345" t="str">
        <f>IF(K10=U36,-$K$30*3,IF(K10=U37,-$K$30*2,IF(K10=U38,-$K$30*1,IF(K10=U39,$K$30/32,IF(K10=U40,$K$30*1,IF(K10=U41,$K$30*2,IF(K10=U42,$K$30*3,"")))))))</f>
        <v/>
      </c>
      <c r="K26" s="348">
        <f t="shared" si="8"/>
        <v>0</v>
      </c>
      <c r="L26" s="345" t="str">
        <f>IF(M10=U44,-$K$30*3,IF(M10=U45,-$K$30*2,IF(M10=U46,-$K$30*1,IF(M10=U47,$K$30/32,IF(M10=U48,$K$30*1,IF(M10=U49,$K$30*2,IF(M10=U50,$K$30*3,"")))))))</f>
        <v/>
      </c>
      <c r="M26" s="347">
        <f t="shared" si="9"/>
        <v>0</v>
      </c>
      <c r="N26" s="345" t="str">
        <f>IF(O10=U52,-$K$30*3,IF(O10=U53,-$K$30*2,IF(O10=U54,-$K$30*1,IF(O10=U55,$K$30/32,IF(O10=U56,$K$30*1,IF(O10=U57,$K$30*2,IF(O10=U58,$K$30*3,"")))))))</f>
        <v/>
      </c>
      <c r="O26" s="347">
        <f t="shared" si="10"/>
        <v>0</v>
      </c>
      <c r="R26" t="s">
        <v>380</v>
      </c>
      <c r="U26" t="s">
        <v>381</v>
      </c>
    </row>
    <row r="27" spans="2:21" ht="15.75" hidden="1" thickBot="1">
      <c r="D27" s="344" t="s">
        <v>382</v>
      </c>
      <c r="E27" s="345" t="str">
        <f>IF(G11=U20,-$K$30*3,IF(G11=U21,-$K$30*2,IF(G11=U22,-$K$30*1,IF(G11=U23,$K$30/64,IF(G11=U24,$K$30*1,IF(G11=U25,$K$30*2,IF(G11=U26,$K$30*3,"")))))))</f>
        <v/>
      </c>
      <c r="F27" s="346" t="str">
        <f>IF(G11=U20,-$K$30*3,IF(G11=U21,-$K$30*2,IF(G11=U22,-$K$30*1,IF(G11=U23,$K$30/64,IF(G11=U24,$K$30*1,IF(G11=U25,$K$30*2,IF(G11=U26,$K$30*3,"")))))))</f>
        <v/>
      </c>
      <c r="G27" s="347">
        <f t="shared" si="6"/>
        <v>0</v>
      </c>
      <c r="H27" s="345" t="str">
        <f>IF(I11=U28,-$K$30*3,IF(I11=U29,-$K$30*2,IF(I11=U30,-$K$30*1,IF(I11=U31,$K$30/64,IF(I11=U32,$K$30*1,IF(I11=U33,$K$30*2,IF(I11=U34,$K$30*3,"")))))))</f>
        <v/>
      </c>
      <c r="I27" s="347">
        <f t="shared" si="7"/>
        <v>0</v>
      </c>
      <c r="J27" s="345" t="str">
        <f>IF(K11=U36,-$K$30*3,IF(K11=U37,-$K$30*2,IF(K11=U38,-$K$30*1,IF(K11=U39,$K$30/64,IF(K11=U40,$K$30*1,IF(K11=U41,$K$30*2,IF(K11=U42,$K$30*3,"")))))))</f>
        <v/>
      </c>
      <c r="K27" s="348">
        <f t="shared" si="8"/>
        <v>0</v>
      </c>
      <c r="L27" s="345" t="str">
        <f>IF(M11=U44,-$K$30*3,IF(M11=U45,-$K$30*2,IF(M11=U46,-$K$30*1,IF(M11=U47,$K$30/64,IF(M11=U48,$K$30*1,IF(M11=U49,$K$30*2,IF(M11=U50,$K$30*3,"")))))))</f>
        <v/>
      </c>
      <c r="M27" s="347">
        <f t="shared" si="9"/>
        <v>0</v>
      </c>
      <c r="N27" s="345" t="str">
        <f>IF(O11=U52,-$K$30*3,IF(O11=U53,-$K$30*2,IF(O11=U54,-$K$30*1,IF(O11=U55,$K$30/64,IF(O11=U56,$K$30*1,IF(O11=U57,$K$30*2,IF(O11=U58,$K$30*3,"")))))))</f>
        <v/>
      </c>
      <c r="O27" s="347">
        <f t="shared" si="10"/>
        <v>0</v>
      </c>
    </row>
    <row r="28" spans="2:21" ht="15.75" hidden="1" thickBot="1">
      <c r="D28" s="344" t="s">
        <v>383</v>
      </c>
      <c r="E28" s="345" t="str">
        <f>IF(G12=U20,-$K$30*3,IF(G12=U21,-$K$30*2,IF(G12=U22,-$K$30*1,IF(G12=U23,$K$30/128,IF(G12=U24,$K$30*1,IF(G12=U25,$K$30*2,IF(G12=U26,$K$30*3,"")))))))</f>
        <v/>
      </c>
      <c r="F28" s="346" t="str">
        <f>IF(G12=U20,-$K$30*3,IF(G12=U21,-$K$30*2,IF(G12=U22,-$K$30*1,IF(G12=U23,$K$30/128,IF(G12=U24,$K$30*1,IF(G12=U25,$K$30*2,IF(G12=U26,$K$30*3,"")))))))</f>
        <v/>
      </c>
      <c r="G28" s="347">
        <f t="shared" si="6"/>
        <v>0</v>
      </c>
      <c r="H28" s="345" t="str">
        <f>IF(I12=U28,-$K$30*3,IF(I12=U29,-$K$30*2,IF(I12=U30,-$K$30*1,IF(I12=U31,$K$30/128,IF(I12=U32,$K$30*1,IF(I12=U33,$K$30*2,IF(I12=U34,$K$30*3,"")))))))</f>
        <v/>
      </c>
      <c r="I28" s="347">
        <f t="shared" si="7"/>
        <v>0</v>
      </c>
      <c r="J28" s="345" t="str">
        <f>IF(K12=U36,-$K$30*3,IF(K12=U37,-$K$30*2,IF(K12=U38,-$K$30*1,IF(K12=U39,$K$30/128,IF(K12=U40,$K$30*1,IF(K12=U41,$K$30*2,IF(K12=U42,$K$30*3,"")))))))</f>
        <v/>
      </c>
      <c r="K28" s="348">
        <f t="shared" si="8"/>
        <v>0</v>
      </c>
      <c r="L28" s="345" t="str">
        <f>IF(M12=U44,-$K$30*3,IF(M12=U45,-$K$30*2,IF(M12=U46,-$K$30*1,IF(M12=U47,$K$30/128,IF(M12=U48,$K$30*1,IF(M12=U49,$K$30*2,IF(M12=U50,$K$30*3,"")))))))</f>
        <v/>
      </c>
      <c r="M28" s="347">
        <f t="shared" si="9"/>
        <v>0</v>
      </c>
      <c r="N28" s="345" t="str">
        <f>IF(O12=U52,-$K$30*3,IF(O12=U53,-$K$30*2,IF(O12=U54,-$K$30*1,IF(O12=U55,$K$30/128,IF(O12=U56,$K$30*1,IF(O12=U57,$K$30*2,IF(O12=U58,$K$30*3,"")))))))</f>
        <v/>
      </c>
      <c r="O28" s="347">
        <f t="shared" si="10"/>
        <v>0</v>
      </c>
      <c r="Q28" t="s">
        <v>384</v>
      </c>
      <c r="R28" t="s">
        <v>385</v>
      </c>
      <c r="T28" t="s">
        <v>386</v>
      </c>
      <c r="U28" t="s">
        <v>387</v>
      </c>
    </row>
    <row r="29" spans="2:21" hidden="1">
      <c r="R29" t="s">
        <v>388</v>
      </c>
      <c r="U29" t="s">
        <v>389</v>
      </c>
    </row>
    <row r="30" spans="2:21" hidden="1">
      <c r="F30" s="349" t="s">
        <v>46</v>
      </c>
      <c r="G30" s="349">
        <f>135.017-(B6*0.10172)-(B8*0.30014)</f>
        <v>78.586980000000011</v>
      </c>
      <c r="J30" s="349" t="s">
        <v>65</v>
      </c>
      <c r="K30" s="349">
        <f>G30/2</f>
        <v>39.293490000000006</v>
      </c>
      <c r="R30" t="s">
        <v>390</v>
      </c>
      <c r="U30" t="s">
        <v>391</v>
      </c>
    </row>
    <row r="31" spans="2:21" hidden="1">
      <c r="O31" s="350"/>
      <c r="R31" t="s">
        <v>371</v>
      </c>
      <c r="U31" t="s">
        <v>372</v>
      </c>
    </row>
    <row r="32" spans="2:21" hidden="1">
      <c r="R32" t="s">
        <v>392</v>
      </c>
      <c r="U32" t="s">
        <v>393</v>
      </c>
    </row>
    <row r="33" spans="17:21" hidden="1">
      <c r="R33" t="s">
        <v>394</v>
      </c>
      <c r="U33" t="s">
        <v>395</v>
      </c>
    </row>
    <row r="34" spans="17:21" hidden="1">
      <c r="R34" t="s">
        <v>396</v>
      </c>
      <c r="U34" t="s">
        <v>397</v>
      </c>
    </row>
    <row r="35" spans="17:21" hidden="1"/>
    <row r="36" spans="17:21" hidden="1">
      <c r="Q36" t="s">
        <v>398</v>
      </c>
      <c r="R36" t="s">
        <v>399</v>
      </c>
      <c r="T36" t="s">
        <v>400</v>
      </c>
      <c r="U36" t="s">
        <v>401</v>
      </c>
    </row>
    <row r="37" spans="17:21" hidden="1">
      <c r="R37" t="s">
        <v>402</v>
      </c>
      <c r="U37" t="s">
        <v>403</v>
      </c>
    </row>
    <row r="38" spans="17:21" hidden="1">
      <c r="R38" t="s">
        <v>404</v>
      </c>
      <c r="U38" t="s">
        <v>405</v>
      </c>
    </row>
    <row r="39" spans="17:21" hidden="1">
      <c r="R39" t="s">
        <v>371</v>
      </c>
      <c r="U39" t="s">
        <v>372</v>
      </c>
    </row>
    <row r="40" spans="17:21" hidden="1">
      <c r="R40" t="s">
        <v>406</v>
      </c>
      <c r="U40" t="s">
        <v>407</v>
      </c>
    </row>
    <row r="41" spans="17:21" hidden="1">
      <c r="R41" t="s">
        <v>408</v>
      </c>
      <c r="U41" t="s">
        <v>409</v>
      </c>
    </row>
    <row r="42" spans="17:21" hidden="1">
      <c r="R42" t="s">
        <v>410</v>
      </c>
      <c r="U42" t="s">
        <v>411</v>
      </c>
    </row>
    <row r="43" spans="17:21" hidden="1"/>
    <row r="44" spans="17:21" hidden="1">
      <c r="R44" t="s">
        <v>412</v>
      </c>
      <c r="T44" t="s">
        <v>346</v>
      </c>
      <c r="U44" t="s">
        <v>413</v>
      </c>
    </row>
    <row r="45" spans="17:21" hidden="1">
      <c r="R45" t="s">
        <v>414</v>
      </c>
      <c r="U45" t="s">
        <v>415</v>
      </c>
    </row>
    <row r="46" spans="17:21" hidden="1">
      <c r="Q46" t="s">
        <v>416</v>
      </c>
      <c r="R46" t="s">
        <v>417</v>
      </c>
      <c r="U46" t="s">
        <v>418</v>
      </c>
    </row>
    <row r="47" spans="17:21" hidden="1">
      <c r="R47" t="s">
        <v>371</v>
      </c>
      <c r="U47" t="s">
        <v>372</v>
      </c>
    </row>
    <row r="48" spans="17:21" hidden="1">
      <c r="R48" t="s">
        <v>419</v>
      </c>
      <c r="U48" t="s">
        <v>420</v>
      </c>
    </row>
    <row r="49" spans="17:21" hidden="1">
      <c r="R49" t="s">
        <v>421</v>
      </c>
      <c r="U49" t="s">
        <v>422</v>
      </c>
    </row>
    <row r="50" spans="17:21" hidden="1">
      <c r="R50" t="s">
        <v>423</v>
      </c>
      <c r="U50" t="s">
        <v>424</v>
      </c>
    </row>
    <row r="51" spans="17:21" hidden="1"/>
    <row r="52" spans="17:21" hidden="1">
      <c r="Q52" t="s">
        <v>425</v>
      </c>
      <c r="R52" t="s">
        <v>426</v>
      </c>
      <c r="T52" t="s">
        <v>425</v>
      </c>
      <c r="U52" t="s">
        <v>427</v>
      </c>
    </row>
    <row r="53" spans="17:21" hidden="1">
      <c r="R53" t="s">
        <v>428</v>
      </c>
      <c r="U53" t="s">
        <v>429</v>
      </c>
    </row>
    <row r="54" spans="17:21" hidden="1">
      <c r="R54" t="s">
        <v>430</v>
      </c>
      <c r="U54" t="s">
        <v>431</v>
      </c>
    </row>
    <row r="55" spans="17:21" hidden="1">
      <c r="R55" t="s">
        <v>371</v>
      </c>
      <c r="U55" t="s">
        <v>372</v>
      </c>
    </row>
    <row r="56" spans="17:21" hidden="1">
      <c r="R56" t="s">
        <v>432</v>
      </c>
      <c r="U56" t="s">
        <v>433</v>
      </c>
    </row>
    <row r="57" spans="17:21" hidden="1">
      <c r="R57" t="s">
        <v>434</v>
      </c>
      <c r="U57" t="s">
        <v>435</v>
      </c>
    </row>
    <row r="58" spans="17:21" hidden="1">
      <c r="R58" t="s">
        <v>436</v>
      </c>
      <c r="U58" t="s">
        <v>437</v>
      </c>
    </row>
    <row r="59" spans="17:21" hidden="1">
      <c r="S59" t="s">
        <v>438</v>
      </c>
    </row>
    <row r="60" spans="17:21" hidden="1"/>
  </sheetData>
  <mergeCells count="7">
    <mergeCell ref="D2:O2"/>
    <mergeCell ref="B9:B10"/>
    <mergeCell ref="B14:B16"/>
    <mergeCell ref="D14:O14"/>
    <mergeCell ref="D15:O15"/>
    <mergeCell ref="D16:O16"/>
    <mergeCell ref="D3:O3"/>
  </mergeCells>
  <dataValidations count="5">
    <dataValidation type="list" allowBlank="1" showInputMessage="1" showErrorMessage="1" sqref="G5:G12">
      <formula1>$U$20:$U$26</formula1>
    </dataValidation>
    <dataValidation type="list" allowBlank="1" showInputMessage="1" showErrorMessage="1" sqref="I5:I12">
      <formula1>$U$28:$U$34</formula1>
    </dataValidation>
    <dataValidation type="list" allowBlank="1" showInputMessage="1" showErrorMessage="1" sqref="K5:K12">
      <formula1>$U$36:$U$42</formula1>
    </dataValidation>
    <dataValidation type="list" allowBlank="1" showInputMessage="1" showErrorMessage="1" sqref="M5:M12">
      <formula1>$U$44:$U$50</formula1>
    </dataValidation>
    <dataValidation type="list" allowBlank="1" showInputMessage="1" showErrorMessage="1" sqref="O5:O12">
      <formula1>$U$52:$U$58</formula1>
    </dataValidation>
  </dataValidations>
  <hyperlinks>
    <hyperlink ref="D3:O3" r:id="rId1" display="Fichier sous licence Creative Commons CC by NC-SA 4.0 DEED"/>
  </hyperlinks>
  <pageMargins left="0.7" right="0.7" top="0.75" bottom="0.75" header="0.3" footer="0.3"/>
  <pageSetup paperSize="9" orientation="portrait" verticalDpi="0" r:id="rId2"/>
  <drawing r:id="rId3"/>
  <legacyDrawing r:id="rId4"/>
</worksheet>
</file>

<file path=xl/worksheets/sheet9.xml><?xml version="1.0" encoding="utf-8"?>
<worksheet xmlns="http://schemas.openxmlformats.org/spreadsheetml/2006/main" xmlns:r="http://schemas.openxmlformats.org/officeDocument/2006/relationships">
  <sheetPr codeName="Feuil3"/>
  <dimension ref="A1:AL65"/>
  <sheetViews>
    <sheetView topLeftCell="R1" workbookViewId="0">
      <selection activeCell="D37" sqref="D37"/>
    </sheetView>
  </sheetViews>
  <sheetFormatPr baseColWidth="10" defaultColWidth="11.42578125" defaultRowHeight="15"/>
  <cols>
    <col min="1" max="1" width="14.140625" bestFit="1" customWidth="1"/>
    <col min="2" max="2" width="5.7109375" bestFit="1" customWidth="1"/>
    <col min="3" max="3" width="5.7109375" customWidth="1"/>
    <col min="4" max="14" width="6.7109375" customWidth="1"/>
    <col min="15" max="15" width="3.28515625" customWidth="1"/>
    <col min="16" max="26" width="6.7109375" customWidth="1"/>
    <col min="27" max="27" width="3.28515625" customWidth="1"/>
    <col min="28" max="32" width="6.7109375" customWidth="1"/>
    <col min="33" max="33" width="7.5703125" bestFit="1" customWidth="1"/>
    <col min="34" max="38" width="6.7109375" customWidth="1"/>
  </cols>
  <sheetData>
    <row r="1" spans="1:38">
      <c r="A1" s="826" t="s">
        <v>444</v>
      </c>
      <c r="B1" s="826"/>
      <c r="D1" s="355" t="s">
        <v>34</v>
      </c>
      <c r="E1" s="355" t="s">
        <v>15</v>
      </c>
      <c r="F1" s="355" t="s">
        <v>21</v>
      </c>
      <c r="G1" s="355" t="s">
        <v>18</v>
      </c>
      <c r="H1" s="355" t="s">
        <v>201</v>
      </c>
      <c r="I1" s="355" t="s">
        <v>200</v>
      </c>
      <c r="J1" s="355" t="s">
        <v>199</v>
      </c>
      <c r="K1" s="355" t="s">
        <v>11</v>
      </c>
      <c r="L1" s="355" t="s">
        <v>14</v>
      </c>
      <c r="M1" s="355" t="s">
        <v>198</v>
      </c>
      <c r="N1" s="355" t="s">
        <v>197</v>
      </c>
      <c r="P1" s="827" t="s">
        <v>446</v>
      </c>
      <c r="Q1" s="827"/>
      <c r="R1" s="827"/>
      <c r="S1" s="827"/>
      <c r="T1" s="827"/>
      <c r="U1" s="827"/>
      <c r="V1" s="827"/>
      <c r="W1" s="827"/>
      <c r="X1" s="827"/>
      <c r="Y1" s="827"/>
      <c r="Z1" s="827"/>
      <c r="AB1" s="828" t="s">
        <v>447</v>
      </c>
      <c r="AC1" s="828"/>
      <c r="AD1" s="828"/>
      <c r="AE1" s="828"/>
      <c r="AF1" s="828"/>
      <c r="AG1" s="828"/>
      <c r="AH1" s="828"/>
      <c r="AI1" s="828"/>
      <c r="AJ1" s="828"/>
      <c r="AK1" s="828"/>
      <c r="AL1" s="828"/>
    </row>
    <row r="2" spans="1:38">
      <c r="A2" s="353" t="s">
        <v>448</v>
      </c>
      <c r="B2" s="353" t="s">
        <v>59</v>
      </c>
      <c r="C2" s="354"/>
      <c r="D2" s="355">
        <v>0</v>
      </c>
      <c r="E2" s="355">
        <v>0</v>
      </c>
      <c r="F2" s="355">
        <v>0</v>
      </c>
      <c r="G2" s="355">
        <v>0</v>
      </c>
      <c r="H2" s="355">
        <v>0</v>
      </c>
      <c r="I2" s="355">
        <v>0</v>
      </c>
      <c r="J2" s="355">
        <v>0</v>
      </c>
      <c r="K2" s="355">
        <v>0</v>
      </c>
      <c r="L2" s="355">
        <v>0</v>
      </c>
      <c r="M2" s="355">
        <v>0</v>
      </c>
      <c r="N2" s="355">
        <v>0</v>
      </c>
      <c r="O2" s="37"/>
      <c r="P2" s="356" t="s">
        <v>34</v>
      </c>
      <c r="Q2" s="356" t="s">
        <v>15</v>
      </c>
      <c r="R2" s="356" t="s">
        <v>21</v>
      </c>
      <c r="S2" s="356" t="s">
        <v>18</v>
      </c>
      <c r="T2" s="356" t="s">
        <v>201</v>
      </c>
      <c r="U2" s="356" t="s">
        <v>200</v>
      </c>
      <c r="V2" s="356" t="s">
        <v>199</v>
      </c>
      <c r="W2" s="356" t="s">
        <v>11</v>
      </c>
      <c r="X2" s="356" t="s">
        <v>14</v>
      </c>
      <c r="Y2" s="356" t="s">
        <v>198</v>
      </c>
      <c r="Z2" s="356" t="s">
        <v>197</v>
      </c>
      <c r="AB2" s="357" t="s">
        <v>34</v>
      </c>
      <c r="AC2" s="357" t="s">
        <v>15</v>
      </c>
      <c r="AD2" s="357" t="s">
        <v>21</v>
      </c>
      <c r="AE2" s="357" t="s">
        <v>18</v>
      </c>
      <c r="AF2" s="357" t="s">
        <v>201</v>
      </c>
      <c r="AG2" s="357" t="s">
        <v>200</v>
      </c>
      <c r="AH2" s="357" t="s">
        <v>199</v>
      </c>
      <c r="AI2" s="357" t="s">
        <v>11</v>
      </c>
      <c r="AJ2" s="357" t="s">
        <v>14</v>
      </c>
      <c r="AK2" s="357" t="s">
        <v>198</v>
      </c>
      <c r="AL2" s="357" t="s">
        <v>197</v>
      </c>
    </row>
    <row r="3" spans="1:38">
      <c r="A3" s="358" t="s">
        <v>125</v>
      </c>
      <c r="B3" s="359">
        <v>71</v>
      </c>
      <c r="C3" s="247"/>
      <c r="D3" s="360">
        <v>28.485932300000002</v>
      </c>
      <c r="E3" s="360">
        <v>54.4018011</v>
      </c>
      <c r="F3" s="360">
        <v>18.113814999999999</v>
      </c>
      <c r="G3" s="360">
        <v>19.507185400000001</v>
      </c>
      <c r="H3" s="360">
        <v>18.822836899999999</v>
      </c>
      <c r="I3" s="360">
        <v>22.878095699999999</v>
      </c>
      <c r="J3" s="360">
        <v>16.152153599999998</v>
      </c>
      <c r="K3" s="360">
        <v>37.124533499999998</v>
      </c>
      <c r="L3" s="360">
        <v>43.9258758</v>
      </c>
      <c r="M3" s="360">
        <v>25.8787576</v>
      </c>
      <c r="N3" s="360">
        <v>19.477680100000001</v>
      </c>
      <c r="O3" s="47"/>
      <c r="P3" s="361">
        <v>28.36</v>
      </c>
      <c r="Q3" s="361">
        <v>50.05</v>
      </c>
      <c r="R3" s="361">
        <v>20.16</v>
      </c>
      <c r="S3" s="361">
        <v>21.2</v>
      </c>
      <c r="T3" s="361">
        <v>20.95</v>
      </c>
      <c r="U3" s="361">
        <v>24.11</v>
      </c>
      <c r="V3" s="361">
        <v>18.28</v>
      </c>
      <c r="W3" s="361">
        <v>35.53</v>
      </c>
      <c r="X3" s="361">
        <v>41.42</v>
      </c>
      <c r="Y3" s="361">
        <v>26.86</v>
      </c>
      <c r="Z3" s="361">
        <v>21.23</v>
      </c>
      <c r="AB3" s="362">
        <f>D3-P3</f>
        <v>0.12593230000000233</v>
      </c>
      <c r="AC3" s="362">
        <f>E3-Q3</f>
        <v>4.351801100000003</v>
      </c>
      <c r="AD3" s="362">
        <f t="shared" ref="AD3:AL18" si="0">F3-R3</f>
        <v>-2.0461850000000013</v>
      </c>
      <c r="AE3" s="362">
        <f t="shared" si="0"/>
        <v>-1.6928145999999984</v>
      </c>
      <c r="AF3" s="362">
        <f t="shared" si="0"/>
        <v>-2.1271631000000006</v>
      </c>
      <c r="AG3" s="362">
        <f t="shared" si="0"/>
        <v>-1.2319043000000001</v>
      </c>
      <c r="AH3" s="362">
        <f t="shared" si="0"/>
        <v>-2.1278464000000028</v>
      </c>
      <c r="AI3" s="362">
        <f t="shared" si="0"/>
        <v>1.5945334999999972</v>
      </c>
      <c r="AJ3" s="362">
        <f t="shared" si="0"/>
        <v>2.5058757999999983</v>
      </c>
      <c r="AK3" s="362">
        <f t="shared" si="0"/>
        <v>-0.98124239999999929</v>
      </c>
      <c r="AL3" s="362">
        <f t="shared" si="0"/>
        <v>-1.7523198999999998</v>
      </c>
    </row>
    <row r="4" spans="1:38">
      <c r="A4" s="358" t="s">
        <v>313</v>
      </c>
      <c r="B4" s="359">
        <v>79</v>
      </c>
      <c r="C4" s="247"/>
      <c r="D4" s="360">
        <v>37.328327878488714</v>
      </c>
      <c r="E4" s="360">
        <v>21.291601056544103</v>
      </c>
      <c r="F4" s="360">
        <v>38.994132380489127</v>
      </c>
      <c r="G4" s="360">
        <v>45.616438721089722</v>
      </c>
      <c r="H4" s="360">
        <v>41.207090825598527</v>
      </c>
      <c r="I4" s="360">
        <v>27.068150324648954</v>
      </c>
      <c r="J4" s="360">
        <v>30.258857628013928</v>
      </c>
      <c r="K4" s="360">
        <v>29.653992289388832</v>
      </c>
      <c r="L4" s="360">
        <v>24.728091795536329</v>
      </c>
      <c r="M4" s="360">
        <v>17.590348368498411</v>
      </c>
      <c r="N4" s="360">
        <v>22.730882626473466</v>
      </c>
      <c r="O4" s="47"/>
      <c r="P4" s="361">
        <v>37.700000000000003</v>
      </c>
      <c r="Q4" s="361">
        <v>19.2</v>
      </c>
      <c r="R4" s="361">
        <v>39.869999999999997</v>
      </c>
      <c r="S4" s="361">
        <v>46.94</v>
      </c>
      <c r="T4" s="361">
        <v>42.56</v>
      </c>
      <c r="U4" s="361">
        <v>25.7</v>
      </c>
      <c r="V4" s="361">
        <v>30</v>
      </c>
      <c r="W4" s="361">
        <v>29.09</v>
      </c>
      <c r="X4" s="361">
        <v>23.68</v>
      </c>
      <c r="Y4" s="361">
        <v>14.93</v>
      </c>
      <c r="Z4" s="361">
        <v>21.45</v>
      </c>
      <c r="AB4" s="362">
        <f t="shared" ref="AB4:AL40" si="1">D4-P4</f>
        <v>-0.37167212151128837</v>
      </c>
      <c r="AC4" s="362">
        <f t="shared" si="1"/>
        <v>2.0916010565441034</v>
      </c>
      <c r="AD4" s="362">
        <f t="shared" si="0"/>
        <v>-0.87586761951087055</v>
      </c>
      <c r="AE4" s="362">
        <f t="shared" si="0"/>
        <v>-1.323561278910276</v>
      </c>
      <c r="AF4" s="362">
        <f t="shared" si="0"/>
        <v>-1.352909174401475</v>
      </c>
      <c r="AG4" s="362">
        <f t="shared" si="0"/>
        <v>1.3681503246489548</v>
      </c>
      <c r="AH4" s="362">
        <f t="shared" si="0"/>
        <v>0.25885762801392787</v>
      </c>
      <c r="AI4" s="362">
        <f t="shared" si="0"/>
        <v>0.56399228938883184</v>
      </c>
      <c r="AJ4" s="362">
        <f t="shared" si="0"/>
        <v>1.0480917955363296</v>
      </c>
      <c r="AK4" s="362">
        <f t="shared" si="0"/>
        <v>2.6603483684984113</v>
      </c>
      <c r="AL4" s="362">
        <f t="shared" si="0"/>
        <v>1.280882626473467</v>
      </c>
    </row>
    <row r="5" spans="1:38">
      <c r="A5" s="358" t="s">
        <v>123</v>
      </c>
      <c r="B5" s="359">
        <v>80</v>
      </c>
      <c r="C5" s="247"/>
      <c r="D5" s="360">
        <v>18.53</v>
      </c>
      <c r="E5" s="360">
        <v>23.92</v>
      </c>
      <c r="F5" s="360">
        <v>26.063646408601745</v>
      </c>
      <c r="G5" s="360">
        <v>25.179925422111278</v>
      </c>
      <c r="H5" s="360">
        <v>21.63</v>
      </c>
      <c r="I5" s="360">
        <v>19.7</v>
      </c>
      <c r="J5" s="360">
        <v>14.504423971773013</v>
      </c>
      <c r="K5" s="360">
        <v>23.760089731630504</v>
      </c>
      <c r="L5" s="360">
        <v>30.082193959225375</v>
      </c>
      <c r="M5" s="360">
        <v>22.59</v>
      </c>
      <c r="N5" s="360">
        <v>10.36</v>
      </c>
      <c r="O5" s="47"/>
      <c r="P5" s="361">
        <v>19.010000000000002</v>
      </c>
      <c r="Q5" s="361">
        <v>24.24</v>
      </c>
      <c r="R5" s="361">
        <v>26.23</v>
      </c>
      <c r="S5" s="361">
        <v>25.4</v>
      </c>
      <c r="T5" s="361">
        <v>21.43</v>
      </c>
      <c r="U5" s="361">
        <v>19.07</v>
      </c>
      <c r="V5" s="361">
        <v>15.14</v>
      </c>
      <c r="W5" s="361">
        <v>23.54</v>
      </c>
      <c r="X5" s="361">
        <v>30.8</v>
      </c>
      <c r="Y5" s="361">
        <v>21.99</v>
      </c>
      <c r="Z5" s="361">
        <v>11.3</v>
      </c>
      <c r="AB5" s="362">
        <f t="shared" si="1"/>
        <v>-0.48000000000000043</v>
      </c>
      <c r="AC5" s="362">
        <f t="shared" si="1"/>
        <v>-0.31999999999999673</v>
      </c>
      <c r="AD5" s="362">
        <f t="shared" si="0"/>
        <v>-0.16635359139825567</v>
      </c>
      <c r="AE5" s="362">
        <f t="shared" si="0"/>
        <v>-0.22007457788872031</v>
      </c>
      <c r="AF5" s="362">
        <f t="shared" si="0"/>
        <v>0.19999999999999929</v>
      </c>
      <c r="AG5" s="362">
        <f t="shared" si="0"/>
        <v>0.62999999999999901</v>
      </c>
      <c r="AH5" s="362">
        <f t="shared" si="0"/>
        <v>-0.63557602822698733</v>
      </c>
      <c r="AI5" s="362">
        <f t="shared" si="0"/>
        <v>0.22008973163050527</v>
      </c>
      <c r="AJ5" s="362">
        <f t="shared" si="0"/>
        <v>-0.71780604077462584</v>
      </c>
      <c r="AK5" s="362">
        <f t="shared" si="0"/>
        <v>0.60000000000000142</v>
      </c>
      <c r="AL5" s="362">
        <f t="shared" si="0"/>
        <v>-0.94000000000000128</v>
      </c>
    </row>
    <row r="6" spans="1:38">
      <c r="A6" s="358" t="s">
        <v>122</v>
      </c>
      <c r="B6" s="359">
        <v>70</v>
      </c>
      <c r="C6" s="247"/>
      <c r="D6" s="360">
        <v>24.479845607114246</v>
      </c>
      <c r="E6" s="360">
        <v>48.162466560282951</v>
      </c>
      <c r="F6" s="360">
        <v>19.567175084241558</v>
      </c>
      <c r="G6" s="360">
        <v>18.018294709330263</v>
      </c>
      <c r="H6" s="360">
        <v>40.437488352066431</v>
      </c>
      <c r="I6" s="360">
        <v>26.552693606662483</v>
      </c>
      <c r="J6" s="360">
        <v>15.10217705997359</v>
      </c>
      <c r="K6" s="360">
        <v>38.798455628103234</v>
      </c>
      <c r="L6" s="360">
        <v>50.30000247290355</v>
      </c>
      <c r="M6" s="360">
        <v>21.11824423516606</v>
      </c>
      <c r="N6" s="360">
        <v>13.372847462421767</v>
      </c>
      <c r="O6" s="47"/>
      <c r="P6" s="361">
        <v>24.06</v>
      </c>
      <c r="Q6" s="361">
        <v>49.52</v>
      </c>
      <c r="R6" s="361">
        <v>19.010000000000002</v>
      </c>
      <c r="S6" s="361">
        <v>17.68</v>
      </c>
      <c r="T6" s="361">
        <v>41.68</v>
      </c>
      <c r="U6" s="361">
        <v>26.54</v>
      </c>
      <c r="V6" s="361">
        <v>14.5</v>
      </c>
      <c r="W6" s="361">
        <v>40.33</v>
      </c>
      <c r="X6" s="361">
        <v>51.84</v>
      </c>
      <c r="Y6" s="361">
        <v>20.75</v>
      </c>
      <c r="Z6" s="361">
        <v>12.06</v>
      </c>
      <c r="AB6" s="362">
        <f t="shared" si="1"/>
        <v>0.41984560711424734</v>
      </c>
      <c r="AC6" s="362">
        <f t="shared" si="1"/>
        <v>-1.3575334397170522</v>
      </c>
      <c r="AD6" s="362">
        <f t="shared" si="0"/>
        <v>0.55717508424155682</v>
      </c>
      <c r="AE6" s="362">
        <f t="shared" si="0"/>
        <v>0.33829470933026329</v>
      </c>
      <c r="AF6" s="362">
        <f t="shared" si="0"/>
        <v>-1.2425116479335685</v>
      </c>
      <c r="AG6" s="362">
        <f t="shared" si="0"/>
        <v>1.2693606662484314E-2</v>
      </c>
      <c r="AH6" s="362">
        <f t="shared" si="0"/>
        <v>0.60217705997358983</v>
      </c>
      <c r="AI6" s="362">
        <f t="shared" si="0"/>
        <v>-1.5315443718967643</v>
      </c>
      <c r="AJ6" s="362">
        <f t="shared" si="0"/>
        <v>-1.5399975270964532</v>
      </c>
      <c r="AK6" s="362">
        <f t="shared" si="0"/>
        <v>0.36824423516605975</v>
      </c>
      <c r="AL6" s="362">
        <f t="shared" si="0"/>
        <v>1.3128474624217663</v>
      </c>
    </row>
    <row r="7" spans="1:38">
      <c r="A7" s="358" t="s">
        <v>127</v>
      </c>
      <c r="B7" s="359">
        <v>56</v>
      </c>
      <c r="C7" s="247"/>
      <c r="D7" s="360">
        <v>17.368863643253853</v>
      </c>
      <c r="E7" s="360">
        <v>36.042403477390536</v>
      </c>
      <c r="F7" s="360">
        <v>27.924759519134533</v>
      </c>
      <c r="G7" s="360">
        <v>27.701524617366488</v>
      </c>
      <c r="H7" s="360">
        <v>19.218640956198328</v>
      </c>
      <c r="I7" s="360">
        <v>18.452267428590808</v>
      </c>
      <c r="J7" s="360">
        <v>18.903883472686715</v>
      </c>
      <c r="K7" s="360">
        <v>29.390727154337313</v>
      </c>
      <c r="L7" s="360">
        <v>34.539641936821667</v>
      </c>
      <c r="M7" s="360">
        <v>15.833843813821005</v>
      </c>
      <c r="N7" s="360">
        <v>14.29882398438815</v>
      </c>
      <c r="O7" s="47"/>
      <c r="P7" s="361">
        <v>17.440000000000001</v>
      </c>
      <c r="Q7" s="361">
        <v>36.61</v>
      </c>
      <c r="R7" s="361">
        <v>28.31</v>
      </c>
      <c r="S7" s="361">
        <v>28.37</v>
      </c>
      <c r="T7" s="361">
        <v>19.71</v>
      </c>
      <c r="U7" s="361">
        <v>18.62</v>
      </c>
      <c r="V7" s="361">
        <v>19.18</v>
      </c>
      <c r="W7" s="361">
        <v>29.87</v>
      </c>
      <c r="X7" s="361">
        <v>35.69</v>
      </c>
      <c r="Y7" s="361">
        <v>15.27</v>
      </c>
      <c r="Z7" s="361">
        <v>15.17</v>
      </c>
      <c r="AB7" s="362">
        <f t="shared" si="1"/>
        <v>-7.1136356746148266E-2</v>
      </c>
      <c r="AC7" s="362">
        <f t="shared" si="1"/>
        <v>-0.56759652260946325</v>
      </c>
      <c r="AD7" s="362">
        <f t="shared" si="0"/>
        <v>-0.38524048086546614</v>
      </c>
      <c r="AE7" s="362">
        <f t="shared" si="0"/>
        <v>-0.66847538263351325</v>
      </c>
      <c r="AF7" s="362">
        <f t="shared" si="0"/>
        <v>-0.49135904380167261</v>
      </c>
      <c r="AG7" s="362">
        <f t="shared" si="0"/>
        <v>-0.16773257140919284</v>
      </c>
      <c r="AH7" s="362">
        <f t="shared" si="0"/>
        <v>-0.27611652731328462</v>
      </c>
      <c r="AI7" s="362">
        <f t="shared" si="0"/>
        <v>-0.47927284566268824</v>
      </c>
      <c r="AJ7" s="362">
        <f t="shared" si="0"/>
        <v>-1.1503580631783308</v>
      </c>
      <c r="AK7" s="362">
        <f t="shared" si="0"/>
        <v>0.56384381382100557</v>
      </c>
      <c r="AL7" s="362">
        <f t="shared" si="0"/>
        <v>-0.87117601561184976</v>
      </c>
    </row>
    <row r="8" spans="1:38">
      <c r="A8" s="358" t="s">
        <v>121</v>
      </c>
      <c r="B8" s="359">
        <v>64</v>
      </c>
      <c r="C8" s="247"/>
      <c r="D8" s="360">
        <v>25</v>
      </c>
      <c r="E8" s="360">
        <v>80</v>
      </c>
      <c r="F8" s="360">
        <v>12</v>
      </c>
      <c r="G8" s="360">
        <v>15</v>
      </c>
      <c r="H8" s="360">
        <v>31</v>
      </c>
      <c r="I8" s="360">
        <v>14</v>
      </c>
      <c r="J8" s="360">
        <v>15</v>
      </c>
      <c r="K8" s="360">
        <v>21.5</v>
      </c>
      <c r="L8" s="360">
        <v>19</v>
      </c>
      <c r="M8" s="360">
        <v>53</v>
      </c>
      <c r="N8" s="360">
        <v>17.5</v>
      </c>
      <c r="O8" s="47"/>
      <c r="P8" s="361">
        <v>29.64</v>
      </c>
      <c r="Q8" s="361">
        <v>82.95</v>
      </c>
      <c r="R8" s="361">
        <v>16.89</v>
      </c>
      <c r="S8" s="361">
        <v>18.29</v>
      </c>
      <c r="T8" s="361">
        <v>35.86</v>
      </c>
      <c r="U8" s="361">
        <v>17.7</v>
      </c>
      <c r="V8" s="361">
        <v>19.190000000000001</v>
      </c>
      <c r="W8" s="361">
        <v>26.28</v>
      </c>
      <c r="X8" s="361">
        <v>23.16</v>
      </c>
      <c r="Y8" s="361">
        <v>58.77</v>
      </c>
      <c r="Z8" s="361">
        <v>21.23</v>
      </c>
      <c r="AB8" s="362">
        <f t="shared" si="1"/>
        <v>-4.6400000000000006</v>
      </c>
      <c r="AC8" s="362">
        <f t="shared" si="1"/>
        <v>-2.9500000000000028</v>
      </c>
      <c r="AD8" s="362">
        <f t="shared" si="0"/>
        <v>-4.8900000000000006</v>
      </c>
      <c r="AE8" s="362">
        <f t="shared" si="0"/>
        <v>-3.2899999999999991</v>
      </c>
      <c r="AF8" s="362">
        <f t="shared" si="0"/>
        <v>-4.8599999999999994</v>
      </c>
      <c r="AG8" s="362">
        <f t="shared" si="0"/>
        <v>-3.6999999999999993</v>
      </c>
      <c r="AH8" s="362">
        <f t="shared" si="0"/>
        <v>-4.1900000000000013</v>
      </c>
      <c r="AI8" s="362">
        <f t="shared" si="0"/>
        <v>-4.7800000000000011</v>
      </c>
      <c r="AJ8" s="362">
        <f t="shared" si="0"/>
        <v>-4.16</v>
      </c>
      <c r="AK8" s="362">
        <f t="shared" si="0"/>
        <v>-5.7700000000000031</v>
      </c>
      <c r="AL8" s="362">
        <f t="shared" si="0"/>
        <v>-3.7300000000000004</v>
      </c>
    </row>
    <row r="9" spans="1:38">
      <c r="A9" s="358" t="s">
        <v>309</v>
      </c>
      <c r="B9" s="359">
        <v>51</v>
      </c>
      <c r="C9" s="247"/>
      <c r="D9" s="360">
        <v>20.6</v>
      </c>
      <c r="E9" s="360">
        <v>57.51</v>
      </c>
      <c r="F9" s="360">
        <v>19.98</v>
      </c>
      <c r="G9" s="360">
        <v>21.81</v>
      </c>
      <c r="H9" s="360">
        <v>18.45</v>
      </c>
      <c r="I9" s="360">
        <v>23.86</v>
      </c>
      <c r="J9" s="360">
        <v>17.28</v>
      </c>
      <c r="K9" s="360">
        <v>26.63</v>
      </c>
      <c r="L9" s="360">
        <v>46.2</v>
      </c>
      <c r="M9" s="360">
        <v>18.920000000000002</v>
      </c>
      <c r="N9" s="360">
        <v>14.28</v>
      </c>
      <c r="O9" s="47"/>
      <c r="P9" s="361">
        <v>20.6</v>
      </c>
      <c r="Q9" s="361">
        <v>57.51</v>
      </c>
      <c r="R9" s="361">
        <v>19.98</v>
      </c>
      <c r="S9" s="361">
        <v>21.81</v>
      </c>
      <c r="T9" s="361">
        <v>18.45</v>
      </c>
      <c r="U9" s="361">
        <v>23.86</v>
      </c>
      <c r="V9" s="361">
        <v>17.28</v>
      </c>
      <c r="W9" s="361">
        <v>26.63</v>
      </c>
      <c r="X9" s="361">
        <v>46.2</v>
      </c>
      <c r="Y9" s="361">
        <v>18.920000000000002</v>
      </c>
      <c r="Z9" s="361">
        <v>14.28</v>
      </c>
      <c r="AB9" s="362">
        <f t="shared" si="1"/>
        <v>0</v>
      </c>
      <c r="AC9" s="362">
        <f t="shared" si="1"/>
        <v>0</v>
      </c>
      <c r="AD9" s="362">
        <f t="shared" si="0"/>
        <v>0</v>
      </c>
      <c r="AE9" s="362">
        <f t="shared" si="0"/>
        <v>0</v>
      </c>
      <c r="AF9" s="362">
        <f t="shared" si="0"/>
        <v>0</v>
      </c>
      <c r="AG9" s="362">
        <f t="shared" si="0"/>
        <v>0</v>
      </c>
      <c r="AH9" s="362">
        <f t="shared" si="0"/>
        <v>0</v>
      </c>
      <c r="AI9" s="362">
        <f t="shared" si="0"/>
        <v>0</v>
      </c>
      <c r="AJ9" s="362">
        <f t="shared" si="0"/>
        <v>0</v>
      </c>
      <c r="AK9" s="362">
        <f t="shared" si="0"/>
        <v>0</v>
      </c>
      <c r="AL9" s="362">
        <f t="shared" si="0"/>
        <v>0</v>
      </c>
    </row>
    <row r="10" spans="1:38">
      <c r="A10" s="358" t="s">
        <v>120</v>
      </c>
      <c r="B10" s="359">
        <v>65</v>
      </c>
      <c r="C10" s="247"/>
      <c r="D10" s="360">
        <v>26.264023544667047</v>
      </c>
      <c r="E10" s="360">
        <v>60.712349781201468</v>
      </c>
      <c r="F10" s="360">
        <v>45.292079533234855</v>
      </c>
      <c r="G10" s="360">
        <v>54.058288475151279</v>
      </c>
      <c r="H10" s="360">
        <v>33</v>
      </c>
      <c r="I10" s="360">
        <v>27.79</v>
      </c>
      <c r="J10" s="360">
        <v>22.767131167950552</v>
      </c>
      <c r="K10" s="360">
        <v>36.427409868720879</v>
      </c>
      <c r="L10" s="360">
        <v>54.37</v>
      </c>
      <c r="M10" s="360">
        <v>43.02</v>
      </c>
      <c r="N10" s="360">
        <v>20.454487531138323</v>
      </c>
      <c r="O10" s="47"/>
      <c r="P10" s="361">
        <v>26.34</v>
      </c>
      <c r="Q10" s="361">
        <v>56.33</v>
      </c>
      <c r="R10" s="361">
        <v>42.82</v>
      </c>
      <c r="S10" s="361">
        <v>50.24</v>
      </c>
      <c r="T10" s="361">
        <v>32.36</v>
      </c>
      <c r="U10" s="361">
        <v>23.23</v>
      </c>
      <c r="V10" s="361">
        <v>22.65</v>
      </c>
      <c r="W10" s="361">
        <v>34.65</v>
      </c>
      <c r="X10" s="361">
        <v>51.35</v>
      </c>
      <c r="Y10" s="361">
        <v>40.25</v>
      </c>
      <c r="Z10" s="361">
        <v>19.98</v>
      </c>
      <c r="AB10" s="362">
        <f t="shared" si="1"/>
        <v>-7.5976455332952497E-2</v>
      </c>
      <c r="AC10" s="362">
        <f t="shared" si="1"/>
        <v>4.3823497812014693</v>
      </c>
      <c r="AD10" s="362">
        <f t="shared" si="0"/>
        <v>2.4720795332348544</v>
      </c>
      <c r="AE10" s="362">
        <f t="shared" si="0"/>
        <v>3.8182884751512773</v>
      </c>
      <c r="AF10" s="362">
        <f t="shared" si="0"/>
        <v>0.64000000000000057</v>
      </c>
      <c r="AG10" s="362">
        <f t="shared" si="0"/>
        <v>4.5599999999999987</v>
      </c>
      <c r="AH10" s="362">
        <f t="shared" si="0"/>
        <v>0.11713116795055356</v>
      </c>
      <c r="AI10" s="362">
        <f t="shared" si="0"/>
        <v>1.7774098687208806</v>
      </c>
      <c r="AJ10" s="362">
        <f t="shared" si="0"/>
        <v>3.019999999999996</v>
      </c>
      <c r="AK10" s="362">
        <f t="shared" si="0"/>
        <v>2.7700000000000031</v>
      </c>
      <c r="AL10" s="362">
        <f t="shared" si="0"/>
        <v>0.47448753113832254</v>
      </c>
    </row>
    <row r="11" spans="1:38">
      <c r="A11" s="358" t="s">
        <v>119</v>
      </c>
      <c r="B11" s="359">
        <v>75</v>
      </c>
      <c r="C11" s="247"/>
      <c r="D11" s="360">
        <v>10.62</v>
      </c>
      <c r="E11" s="360">
        <v>31.6890737358124</v>
      </c>
      <c r="F11" s="360">
        <v>20.0939392570466</v>
      </c>
      <c r="G11" s="360">
        <v>24.8523134792012</v>
      </c>
      <c r="H11" s="360">
        <v>27.812260073824799</v>
      </c>
      <c r="I11" s="360">
        <v>15.596959690977201</v>
      </c>
      <c r="J11" s="360">
        <v>12.1010562583447</v>
      </c>
      <c r="K11" s="360">
        <v>21.253183534672502</v>
      </c>
      <c r="L11" s="360">
        <v>38.538664124981103</v>
      </c>
      <c r="M11" s="360">
        <v>37.952202668722599</v>
      </c>
      <c r="N11" s="360">
        <v>19.7541793907262</v>
      </c>
      <c r="O11" s="47"/>
      <c r="P11" s="361">
        <v>11.23</v>
      </c>
      <c r="Q11" s="361">
        <v>31.31</v>
      </c>
      <c r="R11" s="361">
        <v>19.87</v>
      </c>
      <c r="S11" s="361">
        <v>24.59</v>
      </c>
      <c r="T11" s="361">
        <v>27.84</v>
      </c>
      <c r="U11" s="361">
        <v>15.26</v>
      </c>
      <c r="V11" s="361">
        <v>12.63</v>
      </c>
      <c r="W11" s="361">
        <v>21.21</v>
      </c>
      <c r="X11" s="361">
        <v>38.03</v>
      </c>
      <c r="Y11" s="361">
        <v>38.17</v>
      </c>
      <c r="Z11" s="361">
        <v>19.27</v>
      </c>
      <c r="AB11" s="362">
        <f t="shared" si="1"/>
        <v>-0.61000000000000121</v>
      </c>
      <c r="AC11" s="362">
        <f t="shared" si="1"/>
        <v>0.37907373581240122</v>
      </c>
      <c r="AD11" s="362">
        <f t="shared" si="0"/>
        <v>0.22393925704659878</v>
      </c>
      <c r="AE11" s="362">
        <f t="shared" si="0"/>
        <v>0.26231347920120029</v>
      </c>
      <c r="AF11" s="362">
        <f t="shared" si="0"/>
        <v>-2.7739926175200935E-2</v>
      </c>
      <c r="AG11" s="362">
        <f t="shared" si="0"/>
        <v>0.33695969097720102</v>
      </c>
      <c r="AH11" s="362">
        <f t="shared" si="0"/>
        <v>-0.52894374165530067</v>
      </c>
      <c r="AI11" s="362">
        <f t="shared" si="0"/>
        <v>4.3183534672500912E-2</v>
      </c>
      <c r="AJ11" s="362">
        <f t="shared" si="0"/>
        <v>0.50866412498110236</v>
      </c>
      <c r="AK11" s="362">
        <f t="shared" si="0"/>
        <v>-0.21779733127740286</v>
      </c>
      <c r="AL11" s="362">
        <f t="shared" si="0"/>
        <v>0.48417939072620086</v>
      </c>
    </row>
    <row r="12" spans="1:38">
      <c r="A12" s="358" t="s">
        <v>118</v>
      </c>
      <c r="B12" s="359">
        <v>55</v>
      </c>
      <c r="C12" s="247"/>
      <c r="D12" s="360">
        <v>19.611695574345301</v>
      </c>
      <c r="E12" s="360">
        <v>40.425911032995572</v>
      </c>
      <c r="F12" s="360">
        <v>25.988085664068578</v>
      </c>
      <c r="G12" s="360">
        <v>31.925661491259</v>
      </c>
      <c r="H12" s="360">
        <v>20.410960735081201</v>
      </c>
      <c r="I12" s="360">
        <v>18.8264650525741</v>
      </c>
      <c r="J12" s="360">
        <v>21.554813251697698</v>
      </c>
      <c r="K12" s="360">
        <v>33.206998348532068</v>
      </c>
      <c r="L12" s="360">
        <v>46.714902190352099</v>
      </c>
      <c r="M12" s="360">
        <v>20.317933416499301</v>
      </c>
      <c r="N12" s="360">
        <v>17.325390442712383</v>
      </c>
      <c r="O12" s="47"/>
      <c r="P12" s="361">
        <v>19.54</v>
      </c>
      <c r="Q12" s="361">
        <v>38.86</v>
      </c>
      <c r="R12" s="361">
        <v>25.23</v>
      </c>
      <c r="S12" s="361">
        <v>30.88</v>
      </c>
      <c r="T12" s="361">
        <v>20.55</v>
      </c>
      <c r="U12" s="361">
        <v>18.98</v>
      </c>
      <c r="V12" s="361">
        <v>21.96</v>
      </c>
      <c r="W12" s="361">
        <v>32.39</v>
      </c>
      <c r="X12" s="361">
        <v>44.36</v>
      </c>
      <c r="Y12" s="361">
        <v>20.66</v>
      </c>
      <c r="Z12" s="361">
        <v>17.34</v>
      </c>
      <c r="AB12" s="362">
        <f t="shared" si="1"/>
        <v>7.1695574345302049E-2</v>
      </c>
      <c r="AC12" s="362">
        <f t="shared" si="1"/>
        <v>1.5659110329955723</v>
      </c>
      <c r="AD12" s="362">
        <f t="shared" si="0"/>
        <v>0.75808566406857736</v>
      </c>
      <c r="AE12" s="362">
        <f t="shared" si="0"/>
        <v>1.0456614912590005</v>
      </c>
      <c r="AF12" s="362">
        <f t="shared" si="0"/>
        <v>-0.13903926491880014</v>
      </c>
      <c r="AG12" s="362">
        <f t="shared" si="0"/>
        <v>-0.15353494742590001</v>
      </c>
      <c r="AH12" s="362">
        <f t="shared" si="0"/>
        <v>-0.40518674830230239</v>
      </c>
      <c r="AI12" s="362">
        <f t="shared" si="0"/>
        <v>0.8169983485320671</v>
      </c>
      <c r="AJ12" s="362">
        <f t="shared" si="0"/>
        <v>2.3549021903520995</v>
      </c>
      <c r="AK12" s="362">
        <f t="shared" si="0"/>
        <v>-0.34206658350069929</v>
      </c>
      <c r="AL12" s="362">
        <f t="shared" si="0"/>
        <v>-1.4609557287617037E-2</v>
      </c>
    </row>
    <row r="13" spans="1:38">
      <c r="A13" s="358" t="s">
        <v>117</v>
      </c>
      <c r="B13" s="359">
        <v>42</v>
      </c>
      <c r="C13" s="247"/>
      <c r="D13" s="360">
        <v>40.702661682927364</v>
      </c>
      <c r="E13" s="360">
        <v>21.42245351733019</v>
      </c>
      <c r="F13" s="360">
        <v>19.280208165597173</v>
      </c>
      <c r="G13" s="360">
        <v>19.512610408000992</v>
      </c>
      <c r="H13" s="360">
        <v>40.799094489456621</v>
      </c>
      <c r="I13" s="360">
        <v>32.133680275995289</v>
      </c>
      <c r="J13" s="360">
        <v>14.382927042651886</v>
      </c>
      <c r="K13" s="360">
        <v>36.418170979461323</v>
      </c>
      <c r="L13" s="360">
        <v>30.155852448728808</v>
      </c>
      <c r="M13" s="360">
        <v>39.438568593766313</v>
      </c>
      <c r="N13" s="360">
        <v>12.417115714182449</v>
      </c>
      <c r="O13" s="47"/>
      <c r="P13" s="361">
        <v>38.56</v>
      </c>
      <c r="Q13" s="361">
        <v>21.32</v>
      </c>
      <c r="R13" s="361">
        <v>19.579999999999998</v>
      </c>
      <c r="S13" s="361">
        <v>18.670000000000002</v>
      </c>
      <c r="T13" s="361">
        <v>43.39</v>
      </c>
      <c r="U13" s="361">
        <v>31.77</v>
      </c>
      <c r="V13" s="361">
        <v>13.82</v>
      </c>
      <c r="W13" s="361">
        <v>35.36</v>
      </c>
      <c r="X13" s="361">
        <v>30.61</v>
      </c>
      <c r="Y13" s="361">
        <v>42.35</v>
      </c>
      <c r="Z13" s="361">
        <v>11.94</v>
      </c>
      <c r="AB13" s="362">
        <f t="shared" si="1"/>
        <v>2.1426616829273613</v>
      </c>
      <c r="AC13" s="362">
        <f t="shared" si="1"/>
        <v>0.10245351733018992</v>
      </c>
      <c r="AD13" s="362">
        <f t="shared" si="0"/>
        <v>-0.29979183440282497</v>
      </c>
      <c r="AE13" s="362">
        <f t="shared" si="0"/>
        <v>0.84261040800098996</v>
      </c>
      <c r="AF13" s="362">
        <f t="shared" si="0"/>
        <v>-2.5909055105433794</v>
      </c>
      <c r="AG13" s="362">
        <f t="shared" si="0"/>
        <v>0.36368027599528929</v>
      </c>
      <c r="AH13" s="362">
        <f t="shared" si="0"/>
        <v>0.56292704265188576</v>
      </c>
      <c r="AI13" s="362">
        <f t="shared" si="0"/>
        <v>1.0581709794613232</v>
      </c>
      <c r="AJ13" s="362">
        <f t="shared" si="0"/>
        <v>-0.45414755127119122</v>
      </c>
      <c r="AK13" s="362">
        <f t="shared" si="0"/>
        <v>-2.9114314062336888</v>
      </c>
      <c r="AL13" s="362">
        <f t="shared" si="0"/>
        <v>0.47711571418244958</v>
      </c>
    </row>
    <row r="14" spans="1:38">
      <c r="A14" s="358" t="s">
        <v>116</v>
      </c>
      <c r="B14" s="359">
        <v>57</v>
      </c>
      <c r="C14" s="247"/>
      <c r="D14" s="360">
        <v>26.054636488451699</v>
      </c>
      <c r="E14" s="360">
        <v>44.460154271528801</v>
      </c>
      <c r="F14" s="360">
        <v>28.619293634783599</v>
      </c>
      <c r="G14" s="360">
        <v>23.264519326194701</v>
      </c>
      <c r="H14" s="360">
        <v>27.821972244177701</v>
      </c>
      <c r="I14" s="360">
        <v>26.220975638163601</v>
      </c>
      <c r="J14" s="360">
        <v>24.804775036181599</v>
      </c>
      <c r="K14" s="360">
        <v>30.574747183473399</v>
      </c>
      <c r="L14" s="360">
        <v>34.735189224045001</v>
      </c>
      <c r="M14" s="360">
        <v>27.708166134561399</v>
      </c>
      <c r="N14" s="360">
        <v>19.871484784518</v>
      </c>
      <c r="O14" s="47"/>
      <c r="P14" s="361">
        <v>26.35</v>
      </c>
      <c r="Q14" s="361">
        <v>44.57</v>
      </c>
      <c r="R14" s="361">
        <v>28.76</v>
      </c>
      <c r="S14" s="361">
        <v>23.72</v>
      </c>
      <c r="T14" s="361">
        <v>28.54</v>
      </c>
      <c r="U14" s="361">
        <v>27.06</v>
      </c>
      <c r="V14" s="361">
        <v>25.52</v>
      </c>
      <c r="W14" s="361">
        <v>31.26</v>
      </c>
      <c r="X14" s="361">
        <v>35.520000000000003</v>
      </c>
      <c r="Y14" s="361">
        <v>28.32</v>
      </c>
      <c r="Z14" s="361">
        <v>20.39</v>
      </c>
      <c r="AB14" s="362">
        <f t="shared" si="1"/>
        <v>-0.29536351154830243</v>
      </c>
      <c r="AC14" s="362">
        <f t="shared" si="1"/>
        <v>-0.10984572847119978</v>
      </c>
      <c r="AD14" s="362">
        <f t="shared" si="0"/>
        <v>-0.14070636521640267</v>
      </c>
      <c r="AE14" s="362">
        <f t="shared" si="0"/>
        <v>-0.45548067380529744</v>
      </c>
      <c r="AF14" s="362">
        <f t="shared" si="0"/>
        <v>-0.71802775582229827</v>
      </c>
      <c r="AG14" s="362">
        <f t="shared" si="0"/>
        <v>-0.8390243618363975</v>
      </c>
      <c r="AH14" s="362">
        <f t="shared" si="0"/>
        <v>-0.71522496381840028</v>
      </c>
      <c r="AI14" s="362">
        <f t="shared" si="0"/>
        <v>-0.68525281652660297</v>
      </c>
      <c r="AJ14" s="362">
        <f t="shared" si="0"/>
        <v>-0.78481077595500182</v>
      </c>
      <c r="AK14" s="362">
        <f t="shared" si="0"/>
        <v>-0.61183386543860152</v>
      </c>
      <c r="AL14" s="362">
        <f t="shared" si="0"/>
        <v>-0.51851521548200097</v>
      </c>
    </row>
    <row r="15" spans="1:38">
      <c r="A15" s="358" t="s">
        <v>115</v>
      </c>
      <c r="B15" s="359">
        <v>80</v>
      </c>
      <c r="C15" s="247"/>
      <c r="D15" s="360">
        <v>29.47</v>
      </c>
      <c r="E15" s="360">
        <v>66.332423905242081</v>
      </c>
      <c r="F15" s="360">
        <v>29.687203977978054</v>
      </c>
      <c r="G15" s="360">
        <v>31.11</v>
      </c>
      <c r="H15" s="360">
        <v>39.582938637304075</v>
      </c>
      <c r="I15" s="360">
        <v>27.2</v>
      </c>
      <c r="J15" s="360">
        <v>21.226375649677465</v>
      </c>
      <c r="K15" s="360">
        <v>46.432696733669459</v>
      </c>
      <c r="L15" s="360">
        <v>59.2</v>
      </c>
      <c r="M15" s="360">
        <v>33.16621195262104</v>
      </c>
      <c r="N15" s="360">
        <v>26.532969562096831</v>
      </c>
      <c r="O15" s="47"/>
      <c r="P15" s="361">
        <v>27.74</v>
      </c>
      <c r="Q15" s="361">
        <v>60.35</v>
      </c>
      <c r="R15" s="361">
        <v>27.63</v>
      </c>
      <c r="S15" s="361">
        <v>30.11</v>
      </c>
      <c r="T15" s="361">
        <v>36.69</v>
      </c>
      <c r="U15" s="361">
        <v>25.61</v>
      </c>
      <c r="V15" s="361">
        <v>21.08</v>
      </c>
      <c r="W15" s="361">
        <v>43.33</v>
      </c>
      <c r="X15" s="361">
        <v>54.42</v>
      </c>
      <c r="Y15" s="361">
        <v>31.36</v>
      </c>
      <c r="Z15" s="361">
        <v>25.19</v>
      </c>
      <c r="AB15" s="362">
        <f t="shared" si="1"/>
        <v>1.7300000000000004</v>
      </c>
      <c r="AC15" s="362">
        <f t="shared" si="1"/>
        <v>5.9824239052420793</v>
      </c>
      <c r="AD15" s="362">
        <f t="shared" si="0"/>
        <v>2.0572039779780553</v>
      </c>
      <c r="AE15" s="362">
        <f t="shared" si="0"/>
        <v>1</v>
      </c>
      <c r="AF15" s="362">
        <f t="shared" si="0"/>
        <v>2.8929386373040771</v>
      </c>
      <c r="AG15" s="362">
        <f t="shared" si="0"/>
        <v>1.5899999999999999</v>
      </c>
      <c r="AH15" s="362">
        <f t="shared" si="0"/>
        <v>0.14637564967746641</v>
      </c>
      <c r="AI15" s="362">
        <f t="shared" si="0"/>
        <v>3.1026967336694611</v>
      </c>
      <c r="AJ15" s="362">
        <f t="shared" si="0"/>
        <v>4.7800000000000011</v>
      </c>
      <c r="AK15" s="362">
        <f t="shared" si="0"/>
        <v>1.806211952621041</v>
      </c>
      <c r="AL15" s="362">
        <f t="shared" si="0"/>
        <v>1.3429695620968296</v>
      </c>
    </row>
    <row r="16" spans="1:38">
      <c r="A16" s="358" t="s">
        <v>114</v>
      </c>
      <c r="B16" s="359">
        <v>72</v>
      </c>
      <c r="C16" s="247"/>
      <c r="D16" s="360">
        <v>30.171183103492499</v>
      </c>
      <c r="E16" s="360">
        <v>54.027647871417699</v>
      </c>
      <c r="F16" s="360">
        <v>23.375989041512199</v>
      </c>
      <c r="G16" s="360">
        <v>29.789154170952798</v>
      </c>
      <c r="H16" s="360">
        <v>21.375810992703801</v>
      </c>
      <c r="I16" s="360">
        <v>17.759369909278998</v>
      </c>
      <c r="J16" s="360">
        <v>25.1319857923048</v>
      </c>
      <c r="K16" s="360">
        <v>57.3083131495451</v>
      </c>
      <c r="L16" s="360">
        <v>72.586632339757301</v>
      </c>
      <c r="M16" s="360">
        <v>50.247935109700499</v>
      </c>
      <c r="N16" s="360">
        <v>19.900103455594898</v>
      </c>
      <c r="O16" s="47"/>
      <c r="P16" s="361">
        <v>30.5</v>
      </c>
      <c r="Q16" s="361">
        <v>53.57</v>
      </c>
      <c r="R16" s="361">
        <v>23.7</v>
      </c>
      <c r="S16" s="361">
        <v>29.8</v>
      </c>
      <c r="T16" s="361">
        <v>21.51</v>
      </c>
      <c r="U16" s="361">
        <v>18.41</v>
      </c>
      <c r="V16" s="361">
        <v>25.46</v>
      </c>
      <c r="W16" s="361">
        <v>56.63</v>
      </c>
      <c r="X16" s="361">
        <v>71.400000000000006</v>
      </c>
      <c r="Y16" s="361">
        <v>50.26</v>
      </c>
      <c r="Z16" s="361">
        <v>20.260000000000002</v>
      </c>
      <c r="AB16" s="362">
        <f t="shared" si="1"/>
        <v>-0.3288168965075009</v>
      </c>
      <c r="AC16" s="362">
        <f t="shared" si="1"/>
        <v>0.45764787141769858</v>
      </c>
      <c r="AD16" s="362">
        <f t="shared" si="0"/>
        <v>-0.32401095848780059</v>
      </c>
      <c r="AE16" s="362">
        <f t="shared" si="0"/>
        <v>-1.0845829047202216E-2</v>
      </c>
      <c r="AF16" s="362">
        <f t="shared" si="0"/>
        <v>-0.1341890072962002</v>
      </c>
      <c r="AG16" s="362">
        <f t="shared" si="0"/>
        <v>-0.65063009072100186</v>
      </c>
      <c r="AH16" s="362">
        <f t="shared" si="0"/>
        <v>-0.32801420769520107</v>
      </c>
      <c r="AI16" s="362">
        <f t="shared" si="0"/>
        <v>0.67831314954509736</v>
      </c>
      <c r="AJ16" s="362">
        <f t="shared" si="0"/>
        <v>1.1866323397572955</v>
      </c>
      <c r="AK16" s="362">
        <f t="shared" si="0"/>
        <v>-1.2064890299498643E-2</v>
      </c>
      <c r="AL16" s="362">
        <f t="shared" si="0"/>
        <v>-0.35989654440510321</v>
      </c>
    </row>
    <row r="17" spans="1:38">
      <c r="A17" s="358" t="s">
        <v>113</v>
      </c>
      <c r="B17" s="359">
        <v>70</v>
      </c>
      <c r="C17" s="247"/>
      <c r="D17" s="360">
        <v>21.3</v>
      </c>
      <c r="E17" s="360">
        <v>50.723999999999997</v>
      </c>
      <c r="F17" s="360">
        <v>29.44</v>
      </c>
      <c r="G17" s="360">
        <v>25.79</v>
      </c>
      <c r="H17" s="360">
        <v>26.98</v>
      </c>
      <c r="I17" s="360">
        <v>17.88</v>
      </c>
      <c r="J17" s="360">
        <v>14.23</v>
      </c>
      <c r="K17" s="360">
        <v>38.389000000000003</v>
      </c>
      <c r="L17" s="360">
        <v>44.11</v>
      </c>
      <c r="M17" s="360">
        <v>33.274000000000001</v>
      </c>
      <c r="N17" s="360">
        <v>13.962</v>
      </c>
      <c r="O17" s="47"/>
      <c r="P17" s="361">
        <v>22.18</v>
      </c>
      <c r="Q17" s="361">
        <v>50.82</v>
      </c>
      <c r="R17" s="361">
        <v>29.57</v>
      </c>
      <c r="S17" s="361">
        <v>24.94</v>
      </c>
      <c r="T17" s="361">
        <v>28.03</v>
      </c>
      <c r="U17" s="361">
        <v>19.579999999999998</v>
      </c>
      <c r="V17" s="361">
        <v>14.88</v>
      </c>
      <c r="W17" s="361">
        <v>37.58</v>
      </c>
      <c r="X17" s="361">
        <v>43.71</v>
      </c>
      <c r="Y17" s="361">
        <v>33.96</v>
      </c>
      <c r="Z17" s="361">
        <v>13.84</v>
      </c>
      <c r="AB17" s="362">
        <f t="shared" si="1"/>
        <v>-0.87999999999999901</v>
      </c>
      <c r="AC17" s="362">
        <f t="shared" si="1"/>
        <v>-9.6000000000003638E-2</v>
      </c>
      <c r="AD17" s="362">
        <f t="shared" si="0"/>
        <v>-0.12999999999999901</v>
      </c>
      <c r="AE17" s="362">
        <f t="shared" si="0"/>
        <v>0.84999999999999787</v>
      </c>
      <c r="AF17" s="362">
        <f t="shared" si="0"/>
        <v>-1.0500000000000007</v>
      </c>
      <c r="AG17" s="362">
        <f t="shared" si="0"/>
        <v>-1.6999999999999993</v>
      </c>
      <c r="AH17" s="362">
        <f t="shared" si="0"/>
        <v>-0.65000000000000036</v>
      </c>
      <c r="AI17" s="362">
        <f t="shared" si="0"/>
        <v>0.8090000000000046</v>
      </c>
      <c r="AJ17" s="362">
        <f t="shared" si="0"/>
        <v>0.39999999999999858</v>
      </c>
      <c r="AK17" s="362">
        <f t="shared" si="0"/>
        <v>-0.68599999999999994</v>
      </c>
      <c r="AL17" s="362">
        <f t="shared" si="0"/>
        <v>0.12199999999999989</v>
      </c>
    </row>
    <row r="18" spans="1:38">
      <c r="A18" s="358" t="s">
        <v>112</v>
      </c>
      <c r="B18" s="359">
        <v>79</v>
      </c>
      <c r="C18" s="247"/>
      <c r="D18" s="360">
        <v>28.037502488328773</v>
      </c>
      <c r="E18" s="360">
        <v>44.173421382048971</v>
      </c>
      <c r="F18" s="360">
        <v>28.024680562893138</v>
      </c>
      <c r="G18" s="360">
        <v>30.707130680226737</v>
      </c>
      <c r="H18" s="360">
        <v>23.379986692136168</v>
      </c>
      <c r="I18" s="360">
        <v>19.434204592081034</v>
      </c>
      <c r="J18" s="360">
        <v>22.464694642019126</v>
      </c>
      <c r="K18" s="360">
        <v>37.123596069669929</v>
      </c>
      <c r="L18" s="360">
        <v>47.489591285270272</v>
      </c>
      <c r="M18" s="360">
        <v>32.082424015058272</v>
      </c>
      <c r="N18" s="360">
        <v>22.495099457546285</v>
      </c>
      <c r="O18" s="47"/>
      <c r="P18" s="361">
        <v>28.04</v>
      </c>
      <c r="Q18" s="361">
        <v>44.72</v>
      </c>
      <c r="R18" s="361">
        <v>28.03</v>
      </c>
      <c r="S18" s="361">
        <v>31.01</v>
      </c>
      <c r="T18" s="361">
        <v>23.74</v>
      </c>
      <c r="U18" s="361">
        <v>19.57</v>
      </c>
      <c r="V18" s="361">
        <v>22.7</v>
      </c>
      <c r="W18" s="361">
        <v>36.520000000000003</v>
      </c>
      <c r="X18" s="361">
        <v>46.85</v>
      </c>
      <c r="Y18" s="361">
        <v>32.299999999999997</v>
      </c>
      <c r="Z18" s="361">
        <v>22.81</v>
      </c>
      <c r="AB18" s="362">
        <f t="shared" si="1"/>
        <v>-2.4975116712262491E-3</v>
      </c>
      <c r="AC18" s="362">
        <f t="shared" si="1"/>
        <v>-0.54657861795102747</v>
      </c>
      <c r="AD18" s="362">
        <f t="shared" si="0"/>
        <v>-5.3194371068627788E-3</v>
      </c>
      <c r="AE18" s="362">
        <f t="shared" si="0"/>
        <v>-0.30286931977326503</v>
      </c>
      <c r="AF18" s="362">
        <f t="shared" si="0"/>
        <v>-0.36001330786383079</v>
      </c>
      <c r="AG18" s="362">
        <f t="shared" si="0"/>
        <v>-0.13579540791896605</v>
      </c>
      <c r="AH18" s="362">
        <f t="shared" si="0"/>
        <v>-0.23530535798087371</v>
      </c>
      <c r="AI18" s="362">
        <f t="shared" si="0"/>
        <v>0.60359606966992629</v>
      </c>
      <c r="AJ18" s="362">
        <f t="shared" si="0"/>
        <v>0.63959128527027076</v>
      </c>
      <c r="AK18" s="362">
        <f t="shared" si="0"/>
        <v>-0.2175759849417247</v>
      </c>
      <c r="AL18" s="362">
        <f t="shared" si="0"/>
        <v>-0.31490054245371368</v>
      </c>
    </row>
    <row r="19" spans="1:38">
      <c r="A19" s="358" t="s">
        <v>111</v>
      </c>
      <c r="B19" s="359">
        <v>67</v>
      </c>
      <c r="C19" s="247"/>
      <c r="D19" s="360">
        <v>31.95</v>
      </c>
      <c r="E19" s="360">
        <v>36.47</v>
      </c>
      <c r="F19" s="360">
        <v>19.3</v>
      </c>
      <c r="G19" s="360">
        <v>23.23</v>
      </c>
      <c r="H19" s="360">
        <v>24.79</v>
      </c>
      <c r="I19" s="360">
        <v>23.61</v>
      </c>
      <c r="J19" s="360">
        <v>32.119999999999997</v>
      </c>
      <c r="K19" s="360">
        <v>27.82</v>
      </c>
      <c r="L19" s="360">
        <v>52.78</v>
      </c>
      <c r="M19" s="360">
        <v>22.55</v>
      </c>
      <c r="N19" s="360">
        <v>19.97</v>
      </c>
      <c r="O19" s="47"/>
      <c r="P19" s="361">
        <v>31.62</v>
      </c>
      <c r="Q19" s="361">
        <v>36.67</v>
      </c>
      <c r="R19" s="361">
        <v>20.21</v>
      </c>
      <c r="S19" s="361">
        <v>23.61</v>
      </c>
      <c r="T19" s="361">
        <v>23.73</v>
      </c>
      <c r="U19" s="361">
        <v>22.88</v>
      </c>
      <c r="V19" s="361">
        <v>31.2</v>
      </c>
      <c r="W19" s="361">
        <v>27.72</v>
      </c>
      <c r="X19" s="361">
        <v>52.08</v>
      </c>
      <c r="Y19" s="361">
        <v>21.95</v>
      </c>
      <c r="Z19" s="361">
        <v>20.2</v>
      </c>
      <c r="AB19" s="362">
        <f t="shared" si="1"/>
        <v>0.32999999999999829</v>
      </c>
      <c r="AC19" s="362">
        <f t="shared" si="1"/>
        <v>-0.20000000000000284</v>
      </c>
      <c r="AD19" s="362">
        <f t="shared" si="1"/>
        <v>-0.91000000000000014</v>
      </c>
      <c r="AE19" s="362">
        <f t="shared" si="1"/>
        <v>-0.37999999999999901</v>
      </c>
      <c r="AF19" s="362">
        <f t="shared" si="1"/>
        <v>1.0599999999999987</v>
      </c>
      <c r="AG19" s="362">
        <f t="shared" si="1"/>
        <v>0.73000000000000043</v>
      </c>
      <c r="AH19" s="362">
        <f t="shared" si="1"/>
        <v>0.91999999999999815</v>
      </c>
      <c r="AI19" s="362">
        <f t="shared" si="1"/>
        <v>0.10000000000000142</v>
      </c>
      <c r="AJ19" s="362">
        <f t="shared" si="1"/>
        <v>0.70000000000000284</v>
      </c>
      <c r="AK19" s="362">
        <f t="shared" si="1"/>
        <v>0.60000000000000142</v>
      </c>
      <c r="AL19" s="362">
        <f t="shared" si="1"/>
        <v>-0.23000000000000043</v>
      </c>
    </row>
    <row r="20" spans="1:38">
      <c r="A20" s="358" t="s">
        <v>310</v>
      </c>
      <c r="B20" s="359">
        <v>74</v>
      </c>
      <c r="C20" s="247"/>
      <c r="D20" s="360">
        <v>30.62</v>
      </c>
      <c r="E20" s="360">
        <v>32.49</v>
      </c>
      <c r="F20" s="360">
        <v>21.91</v>
      </c>
      <c r="G20" s="360">
        <v>20.54</v>
      </c>
      <c r="H20" s="360">
        <v>22.98</v>
      </c>
      <c r="I20" s="360">
        <v>29.01</v>
      </c>
      <c r="J20" s="360">
        <v>26.17</v>
      </c>
      <c r="K20" s="360">
        <v>36.01</v>
      </c>
      <c r="L20" s="360">
        <v>20.85</v>
      </c>
      <c r="M20" s="360">
        <v>41.46</v>
      </c>
      <c r="N20" s="360">
        <v>17.98</v>
      </c>
      <c r="O20" s="47"/>
      <c r="P20" s="361">
        <v>30.62</v>
      </c>
      <c r="Q20" s="361">
        <v>32.49</v>
      </c>
      <c r="R20" s="361">
        <v>21.91</v>
      </c>
      <c r="S20" s="361">
        <v>20.54</v>
      </c>
      <c r="T20" s="361">
        <v>22.98</v>
      </c>
      <c r="U20" s="361">
        <v>29.01</v>
      </c>
      <c r="V20" s="361">
        <v>26.17</v>
      </c>
      <c r="W20" s="361">
        <v>36.01</v>
      </c>
      <c r="X20" s="361">
        <v>20.85</v>
      </c>
      <c r="Y20" s="361">
        <v>41.46</v>
      </c>
      <c r="Z20" s="361">
        <v>17.98</v>
      </c>
      <c r="AB20" s="362">
        <f t="shared" si="1"/>
        <v>0</v>
      </c>
      <c r="AC20" s="362">
        <f t="shared" si="1"/>
        <v>0</v>
      </c>
      <c r="AD20" s="362">
        <f t="shared" si="1"/>
        <v>0</v>
      </c>
      <c r="AE20" s="362">
        <f t="shared" si="1"/>
        <v>0</v>
      </c>
      <c r="AF20" s="362">
        <f t="shared" si="1"/>
        <v>0</v>
      </c>
      <c r="AG20" s="362">
        <f t="shared" si="1"/>
        <v>0</v>
      </c>
      <c r="AH20" s="362">
        <f t="shared" si="1"/>
        <v>0</v>
      </c>
      <c r="AI20" s="362">
        <f t="shared" si="1"/>
        <v>0</v>
      </c>
      <c r="AJ20" s="362">
        <f t="shared" si="1"/>
        <v>0</v>
      </c>
      <c r="AK20" s="362">
        <f t="shared" si="1"/>
        <v>0</v>
      </c>
      <c r="AL20" s="362">
        <f t="shared" si="1"/>
        <v>0</v>
      </c>
    </row>
    <row r="21" spans="1:38">
      <c r="A21" s="358" t="s">
        <v>110</v>
      </c>
      <c r="B21" s="359">
        <v>67</v>
      </c>
      <c r="C21" s="247"/>
      <c r="D21" s="360">
        <v>29.603237272665471</v>
      </c>
      <c r="E21" s="360">
        <v>64.477369827531277</v>
      </c>
      <c r="F21" s="360">
        <v>20.457444309591768</v>
      </c>
      <c r="G21" s="360">
        <v>22.634285611038134</v>
      </c>
      <c r="H21" s="360">
        <v>23.07052801332711</v>
      </c>
      <c r="I21" s="360">
        <v>18.714660055435118</v>
      </c>
      <c r="J21" s="360">
        <v>19.115303980354881</v>
      </c>
      <c r="K21" s="360">
        <v>37.442488383871499</v>
      </c>
      <c r="L21" s="360">
        <v>50.005735918186069</v>
      </c>
      <c r="M21" s="360">
        <v>25.78331327520473</v>
      </c>
      <c r="N21" s="360">
        <v>17.325510802231971</v>
      </c>
      <c r="O21" s="47"/>
      <c r="P21" s="361">
        <v>29.56</v>
      </c>
      <c r="Q21" s="361">
        <v>61.45</v>
      </c>
      <c r="R21" s="361">
        <v>21.08</v>
      </c>
      <c r="S21" s="361">
        <v>23</v>
      </c>
      <c r="T21" s="361">
        <v>23.91</v>
      </c>
      <c r="U21" s="361">
        <v>19.98</v>
      </c>
      <c r="V21" s="361">
        <v>20.6</v>
      </c>
      <c r="W21" s="361">
        <v>36.729999999999997</v>
      </c>
      <c r="X21" s="361">
        <v>50.18</v>
      </c>
      <c r="Y21" s="361">
        <v>26.15</v>
      </c>
      <c r="Z21" s="361">
        <v>17.55</v>
      </c>
      <c r="AB21" s="362">
        <f t="shared" si="1"/>
        <v>4.3237272665471949E-2</v>
      </c>
      <c r="AC21" s="362">
        <f t="shared" si="1"/>
        <v>3.0273698275312739</v>
      </c>
      <c r="AD21" s="362">
        <f t="shared" si="1"/>
        <v>-0.62255569040823033</v>
      </c>
      <c r="AE21" s="362">
        <f t="shared" si="1"/>
        <v>-0.36571438896186592</v>
      </c>
      <c r="AF21" s="362">
        <f t="shared" si="1"/>
        <v>-0.83947198667289058</v>
      </c>
      <c r="AG21" s="362">
        <f t="shared" si="1"/>
        <v>-1.2653399445648823</v>
      </c>
      <c r="AH21" s="362">
        <f t="shared" si="1"/>
        <v>-1.4846960196451207</v>
      </c>
      <c r="AI21" s="362">
        <f t="shared" si="1"/>
        <v>0.71248838387150215</v>
      </c>
      <c r="AJ21" s="362">
        <f t="shared" si="1"/>
        <v>-0.17426408181393072</v>
      </c>
      <c r="AK21" s="362">
        <f t="shared" si="1"/>
        <v>-0.36668672479526876</v>
      </c>
      <c r="AL21" s="362">
        <f t="shared" si="1"/>
        <v>-0.22448919776802967</v>
      </c>
    </row>
    <row r="22" spans="1:38">
      <c r="A22" s="358" t="s">
        <v>109</v>
      </c>
      <c r="B22" s="359">
        <v>77</v>
      </c>
      <c r="C22" s="247"/>
      <c r="D22" s="360">
        <v>25.450184971727627</v>
      </c>
      <c r="E22" s="360">
        <v>34.679624218815185</v>
      </c>
      <c r="F22" s="360">
        <v>77.110694965626791</v>
      </c>
      <c r="G22" s="360">
        <v>69.962291017644176</v>
      </c>
      <c r="H22" s="360">
        <v>35.630258960418679</v>
      </c>
      <c r="I22" s="360">
        <v>18.091277400414004</v>
      </c>
      <c r="J22" s="360">
        <v>15.34</v>
      </c>
      <c r="K22" s="360">
        <v>48.746755644238362</v>
      </c>
      <c r="L22" s="360">
        <v>31.920549699602066</v>
      </c>
      <c r="M22" s="360">
        <v>52.53304249299407</v>
      </c>
      <c r="N22" s="360">
        <v>12.46</v>
      </c>
      <c r="O22" s="47"/>
      <c r="P22" s="361">
        <v>25.36</v>
      </c>
      <c r="Q22" s="361">
        <v>35.67</v>
      </c>
      <c r="R22" s="361">
        <v>76.040000000000006</v>
      </c>
      <c r="S22" s="361">
        <v>69.27</v>
      </c>
      <c r="T22" s="361">
        <v>35.479999999999997</v>
      </c>
      <c r="U22" s="361">
        <v>18.68</v>
      </c>
      <c r="V22" s="361">
        <v>15.21</v>
      </c>
      <c r="W22" s="361">
        <v>48.39</v>
      </c>
      <c r="X22" s="361">
        <v>31.48</v>
      </c>
      <c r="Y22" s="361">
        <v>52.33</v>
      </c>
      <c r="Z22" s="361">
        <v>12.68</v>
      </c>
      <c r="AB22" s="362">
        <f t="shared" si="1"/>
        <v>9.0184971727627072E-2</v>
      </c>
      <c r="AC22" s="362">
        <f t="shared" si="1"/>
        <v>-0.99037578118481662</v>
      </c>
      <c r="AD22" s="362">
        <f t="shared" si="1"/>
        <v>1.0706949656267852</v>
      </c>
      <c r="AE22" s="362">
        <f t="shared" si="1"/>
        <v>0.69229101764418033</v>
      </c>
      <c r="AF22" s="362">
        <f t="shared" si="1"/>
        <v>0.15025896041868236</v>
      </c>
      <c r="AG22" s="362">
        <f t="shared" si="1"/>
        <v>-0.58872259958599571</v>
      </c>
      <c r="AH22" s="362">
        <f t="shared" si="1"/>
        <v>0.12999999999999901</v>
      </c>
      <c r="AI22" s="362">
        <f t="shared" si="1"/>
        <v>0.35675564423836192</v>
      </c>
      <c r="AJ22" s="362">
        <f t="shared" si="1"/>
        <v>0.44054969960206591</v>
      </c>
      <c r="AK22" s="362">
        <f t="shared" si="1"/>
        <v>0.20304249299407218</v>
      </c>
      <c r="AL22" s="362">
        <f t="shared" si="1"/>
        <v>-0.21999999999999886</v>
      </c>
    </row>
    <row r="23" spans="1:38">
      <c r="A23" s="358" t="s">
        <v>108</v>
      </c>
      <c r="B23" s="359">
        <v>62</v>
      </c>
      <c r="C23" s="247"/>
      <c r="D23" s="360">
        <v>23.5</v>
      </c>
      <c r="E23" s="360">
        <v>41.5</v>
      </c>
      <c r="F23" s="360">
        <v>40</v>
      </c>
      <c r="G23" s="360">
        <v>43</v>
      </c>
      <c r="H23" s="360">
        <v>33</v>
      </c>
      <c r="I23" s="360">
        <v>19</v>
      </c>
      <c r="J23" s="360">
        <v>20.6</v>
      </c>
      <c r="K23" s="360">
        <v>38.5</v>
      </c>
      <c r="L23" s="360">
        <v>48.5</v>
      </c>
      <c r="M23" s="360">
        <v>40</v>
      </c>
      <c r="N23" s="360">
        <v>19.5</v>
      </c>
      <c r="O23" s="47"/>
      <c r="P23" s="361">
        <v>23.24</v>
      </c>
      <c r="Q23" s="361">
        <v>40.44</v>
      </c>
      <c r="R23" s="361">
        <v>39.130000000000003</v>
      </c>
      <c r="S23" s="361">
        <v>42.27</v>
      </c>
      <c r="T23" s="361">
        <v>32.049999999999997</v>
      </c>
      <c r="U23" s="361">
        <v>18.02</v>
      </c>
      <c r="V23" s="361">
        <v>20.62</v>
      </c>
      <c r="W23" s="361">
        <v>38.270000000000003</v>
      </c>
      <c r="X23" s="361">
        <v>47.41</v>
      </c>
      <c r="Y23" s="361">
        <v>38.54</v>
      </c>
      <c r="Z23" s="361">
        <v>19.739999999999998</v>
      </c>
      <c r="AB23" s="362">
        <f t="shared" si="1"/>
        <v>0.26000000000000156</v>
      </c>
      <c r="AC23" s="362">
        <f t="shared" si="1"/>
        <v>1.0600000000000023</v>
      </c>
      <c r="AD23" s="362">
        <f t="shared" si="1"/>
        <v>0.86999999999999744</v>
      </c>
      <c r="AE23" s="362">
        <f t="shared" si="1"/>
        <v>0.72999999999999687</v>
      </c>
      <c r="AF23" s="362">
        <f t="shared" si="1"/>
        <v>0.95000000000000284</v>
      </c>
      <c r="AG23" s="362">
        <f t="shared" si="1"/>
        <v>0.98000000000000043</v>
      </c>
      <c r="AH23" s="362">
        <f t="shared" si="1"/>
        <v>-1.9999999999999574E-2</v>
      </c>
      <c r="AI23" s="362">
        <f t="shared" si="1"/>
        <v>0.22999999999999687</v>
      </c>
      <c r="AJ23" s="362">
        <f t="shared" si="1"/>
        <v>1.0900000000000034</v>
      </c>
      <c r="AK23" s="362">
        <f t="shared" si="1"/>
        <v>1.4600000000000009</v>
      </c>
      <c r="AL23" s="362">
        <f t="shared" si="1"/>
        <v>-0.23999999999999844</v>
      </c>
    </row>
    <row r="24" spans="1:38">
      <c r="A24" s="358" t="s">
        <v>107</v>
      </c>
      <c r="B24" s="359">
        <v>73</v>
      </c>
      <c r="C24" s="247"/>
      <c r="D24" s="360">
        <v>44.04</v>
      </c>
      <c r="E24" s="360">
        <v>57.09</v>
      </c>
      <c r="F24" s="360">
        <v>27.73</v>
      </c>
      <c r="G24" s="360">
        <v>32.619999999999997</v>
      </c>
      <c r="H24" s="360">
        <v>39.15</v>
      </c>
      <c r="I24" s="360">
        <v>35.880000000000003</v>
      </c>
      <c r="J24" s="360">
        <v>17.899999999999999</v>
      </c>
      <c r="K24" s="360">
        <v>45.67</v>
      </c>
      <c r="L24" s="360">
        <v>44.04</v>
      </c>
      <c r="M24" s="360">
        <v>50.56</v>
      </c>
      <c r="N24" s="360">
        <v>16.309999999999999</v>
      </c>
      <c r="O24" s="47"/>
      <c r="P24" s="361">
        <v>46.17</v>
      </c>
      <c r="Q24" s="361">
        <v>59.6</v>
      </c>
      <c r="R24" s="361">
        <v>27.55</v>
      </c>
      <c r="S24" s="361">
        <v>33.99</v>
      </c>
      <c r="T24" s="361">
        <v>40.729999999999997</v>
      </c>
      <c r="U24" s="361">
        <v>37.43</v>
      </c>
      <c r="V24" s="361">
        <v>18.05</v>
      </c>
      <c r="W24" s="361">
        <v>46.73</v>
      </c>
      <c r="X24" s="361">
        <v>53.59</v>
      </c>
      <c r="Y24" s="361">
        <v>52.02</v>
      </c>
      <c r="Z24" s="361">
        <v>15.32</v>
      </c>
      <c r="AB24" s="362">
        <f t="shared" si="1"/>
        <v>-2.1300000000000026</v>
      </c>
      <c r="AC24" s="362">
        <f t="shared" si="1"/>
        <v>-2.509999999999998</v>
      </c>
      <c r="AD24" s="362">
        <f t="shared" si="1"/>
        <v>0.17999999999999972</v>
      </c>
      <c r="AE24" s="362">
        <f t="shared" si="1"/>
        <v>-1.3700000000000045</v>
      </c>
      <c r="AF24" s="362">
        <f t="shared" si="1"/>
        <v>-1.5799999999999983</v>
      </c>
      <c r="AG24" s="362">
        <f t="shared" si="1"/>
        <v>-1.5499999999999972</v>
      </c>
      <c r="AH24" s="362">
        <f t="shared" si="1"/>
        <v>-0.15000000000000213</v>
      </c>
      <c r="AI24" s="362">
        <f t="shared" si="1"/>
        <v>-1.0599999999999952</v>
      </c>
      <c r="AJ24" s="362">
        <f t="shared" si="1"/>
        <v>-9.5500000000000043</v>
      </c>
      <c r="AK24" s="362">
        <f t="shared" si="1"/>
        <v>-1.4600000000000009</v>
      </c>
      <c r="AL24" s="362">
        <f t="shared" si="1"/>
        <v>0.98999999999999844</v>
      </c>
    </row>
    <row r="25" spans="1:38">
      <c r="A25" s="358" t="s">
        <v>449</v>
      </c>
      <c r="B25" s="359">
        <v>200</v>
      </c>
      <c r="C25" s="247"/>
      <c r="D25" s="360">
        <v>28.95</v>
      </c>
      <c r="E25" s="360">
        <v>104.06</v>
      </c>
      <c r="F25" s="360">
        <v>17.52</v>
      </c>
      <c r="G25" s="360">
        <v>20.81</v>
      </c>
      <c r="H25" s="360">
        <v>34.49</v>
      </c>
      <c r="I25" s="360">
        <v>22.38</v>
      </c>
      <c r="J25" s="360">
        <v>26.35</v>
      </c>
      <c r="K25" s="360">
        <v>16.670000000000002</v>
      </c>
      <c r="L25" s="360">
        <v>11.85</v>
      </c>
      <c r="M25" s="360">
        <v>31.39</v>
      </c>
      <c r="N25" s="360">
        <v>18.809999999999999</v>
      </c>
      <c r="O25" s="47"/>
      <c r="P25" s="361">
        <v>28.95</v>
      </c>
      <c r="Q25" s="361">
        <v>104.06</v>
      </c>
      <c r="R25" s="361">
        <v>17.52</v>
      </c>
      <c r="S25" s="361">
        <v>20.81</v>
      </c>
      <c r="T25" s="361">
        <v>34.49</v>
      </c>
      <c r="U25" s="361">
        <v>22.38</v>
      </c>
      <c r="V25" s="361">
        <v>26.35</v>
      </c>
      <c r="W25" s="361">
        <v>16.670000000000002</v>
      </c>
      <c r="X25" s="361">
        <v>11.85</v>
      </c>
      <c r="Y25" s="361">
        <v>31.39</v>
      </c>
      <c r="Z25" s="361">
        <v>18.809999999999999</v>
      </c>
      <c r="AB25" s="362">
        <f t="shared" si="1"/>
        <v>0</v>
      </c>
      <c r="AC25" s="362">
        <f t="shared" si="1"/>
        <v>0</v>
      </c>
      <c r="AD25" s="362">
        <f t="shared" si="1"/>
        <v>0</v>
      </c>
      <c r="AE25" s="362">
        <f t="shared" si="1"/>
        <v>0</v>
      </c>
      <c r="AF25" s="362">
        <f t="shared" si="1"/>
        <v>0</v>
      </c>
      <c r="AG25" s="362">
        <f t="shared" si="1"/>
        <v>0</v>
      </c>
      <c r="AH25" s="362">
        <f t="shared" si="1"/>
        <v>0</v>
      </c>
      <c r="AI25" s="362">
        <f t="shared" si="1"/>
        <v>0</v>
      </c>
      <c r="AJ25" s="362">
        <f t="shared" si="1"/>
        <v>0</v>
      </c>
      <c r="AK25" s="362">
        <f t="shared" si="1"/>
        <v>0</v>
      </c>
      <c r="AL25" s="362">
        <f t="shared" si="1"/>
        <v>0</v>
      </c>
    </row>
    <row r="26" spans="1:38">
      <c r="A26" s="358" t="s">
        <v>105</v>
      </c>
      <c r="B26" s="359">
        <v>71</v>
      </c>
      <c r="C26" s="247"/>
      <c r="D26" s="360">
        <v>40.504579829123962</v>
      </c>
      <c r="E26" s="360">
        <v>55.045944634925426</v>
      </c>
      <c r="F26" s="360">
        <v>32.342951851173751</v>
      </c>
      <c r="G26" s="360">
        <v>24.496451729814357</v>
      </c>
      <c r="H26" s="360">
        <v>47.086065311890955</v>
      </c>
      <c r="I26" s="360">
        <v>23.20468044188868</v>
      </c>
      <c r="J26" s="360">
        <v>21.37481615991959</v>
      </c>
      <c r="K26" s="360">
        <v>32.945636098108949</v>
      </c>
      <c r="L26" s="360">
        <v>59.038944776399184</v>
      </c>
      <c r="M26" s="360">
        <v>42.145856839591389</v>
      </c>
      <c r="N26" s="360">
        <v>20.439584173273541</v>
      </c>
      <c r="O26" s="47"/>
      <c r="P26" s="361">
        <v>39.75</v>
      </c>
      <c r="Q26" s="361">
        <v>54.08</v>
      </c>
      <c r="R26" s="361">
        <v>31.63</v>
      </c>
      <c r="S26" s="361">
        <v>23.78</v>
      </c>
      <c r="T26" s="361">
        <v>45.93</v>
      </c>
      <c r="U26" s="361">
        <v>23.31</v>
      </c>
      <c r="V26" s="361">
        <v>21.24</v>
      </c>
      <c r="W26" s="361">
        <v>32.32</v>
      </c>
      <c r="X26" s="361">
        <v>57.65</v>
      </c>
      <c r="Y26" s="361">
        <v>40.909999999999997</v>
      </c>
      <c r="Z26" s="361">
        <v>19.77</v>
      </c>
      <c r="AB26" s="362">
        <f t="shared" si="1"/>
        <v>0.75457982912396204</v>
      </c>
      <c r="AC26" s="362">
        <f t="shared" si="1"/>
        <v>0.96594463492542815</v>
      </c>
      <c r="AD26" s="362">
        <f t="shared" si="1"/>
        <v>0.71295185117375226</v>
      </c>
      <c r="AE26" s="362">
        <f t="shared" si="1"/>
        <v>0.71645172981435579</v>
      </c>
      <c r="AF26" s="362">
        <f t="shared" si="1"/>
        <v>1.1560653118909556</v>
      </c>
      <c r="AG26" s="362">
        <f t="shared" si="1"/>
        <v>-0.10531955811131866</v>
      </c>
      <c r="AH26" s="362">
        <f t="shared" si="1"/>
        <v>0.13481615991959117</v>
      </c>
      <c r="AI26" s="362">
        <f t="shared" si="1"/>
        <v>0.6256360981089486</v>
      </c>
      <c r="AJ26" s="362">
        <f t="shared" si="1"/>
        <v>1.3889447763991853</v>
      </c>
      <c r="AK26" s="362">
        <f t="shared" si="1"/>
        <v>1.235856839591392</v>
      </c>
      <c r="AL26" s="362">
        <f t="shared" si="1"/>
        <v>0.66958417327354169</v>
      </c>
    </row>
    <row r="27" spans="1:38">
      <c r="A27" s="358" t="s">
        <v>104</v>
      </c>
      <c r="B27" s="359">
        <v>79</v>
      </c>
      <c r="C27" s="247"/>
      <c r="D27" s="360">
        <v>28.040094727055898</v>
      </c>
      <c r="E27" s="360">
        <v>50.220999999999997</v>
      </c>
      <c r="F27" s="360">
        <v>45.783498931389644</v>
      </c>
      <c r="G27" s="360">
        <v>43.025456827089059</v>
      </c>
      <c r="H27" s="360">
        <v>37.509372618487895</v>
      </c>
      <c r="I27" s="360">
        <v>33.32</v>
      </c>
      <c r="J27" s="360">
        <v>36.498090513577679</v>
      </c>
      <c r="K27" s="360">
        <v>48.449606298880198</v>
      </c>
      <c r="L27" s="360">
        <v>54.6092336651515</v>
      </c>
      <c r="M27" s="360">
        <v>35.578743145477489</v>
      </c>
      <c r="N27" s="360">
        <v>20.54</v>
      </c>
      <c r="O27" s="47"/>
      <c r="P27" s="361">
        <v>27.62</v>
      </c>
      <c r="Q27" s="361">
        <v>49.49</v>
      </c>
      <c r="R27" s="361">
        <v>43.48</v>
      </c>
      <c r="S27" s="361">
        <v>41.08</v>
      </c>
      <c r="T27" s="361">
        <v>36.1</v>
      </c>
      <c r="U27" s="361">
        <v>32.409999999999997</v>
      </c>
      <c r="V27" s="361">
        <v>35.08</v>
      </c>
      <c r="W27" s="361">
        <v>44.11</v>
      </c>
      <c r="X27" s="361">
        <v>52.3</v>
      </c>
      <c r="Y27" s="361">
        <v>34.090000000000003</v>
      </c>
      <c r="Z27" s="361">
        <v>20.329999999999998</v>
      </c>
      <c r="AB27" s="362">
        <f t="shared" si="1"/>
        <v>0.42009472705589701</v>
      </c>
      <c r="AC27" s="362">
        <f t="shared" si="1"/>
        <v>0.73099999999999454</v>
      </c>
      <c r="AD27" s="362">
        <f t="shared" si="1"/>
        <v>2.3034989313896475</v>
      </c>
      <c r="AE27" s="362">
        <f t="shared" si="1"/>
        <v>1.9454568270890604</v>
      </c>
      <c r="AF27" s="362">
        <f t="shared" si="1"/>
        <v>1.4093726184878932</v>
      </c>
      <c r="AG27" s="362">
        <f t="shared" si="1"/>
        <v>0.91000000000000369</v>
      </c>
      <c r="AH27" s="362">
        <f t="shared" si="1"/>
        <v>1.4180905135776811</v>
      </c>
      <c r="AI27" s="362">
        <f t="shared" si="1"/>
        <v>4.3396062988801987</v>
      </c>
      <c r="AJ27" s="362">
        <f t="shared" si="1"/>
        <v>2.3092336651515026</v>
      </c>
      <c r="AK27" s="362">
        <f t="shared" si="1"/>
        <v>1.4887431454774855</v>
      </c>
      <c r="AL27" s="362">
        <f t="shared" si="1"/>
        <v>0.21000000000000085</v>
      </c>
    </row>
    <row r="28" spans="1:38">
      <c r="A28" s="358" t="s">
        <v>103</v>
      </c>
      <c r="B28" s="359">
        <v>58</v>
      </c>
      <c r="C28" s="247"/>
      <c r="D28" s="360">
        <v>26.84</v>
      </c>
      <c r="E28" s="360">
        <v>29.5</v>
      </c>
      <c r="F28" s="360">
        <v>16.7</v>
      </c>
      <c r="G28" s="360">
        <v>18.91</v>
      </c>
      <c r="H28" s="360">
        <v>20.04</v>
      </c>
      <c r="I28" s="360">
        <v>20.04</v>
      </c>
      <c r="J28" s="360">
        <v>26.47</v>
      </c>
      <c r="K28" s="360">
        <v>21.14</v>
      </c>
      <c r="L28" s="360">
        <v>44.49</v>
      </c>
      <c r="M28" s="360">
        <v>18.12</v>
      </c>
      <c r="N28" s="360">
        <v>14.99</v>
      </c>
      <c r="O28" s="47"/>
      <c r="P28" s="361">
        <v>27.3</v>
      </c>
      <c r="Q28" s="361">
        <v>29.74</v>
      </c>
      <c r="R28" s="361">
        <v>17.29</v>
      </c>
      <c r="S28" s="361">
        <v>19.399999999999999</v>
      </c>
      <c r="T28" s="361">
        <v>20.07</v>
      </c>
      <c r="U28" s="361">
        <v>20.84</v>
      </c>
      <c r="V28" s="361">
        <v>26.82</v>
      </c>
      <c r="W28" s="361">
        <v>21.3</v>
      </c>
      <c r="X28" s="361">
        <v>44.76</v>
      </c>
      <c r="Y28" s="361">
        <v>19.760000000000002</v>
      </c>
      <c r="Z28" s="361">
        <v>17.079999999999998</v>
      </c>
      <c r="AB28" s="362">
        <f t="shared" si="1"/>
        <v>-0.46000000000000085</v>
      </c>
      <c r="AC28" s="362">
        <f t="shared" si="1"/>
        <v>-0.23999999999999844</v>
      </c>
      <c r="AD28" s="362">
        <f t="shared" si="1"/>
        <v>-0.58999999999999986</v>
      </c>
      <c r="AE28" s="362">
        <f t="shared" si="1"/>
        <v>-0.48999999999999844</v>
      </c>
      <c r="AF28" s="362">
        <f t="shared" si="1"/>
        <v>-3.0000000000001137E-2</v>
      </c>
      <c r="AG28" s="362">
        <f t="shared" si="1"/>
        <v>-0.80000000000000071</v>
      </c>
      <c r="AH28" s="362">
        <f t="shared" si="1"/>
        <v>-0.35000000000000142</v>
      </c>
      <c r="AI28" s="362">
        <f t="shared" si="1"/>
        <v>-0.16000000000000014</v>
      </c>
      <c r="AJ28" s="362">
        <f t="shared" si="1"/>
        <v>-0.26999999999999602</v>
      </c>
      <c r="AK28" s="362">
        <f t="shared" si="1"/>
        <v>-1.6400000000000006</v>
      </c>
      <c r="AL28" s="362">
        <f t="shared" si="1"/>
        <v>-2.0899999999999981</v>
      </c>
    </row>
    <row r="29" spans="1:38">
      <c r="A29" s="358" t="s">
        <v>102</v>
      </c>
      <c r="B29" s="359">
        <v>69</v>
      </c>
      <c r="C29" s="247"/>
      <c r="D29" s="360">
        <v>34.6</v>
      </c>
      <c r="E29" s="360">
        <v>56.366999999999997</v>
      </c>
      <c r="F29" s="360">
        <v>36.22</v>
      </c>
      <c r="G29" s="360">
        <v>40.950000000000003</v>
      </c>
      <c r="H29" s="360">
        <v>33.82</v>
      </c>
      <c r="I29" s="360">
        <v>29.399000000000001</v>
      </c>
      <c r="J29" s="360">
        <v>19.350000000000001</v>
      </c>
      <c r="K29" s="360">
        <v>31.73</v>
      </c>
      <c r="L29" s="360">
        <v>50.98</v>
      </c>
      <c r="M29" s="360">
        <v>46.91</v>
      </c>
      <c r="N29" s="360">
        <v>21.82</v>
      </c>
      <c r="O29" s="47"/>
      <c r="P29" s="361">
        <v>36.69</v>
      </c>
      <c r="Q29" s="361">
        <v>57.14</v>
      </c>
      <c r="R29" s="361">
        <v>38.049999999999997</v>
      </c>
      <c r="S29" s="361">
        <v>41.69</v>
      </c>
      <c r="T29" s="361">
        <v>34.46</v>
      </c>
      <c r="U29" s="361">
        <v>29.92</v>
      </c>
      <c r="V29" s="361">
        <v>20.89</v>
      </c>
      <c r="W29" s="361">
        <v>32.79</v>
      </c>
      <c r="X29" s="361">
        <v>50.8</v>
      </c>
      <c r="Y29" s="361">
        <v>47.78</v>
      </c>
      <c r="Z29" s="361">
        <v>23.66</v>
      </c>
      <c r="AB29" s="362">
        <f t="shared" si="1"/>
        <v>-2.0899999999999963</v>
      </c>
      <c r="AC29" s="362">
        <f t="shared" si="1"/>
        <v>-0.77300000000000324</v>
      </c>
      <c r="AD29" s="362">
        <f t="shared" si="1"/>
        <v>-1.8299999999999983</v>
      </c>
      <c r="AE29" s="362">
        <f t="shared" si="1"/>
        <v>-0.73999999999999488</v>
      </c>
      <c r="AF29" s="362">
        <f t="shared" si="1"/>
        <v>-0.64000000000000057</v>
      </c>
      <c r="AG29" s="362">
        <f t="shared" si="1"/>
        <v>-0.5210000000000008</v>
      </c>
      <c r="AH29" s="362">
        <f t="shared" si="1"/>
        <v>-1.5399999999999991</v>
      </c>
      <c r="AI29" s="362">
        <f t="shared" si="1"/>
        <v>-1.0599999999999987</v>
      </c>
      <c r="AJ29" s="362">
        <f t="shared" si="1"/>
        <v>0.17999999999999972</v>
      </c>
      <c r="AK29" s="362">
        <f t="shared" si="1"/>
        <v>-0.87000000000000455</v>
      </c>
      <c r="AL29" s="362">
        <f t="shared" si="1"/>
        <v>-1.8399999999999999</v>
      </c>
    </row>
    <row r="30" spans="1:38">
      <c r="A30" s="358" t="s">
        <v>311</v>
      </c>
      <c r="B30" s="359">
        <v>136</v>
      </c>
      <c r="C30" s="247"/>
      <c r="D30" s="360">
        <v>13.52</v>
      </c>
      <c r="E30" s="360">
        <v>21.75</v>
      </c>
      <c r="F30" s="360">
        <v>28.74</v>
      </c>
      <c r="G30" s="360">
        <v>27.26</v>
      </c>
      <c r="H30" s="360">
        <v>12.18</v>
      </c>
      <c r="I30" s="360">
        <v>10.82</v>
      </c>
      <c r="J30" s="360">
        <v>9.4</v>
      </c>
      <c r="K30" s="360">
        <v>23.12</v>
      </c>
      <c r="L30" s="360">
        <v>33</v>
      </c>
      <c r="M30" s="360">
        <v>14.91</v>
      </c>
      <c r="N30" s="360">
        <v>13.35</v>
      </c>
      <c r="O30" s="47"/>
      <c r="P30" s="361">
        <v>13.52</v>
      </c>
      <c r="Q30" s="361">
        <v>21.75</v>
      </c>
      <c r="R30" s="361">
        <v>28.74</v>
      </c>
      <c r="S30" s="361">
        <v>27.26</v>
      </c>
      <c r="T30" s="361">
        <v>12.18</v>
      </c>
      <c r="U30" s="361">
        <v>10.82</v>
      </c>
      <c r="V30" s="361">
        <v>9.4</v>
      </c>
      <c r="W30" s="361">
        <v>23.12</v>
      </c>
      <c r="X30" s="361">
        <v>33</v>
      </c>
      <c r="Y30" s="361">
        <v>14.91</v>
      </c>
      <c r="Z30" s="361">
        <v>13.35</v>
      </c>
      <c r="AB30" s="362">
        <f t="shared" si="1"/>
        <v>0</v>
      </c>
      <c r="AC30" s="362">
        <f t="shared" si="1"/>
        <v>0</v>
      </c>
      <c r="AD30" s="362">
        <f t="shared" si="1"/>
        <v>0</v>
      </c>
      <c r="AE30" s="362">
        <f t="shared" si="1"/>
        <v>0</v>
      </c>
      <c r="AF30" s="362">
        <f t="shared" si="1"/>
        <v>0</v>
      </c>
      <c r="AG30" s="362">
        <f t="shared" si="1"/>
        <v>0</v>
      </c>
      <c r="AH30" s="362">
        <f t="shared" si="1"/>
        <v>0</v>
      </c>
      <c r="AI30" s="362">
        <f t="shared" si="1"/>
        <v>0</v>
      </c>
      <c r="AJ30" s="362">
        <f t="shared" si="1"/>
        <v>0</v>
      </c>
      <c r="AK30" s="362">
        <f t="shared" si="1"/>
        <v>0</v>
      </c>
      <c r="AL30" s="362">
        <f t="shared" si="1"/>
        <v>0</v>
      </c>
    </row>
    <row r="31" spans="1:38">
      <c r="A31" s="358" t="s">
        <v>101</v>
      </c>
      <c r="B31" s="359">
        <v>80</v>
      </c>
      <c r="C31" s="247"/>
      <c r="D31" s="360">
        <v>24.251721344088537</v>
      </c>
      <c r="E31" s="360">
        <v>42.670760573160379</v>
      </c>
      <c r="F31" s="360">
        <v>28.905999097947351</v>
      </c>
      <c r="G31" s="360">
        <v>25.123878959592144</v>
      </c>
      <c r="H31" s="360">
        <v>30.282475245468653</v>
      </c>
      <c r="I31" s="360">
        <v>20.537386640747229</v>
      </c>
      <c r="J31" s="360">
        <v>12.917383442320256</v>
      </c>
      <c r="K31" s="360">
        <v>21.409544256250836</v>
      </c>
      <c r="L31" s="360">
        <v>11.490187959237067</v>
      </c>
      <c r="M31" s="360">
        <v>45.423712868202983</v>
      </c>
      <c r="N31" s="360">
        <v>12.682480287924955</v>
      </c>
      <c r="O31" s="47"/>
      <c r="P31" s="361">
        <v>24.49</v>
      </c>
      <c r="Q31" s="361">
        <v>41.33</v>
      </c>
      <c r="R31" s="361">
        <v>29.17</v>
      </c>
      <c r="S31" s="361">
        <v>25.86</v>
      </c>
      <c r="T31" s="361">
        <v>30.55</v>
      </c>
      <c r="U31" s="361">
        <v>20.88</v>
      </c>
      <c r="V31" s="361">
        <v>14.69</v>
      </c>
      <c r="W31" s="361">
        <v>21.75</v>
      </c>
      <c r="X31" s="361">
        <v>13.33</v>
      </c>
      <c r="Y31" s="361">
        <v>44.14</v>
      </c>
      <c r="Z31" s="361">
        <v>13.05</v>
      </c>
      <c r="AB31" s="362">
        <f t="shared" si="1"/>
        <v>-0.23827865591146136</v>
      </c>
      <c r="AC31" s="362">
        <f t="shared" si="1"/>
        <v>1.3407605731603809</v>
      </c>
      <c r="AD31" s="362">
        <f t="shared" si="1"/>
        <v>-0.26400090205265059</v>
      </c>
      <c r="AE31" s="362">
        <f t="shared" si="1"/>
        <v>-0.73612104040785553</v>
      </c>
      <c r="AF31" s="362">
        <f t="shared" si="1"/>
        <v>-0.2675247545313475</v>
      </c>
      <c r="AG31" s="362">
        <f t="shared" si="1"/>
        <v>-0.34261335925276981</v>
      </c>
      <c r="AH31" s="362">
        <f t="shared" si="1"/>
        <v>-1.7726165576797435</v>
      </c>
      <c r="AI31" s="362">
        <f t="shared" si="1"/>
        <v>-0.34045574374916399</v>
      </c>
      <c r="AJ31" s="362">
        <f t="shared" si="1"/>
        <v>-1.8398120407629328</v>
      </c>
      <c r="AK31" s="362">
        <f t="shared" si="1"/>
        <v>1.2837128682029828</v>
      </c>
      <c r="AL31" s="362">
        <f t="shared" si="1"/>
        <v>-0.36751971207504575</v>
      </c>
    </row>
    <row r="32" spans="1:38">
      <c r="A32" s="358" t="s">
        <v>100</v>
      </c>
      <c r="B32" s="359">
        <v>72</v>
      </c>
      <c r="C32" s="247"/>
      <c r="D32" s="360">
        <v>21.563296199644263</v>
      </c>
      <c r="E32" s="360">
        <v>32.835197199261685</v>
      </c>
      <c r="F32" s="360">
        <v>36.123897066776728</v>
      </c>
      <c r="G32" s="360">
        <v>40.761383275267065</v>
      </c>
      <c r="H32" s="360">
        <v>19.232784094937397</v>
      </c>
      <c r="I32" s="360">
        <v>15.749948630111327</v>
      </c>
      <c r="J32" s="360">
        <v>32.835197199261685</v>
      </c>
      <c r="K32" s="360">
        <v>48.081960237343495</v>
      </c>
      <c r="L32" s="360">
        <v>27.204826208648576</v>
      </c>
      <c r="M32" s="360">
        <v>23.218805151792985</v>
      </c>
      <c r="N32" s="360">
        <v>20.877134028694918</v>
      </c>
      <c r="O32" s="47"/>
      <c r="P32" s="361">
        <v>23.08</v>
      </c>
      <c r="Q32" s="361">
        <v>33</v>
      </c>
      <c r="R32" s="361">
        <v>35.700000000000003</v>
      </c>
      <c r="S32" s="361">
        <v>39.81</v>
      </c>
      <c r="T32" s="361">
        <v>20.62</v>
      </c>
      <c r="U32" s="361">
        <v>18.510000000000002</v>
      </c>
      <c r="V32" s="361">
        <v>32.57</v>
      </c>
      <c r="W32" s="361">
        <v>46.16</v>
      </c>
      <c r="X32" s="361">
        <v>28.46</v>
      </c>
      <c r="Y32" s="361">
        <v>24.41</v>
      </c>
      <c r="Z32" s="361">
        <v>21.71</v>
      </c>
      <c r="AB32" s="362">
        <f t="shared" si="1"/>
        <v>-1.5167038003557352</v>
      </c>
      <c r="AC32" s="362">
        <f t="shared" si="1"/>
        <v>-0.16480280073831466</v>
      </c>
      <c r="AD32" s="362">
        <f t="shared" si="1"/>
        <v>0.42389706677672478</v>
      </c>
      <c r="AE32" s="362">
        <f t="shared" si="1"/>
        <v>0.95138327526706234</v>
      </c>
      <c r="AF32" s="362">
        <f t="shared" si="1"/>
        <v>-1.3872159050626038</v>
      </c>
      <c r="AG32" s="362">
        <f t="shared" si="1"/>
        <v>-2.7600513698886751</v>
      </c>
      <c r="AH32" s="362">
        <f t="shared" si="1"/>
        <v>0.26519719926168506</v>
      </c>
      <c r="AI32" s="362">
        <f t="shared" si="1"/>
        <v>1.9219602373434981</v>
      </c>
      <c r="AJ32" s="362">
        <f t="shared" si="1"/>
        <v>-1.2551737913514245</v>
      </c>
      <c r="AK32" s="362">
        <f t="shared" si="1"/>
        <v>-1.1911948482070152</v>
      </c>
      <c r="AL32" s="362">
        <f t="shared" si="1"/>
        <v>-0.83286597130508255</v>
      </c>
    </row>
    <row r="33" spans="1:38">
      <c r="A33" s="358" t="s">
        <v>99</v>
      </c>
      <c r="B33" s="359">
        <v>79</v>
      </c>
      <c r="C33" s="247"/>
      <c r="D33" s="360">
        <v>30.676058971948265</v>
      </c>
      <c r="E33" s="360">
        <v>37.772685466325122</v>
      </c>
      <c r="F33" s="360">
        <v>27.018967262814154</v>
      </c>
      <c r="G33" s="360">
        <v>18.50301546956192</v>
      </c>
      <c r="H33" s="360">
        <v>18.50301546956192</v>
      </c>
      <c r="I33" s="360">
        <v>17.083690170686548</v>
      </c>
      <c r="J33" s="360">
        <v>25.59964196393878</v>
      </c>
      <c r="K33" s="360">
        <v>37.990242390216487</v>
      </c>
      <c r="L33" s="360">
        <v>42.030661362951243</v>
      </c>
      <c r="M33" s="360">
        <v>36.570917091341109</v>
      </c>
      <c r="N33" s="360">
        <v>10.58794786380169</v>
      </c>
      <c r="O33" s="47"/>
      <c r="P33" s="361">
        <v>30.15</v>
      </c>
      <c r="Q33" s="361">
        <v>37.57</v>
      </c>
      <c r="R33" s="361">
        <v>26.36</v>
      </c>
      <c r="S33" s="361">
        <v>17.55</v>
      </c>
      <c r="T33" s="361">
        <v>17.190000000000001</v>
      </c>
      <c r="U33" s="361">
        <v>15.8</v>
      </c>
      <c r="V33" s="361">
        <v>24.43</v>
      </c>
      <c r="W33" s="361">
        <v>39.46</v>
      </c>
      <c r="X33" s="361">
        <v>43.06</v>
      </c>
      <c r="Y33" s="361">
        <v>34.92</v>
      </c>
      <c r="Z33" s="361">
        <v>9.33</v>
      </c>
      <c r="AB33" s="362">
        <f t="shared" si="1"/>
        <v>0.52605897194826667</v>
      </c>
      <c r="AC33" s="362">
        <f t="shared" si="1"/>
        <v>0.20268546632512141</v>
      </c>
      <c r="AD33" s="362">
        <f t="shared" si="1"/>
        <v>0.65896726281415496</v>
      </c>
      <c r="AE33" s="362">
        <f t="shared" si="1"/>
        <v>0.95301546956191885</v>
      </c>
      <c r="AF33" s="362">
        <f t="shared" si="1"/>
        <v>1.3130154695619183</v>
      </c>
      <c r="AG33" s="362">
        <f t="shared" si="1"/>
        <v>1.2836901706865476</v>
      </c>
      <c r="AH33" s="362">
        <f t="shared" si="1"/>
        <v>1.1696419639387798</v>
      </c>
      <c r="AI33" s="362">
        <f t="shared" si="1"/>
        <v>-1.4697576097835139</v>
      </c>
      <c r="AJ33" s="362">
        <f t="shared" si="1"/>
        <v>-1.0293386370487596</v>
      </c>
      <c r="AK33" s="362">
        <f t="shared" si="1"/>
        <v>1.6509170913411069</v>
      </c>
      <c r="AL33" s="362">
        <f t="shared" si="1"/>
        <v>1.2579478638016894</v>
      </c>
    </row>
    <row r="34" spans="1:38">
      <c r="A34" s="358" t="s">
        <v>98</v>
      </c>
      <c r="B34" s="359">
        <v>72</v>
      </c>
      <c r="C34" s="247"/>
      <c r="D34" s="360">
        <v>23.816840730595342</v>
      </c>
      <c r="E34" s="360">
        <v>46.803769574569969</v>
      </c>
      <c r="F34" s="360">
        <v>30.489081528745</v>
      </c>
      <c r="G34" s="360">
        <v>26.080646596018827</v>
      </c>
      <c r="H34" s="360">
        <v>28.464610819683468</v>
      </c>
      <c r="I34" s="360">
        <v>20.231269808276618</v>
      </c>
      <c r="J34" s="360">
        <v>21.270546989096889</v>
      </c>
      <c r="K34" s="360">
        <v>38.829382526432063</v>
      </c>
      <c r="L34" s="360">
        <v>54.138670904427038</v>
      </c>
      <c r="M34" s="360">
        <v>40.438831722738051</v>
      </c>
      <c r="N34" s="360">
        <v>10.517051867955495</v>
      </c>
      <c r="O34" s="47"/>
      <c r="P34" s="361">
        <v>23.46</v>
      </c>
      <c r="Q34" s="361">
        <v>42.8</v>
      </c>
      <c r="R34" s="361">
        <v>29.12</v>
      </c>
      <c r="S34" s="361">
        <v>25.74</v>
      </c>
      <c r="T34" s="361">
        <v>27.43</v>
      </c>
      <c r="U34" s="361">
        <v>20.76</v>
      </c>
      <c r="V34" s="361">
        <v>21.25</v>
      </c>
      <c r="W34" s="361">
        <v>34.840000000000003</v>
      </c>
      <c r="X34" s="361">
        <v>48.36</v>
      </c>
      <c r="Y34" s="361">
        <v>37.869999999999997</v>
      </c>
      <c r="Z34" s="361">
        <v>13.49</v>
      </c>
      <c r="AB34" s="362">
        <f t="shared" si="1"/>
        <v>0.35684073059534072</v>
      </c>
      <c r="AC34" s="362">
        <f t="shared" si="1"/>
        <v>4.0037695745699722</v>
      </c>
      <c r="AD34" s="362">
        <f t="shared" si="1"/>
        <v>1.3690815287449993</v>
      </c>
      <c r="AE34" s="362">
        <f t="shared" si="1"/>
        <v>0.34064659601882852</v>
      </c>
      <c r="AF34" s="362">
        <f t="shared" si="1"/>
        <v>1.0346108196834685</v>
      </c>
      <c r="AG34" s="362">
        <f t="shared" si="1"/>
        <v>-0.52873019172338331</v>
      </c>
      <c r="AH34" s="362">
        <f t="shared" si="1"/>
        <v>2.0546989096889234E-2</v>
      </c>
      <c r="AI34" s="362">
        <f t="shared" si="1"/>
        <v>3.9893825264320597</v>
      </c>
      <c r="AJ34" s="362">
        <f t="shared" si="1"/>
        <v>5.7786709044270381</v>
      </c>
      <c r="AK34" s="362">
        <f t="shared" si="1"/>
        <v>2.5688317227380537</v>
      </c>
      <c r="AL34" s="362">
        <f t="shared" si="1"/>
        <v>-2.9729481320445057</v>
      </c>
    </row>
    <row r="35" spans="1:38">
      <c r="A35" s="358" t="s">
        <v>97</v>
      </c>
      <c r="B35" s="359">
        <v>58</v>
      </c>
      <c r="C35" s="247"/>
      <c r="D35" s="360">
        <v>21.772669539741784</v>
      </c>
      <c r="E35" s="360">
        <v>48.199744370689487</v>
      </c>
      <c r="F35" s="360">
        <v>27.0410476435828</v>
      </c>
      <c r="G35" s="360">
        <v>29.655915675832915</v>
      </c>
      <c r="H35" s="360">
        <v>21.4697282177708</v>
      </c>
      <c r="I35" s="360">
        <v>20.771942063089238</v>
      </c>
      <c r="J35" s="360">
        <v>19.117575237823363</v>
      </c>
      <c r="K35" s="360">
        <v>32.301439569700818</v>
      </c>
      <c r="L35" s="360">
        <v>37.355197952947123</v>
      </c>
      <c r="M35" s="360">
        <v>21.861322070805087</v>
      </c>
      <c r="N35" s="360">
        <v>16.514586285277211</v>
      </c>
      <c r="O35" s="47"/>
      <c r="P35" s="361">
        <v>23.02</v>
      </c>
      <c r="Q35" s="361">
        <v>47.6</v>
      </c>
      <c r="R35" s="361">
        <v>27.28</v>
      </c>
      <c r="S35" s="361">
        <v>29.87</v>
      </c>
      <c r="T35" s="361">
        <v>22.38</v>
      </c>
      <c r="U35" s="361">
        <v>21.97</v>
      </c>
      <c r="V35" s="361">
        <v>20.66</v>
      </c>
      <c r="W35" s="361">
        <v>32.35</v>
      </c>
      <c r="X35" s="361">
        <v>39.020000000000003</v>
      </c>
      <c r="Y35" s="361">
        <v>22.36</v>
      </c>
      <c r="Z35" s="361">
        <v>18.010000000000002</v>
      </c>
      <c r="AB35" s="362">
        <f t="shared" si="1"/>
        <v>-1.2473304602582154</v>
      </c>
      <c r="AC35" s="362">
        <f t="shared" si="1"/>
        <v>0.59974437068948561</v>
      </c>
      <c r="AD35" s="362">
        <f t="shared" si="1"/>
        <v>-0.23895235641720092</v>
      </c>
      <c r="AE35" s="362">
        <f t="shared" si="1"/>
        <v>-0.21408432416708578</v>
      </c>
      <c r="AF35" s="362">
        <f t="shared" si="1"/>
        <v>-0.91027178222919858</v>
      </c>
      <c r="AG35" s="362">
        <f t="shared" si="1"/>
        <v>-1.1980579369107609</v>
      </c>
      <c r="AH35" s="362">
        <f t="shared" si="1"/>
        <v>-1.5424247621766369</v>
      </c>
      <c r="AI35" s="362">
        <f t="shared" si="1"/>
        <v>-4.856043029918311E-2</v>
      </c>
      <c r="AJ35" s="362">
        <f t="shared" si="1"/>
        <v>-1.6648020470528806</v>
      </c>
      <c r="AK35" s="362">
        <f t="shared" si="1"/>
        <v>-0.49867792919491194</v>
      </c>
      <c r="AL35" s="362">
        <f t="shared" si="1"/>
        <v>-1.4954137147227904</v>
      </c>
    </row>
    <row r="36" spans="1:38">
      <c r="A36" s="358" t="s">
        <v>96</v>
      </c>
      <c r="B36" s="359">
        <v>69</v>
      </c>
      <c r="C36" s="247"/>
      <c r="D36" s="360">
        <v>12.8249195</v>
      </c>
      <c r="E36" s="360">
        <v>24.7637301</v>
      </c>
      <c r="F36" s="360">
        <v>16.347926600000001</v>
      </c>
      <c r="G36" s="360">
        <v>14.2696459</v>
      </c>
      <c r="H36" s="360">
        <v>20.694213699999999</v>
      </c>
      <c r="I36" s="360">
        <v>14.066533099999999</v>
      </c>
      <c r="J36" s="360">
        <v>19.237379300000001</v>
      </c>
      <c r="K36" s="360">
        <v>32.461804399999998</v>
      </c>
      <c r="L36" s="360">
        <v>14.2696459</v>
      </c>
      <c r="M36" s="360">
        <v>37.6017145</v>
      </c>
      <c r="N36" s="360">
        <v>17.042074100000001</v>
      </c>
      <c r="O36" s="47"/>
      <c r="P36" s="361">
        <v>12.71</v>
      </c>
      <c r="Q36" s="361">
        <v>24.4</v>
      </c>
      <c r="R36" s="361">
        <v>16.46</v>
      </c>
      <c r="S36" s="361">
        <v>14.55</v>
      </c>
      <c r="T36" s="361">
        <v>20.39</v>
      </c>
      <c r="U36" s="361">
        <v>14.08</v>
      </c>
      <c r="V36" s="361">
        <v>19.8</v>
      </c>
      <c r="W36" s="361">
        <v>31.9</v>
      </c>
      <c r="X36" s="361">
        <v>13.54</v>
      </c>
      <c r="Y36" s="361">
        <v>38.08</v>
      </c>
      <c r="Z36" s="361">
        <v>17.14</v>
      </c>
      <c r="AB36" s="362">
        <f t="shared" si="1"/>
        <v>0.11491949999999918</v>
      </c>
      <c r="AC36" s="362">
        <f t="shared" si="1"/>
        <v>0.3637301000000015</v>
      </c>
      <c r="AD36" s="362">
        <f t="shared" si="1"/>
        <v>-0.11207339999999988</v>
      </c>
      <c r="AE36" s="362">
        <f t="shared" si="1"/>
        <v>-0.28035410000000027</v>
      </c>
      <c r="AF36" s="362">
        <f t="shared" si="1"/>
        <v>0.30421369999999825</v>
      </c>
      <c r="AG36" s="362">
        <f t="shared" si="1"/>
        <v>-1.3466900000000948E-2</v>
      </c>
      <c r="AH36" s="362">
        <f t="shared" si="1"/>
        <v>-0.56262070000000008</v>
      </c>
      <c r="AI36" s="362">
        <f t="shared" si="1"/>
        <v>0.56180439999999976</v>
      </c>
      <c r="AJ36" s="362">
        <f t="shared" si="1"/>
        <v>0.72964590000000129</v>
      </c>
      <c r="AK36" s="362">
        <f t="shared" si="1"/>
        <v>-0.47828549999999836</v>
      </c>
      <c r="AL36" s="362">
        <f t="shared" si="1"/>
        <v>-9.7925899999999899E-2</v>
      </c>
    </row>
    <row r="37" spans="1:38">
      <c r="A37" s="358" t="s">
        <v>512</v>
      </c>
      <c r="B37" s="541">
        <v>57</v>
      </c>
      <c r="C37" s="247"/>
      <c r="D37" s="360"/>
      <c r="E37" s="360"/>
      <c r="F37" s="360"/>
      <c r="G37" s="360"/>
      <c r="H37" s="360"/>
      <c r="I37" s="360"/>
      <c r="J37" s="360"/>
      <c r="K37" s="360"/>
      <c r="L37" s="360"/>
      <c r="M37" s="360"/>
      <c r="N37" s="360"/>
      <c r="O37" s="47"/>
      <c r="P37" s="542"/>
      <c r="Q37" s="542"/>
      <c r="R37" s="542"/>
      <c r="S37" s="542"/>
      <c r="T37" s="542"/>
      <c r="U37" s="542"/>
      <c r="V37" s="542"/>
      <c r="W37" s="542"/>
      <c r="X37" s="542"/>
      <c r="Y37" s="542"/>
      <c r="Z37" s="542"/>
      <c r="AB37" s="543"/>
      <c r="AC37" s="543"/>
      <c r="AD37" s="543"/>
      <c r="AE37" s="543"/>
      <c r="AF37" s="543"/>
      <c r="AG37" s="543"/>
      <c r="AH37" s="543"/>
      <c r="AI37" s="543"/>
      <c r="AJ37" s="543"/>
      <c r="AK37" s="543"/>
      <c r="AL37" s="543"/>
    </row>
    <row r="38" spans="1:38">
      <c r="A38" s="358" t="s">
        <v>95</v>
      </c>
      <c r="B38" s="359">
        <v>78</v>
      </c>
      <c r="C38" s="247"/>
      <c r="D38" s="360">
        <v>16.025547067857804</v>
      </c>
      <c r="E38" s="360">
        <v>18.178497427433868</v>
      </c>
      <c r="F38" s="360">
        <v>57.424876993157113</v>
      </c>
      <c r="G38" s="360">
        <v>57.424876993157113</v>
      </c>
      <c r="H38" s="360">
        <v>29.380169624405958</v>
      </c>
      <c r="I38" s="360">
        <v>10.683698045238527</v>
      </c>
      <c r="J38" s="360">
        <v>15.381805515520979</v>
      </c>
      <c r="K38" s="360">
        <v>30.59</v>
      </c>
      <c r="L38" s="360">
        <v>50.340454414432251</v>
      </c>
      <c r="M38" s="360">
        <v>40.125456697106088</v>
      </c>
      <c r="N38" s="360">
        <v>13.39</v>
      </c>
      <c r="O38" s="47"/>
      <c r="P38" s="361">
        <v>15.54</v>
      </c>
      <c r="Q38" s="361">
        <v>18.39</v>
      </c>
      <c r="R38" s="361">
        <v>56.17</v>
      </c>
      <c r="S38" s="361">
        <v>56.54</v>
      </c>
      <c r="T38" s="361">
        <v>29.15</v>
      </c>
      <c r="U38" s="361">
        <v>10.91</v>
      </c>
      <c r="V38" s="361">
        <v>15.67</v>
      </c>
      <c r="W38" s="361">
        <v>30.24</v>
      </c>
      <c r="X38" s="361">
        <v>49.78</v>
      </c>
      <c r="Y38" s="361">
        <v>39.450000000000003</v>
      </c>
      <c r="Z38" s="361">
        <v>13.51</v>
      </c>
      <c r="AB38" s="362">
        <f t="shared" si="1"/>
        <v>0.4855470678578051</v>
      </c>
      <c r="AC38" s="362">
        <f t="shared" si="1"/>
        <v>-0.21150257256613259</v>
      </c>
      <c r="AD38" s="362">
        <f t="shared" si="1"/>
        <v>1.2548769931571115</v>
      </c>
      <c r="AE38" s="362">
        <f t="shared" si="1"/>
        <v>0.8848769931571141</v>
      </c>
      <c r="AF38" s="362">
        <f t="shared" si="1"/>
        <v>0.23016962440595989</v>
      </c>
      <c r="AG38" s="362">
        <f t="shared" si="1"/>
        <v>-0.22630195476147286</v>
      </c>
      <c r="AH38" s="362">
        <f t="shared" si="1"/>
        <v>-0.28819448447902118</v>
      </c>
      <c r="AI38" s="362">
        <f t="shared" si="1"/>
        <v>0.35000000000000142</v>
      </c>
      <c r="AJ38" s="362">
        <f t="shared" si="1"/>
        <v>0.5604544144322503</v>
      </c>
      <c r="AK38" s="362">
        <f t="shared" si="1"/>
        <v>0.67545669710608536</v>
      </c>
      <c r="AL38" s="362">
        <f t="shared" si="1"/>
        <v>-0.11999999999999922</v>
      </c>
    </row>
    <row r="39" spans="1:38">
      <c r="A39" s="358" t="s">
        <v>94</v>
      </c>
      <c r="B39" s="359">
        <v>69</v>
      </c>
      <c r="C39" s="247"/>
      <c r="D39" s="360">
        <v>26.2196606864307</v>
      </c>
      <c r="E39" s="360">
        <v>47.4374428478922</v>
      </c>
      <c r="F39" s="360">
        <v>27.0245551537224</v>
      </c>
      <c r="G39" s="360">
        <v>16.318308767667101</v>
      </c>
      <c r="H39" s="360">
        <v>25.374085924902399</v>
      </c>
      <c r="I39" s="360">
        <v>18.455060834204101</v>
      </c>
      <c r="J39" s="360">
        <v>12.5955387424875</v>
      </c>
      <c r="K39" s="360">
        <v>37.341169850774399</v>
      </c>
      <c r="L39" s="360">
        <v>50.602774806834603</v>
      </c>
      <c r="M39" s="360">
        <v>44.676002560166999</v>
      </c>
      <c r="N39" s="360">
        <v>12.469166549930801</v>
      </c>
      <c r="O39" s="47"/>
      <c r="P39" s="361">
        <v>27.57</v>
      </c>
      <c r="Q39" s="361">
        <v>48.18</v>
      </c>
      <c r="R39" s="361">
        <v>28.37</v>
      </c>
      <c r="S39" s="361">
        <v>18.38</v>
      </c>
      <c r="T39" s="361">
        <v>26.64</v>
      </c>
      <c r="U39" s="361">
        <v>19.91</v>
      </c>
      <c r="V39" s="361">
        <v>14.69</v>
      </c>
      <c r="W39" s="361">
        <v>38.86</v>
      </c>
      <c r="X39" s="361">
        <v>51.21</v>
      </c>
      <c r="Y39" s="361">
        <v>45.24</v>
      </c>
      <c r="Z39" s="361">
        <v>14.35</v>
      </c>
      <c r="AB39" s="362">
        <f t="shared" si="1"/>
        <v>-1.3503393135693003</v>
      </c>
      <c r="AC39" s="362">
        <f t="shared" si="1"/>
        <v>-0.74255715210779982</v>
      </c>
      <c r="AD39" s="362">
        <f t="shared" si="1"/>
        <v>-1.3454448462776014</v>
      </c>
      <c r="AE39" s="362">
        <f t="shared" si="1"/>
        <v>-2.0616912323328975</v>
      </c>
      <c r="AF39" s="362">
        <f t="shared" si="1"/>
        <v>-1.2659140750976015</v>
      </c>
      <c r="AG39" s="362">
        <f t="shared" si="1"/>
        <v>-1.4549391657958992</v>
      </c>
      <c r="AH39" s="362">
        <f t="shared" si="1"/>
        <v>-2.0944612575124992</v>
      </c>
      <c r="AI39" s="362">
        <f t="shared" si="1"/>
        <v>-1.5188301492256002</v>
      </c>
      <c r="AJ39" s="362">
        <f t="shared" si="1"/>
        <v>-0.60722519316539803</v>
      </c>
      <c r="AK39" s="362">
        <f t="shared" si="1"/>
        <v>-0.56399743983300255</v>
      </c>
      <c r="AL39" s="362">
        <f t="shared" si="1"/>
        <v>-1.8808334500691988</v>
      </c>
    </row>
    <row r="40" spans="1:38">
      <c r="A40" s="358" t="s">
        <v>93</v>
      </c>
      <c r="B40" s="359">
        <v>53</v>
      </c>
      <c r="C40" s="247"/>
      <c r="D40" s="360">
        <v>30.58</v>
      </c>
      <c r="E40" s="360">
        <v>60.92</v>
      </c>
      <c r="F40" s="360">
        <v>19.940000000000001</v>
      </c>
      <c r="G40" s="360">
        <v>14.9962</v>
      </c>
      <c r="H40" s="360">
        <v>27.92</v>
      </c>
      <c r="I40" s="360">
        <v>23.93</v>
      </c>
      <c r="J40" s="360">
        <v>18.61</v>
      </c>
      <c r="K40" s="360">
        <v>45.2</v>
      </c>
      <c r="L40" s="360">
        <v>55.25</v>
      </c>
      <c r="M40" s="360">
        <v>30.58</v>
      </c>
      <c r="N40" s="360">
        <v>19.940000000000001</v>
      </c>
      <c r="O40" s="47"/>
      <c r="P40" s="361">
        <v>28.95</v>
      </c>
      <c r="Q40" s="361">
        <v>55.71</v>
      </c>
      <c r="R40" s="361">
        <v>19.440000000000001</v>
      </c>
      <c r="S40" s="361">
        <v>14.83</v>
      </c>
      <c r="T40" s="361">
        <v>26.67</v>
      </c>
      <c r="U40" s="361">
        <v>23.47</v>
      </c>
      <c r="V40" s="361">
        <v>18.02</v>
      </c>
      <c r="W40" s="361">
        <v>42.24</v>
      </c>
      <c r="X40" s="361">
        <v>51.81</v>
      </c>
      <c r="Y40" s="361">
        <v>28.46</v>
      </c>
      <c r="Z40" s="361">
        <v>19.82</v>
      </c>
      <c r="AB40" s="362">
        <f t="shared" si="1"/>
        <v>1.629999999999999</v>
      </c>
      <c r="AC40" s="362">
        <f t="shared" si="1"/>
        <v>5.2100000000000009</v>
      </c>
      <c r="AD40" s="362">
        <f t="shared" si="1"/>
        <v>0.5</v>
      </c>
      <c r="AE40" s="362">
        <f t="shared" si="1"/>
        <v>0.1661999999999999</v>
      </c>
      <c r="AF40" s="362">
        <f t="shared" si="1"/>
        <v>1.25</v>
      </c>
      <c r="AG40" s="362">
        <f t="shared" ref="AG40:AL63" si="2">I40-U40</f>
        <v>0.46000000000000085</v>
      </c>
      <c r="AH40" s="362">
        <f t="shared" si="2"/>
        <v>0.58999999999999986</v>
      </c>
      <c r="AI40" s="362">
        <f t="shared" si="2"/>
        <v>2.9600000000000009</v>
      </c>
      <c r="AJ40" s="362">
        <f t="shared" si="2"/>
        <v>3.4399999999999977</v>
      </c>
      <c r="AK40" s="362">
        <f t="shared" si="2"/>
        <v>2.1199999999999974</v>
      </c>
      <c r="AL40" s="362">
        <f t="shared" si="2"/>
        <v>0.12000000000000099</v>
      </c>
    </row>
    <row r="41" spans="1:38">
      <c r="A41" s="358" t="s">
        <v>67</v>
      </c>
      <c r="B41" s="359">
        <v>58</v>
      </c>
      <c r="C41" s="247"/>
      <c r="D41" s="360">
        <v>22.480741169518581</v>
      </c>
      <c r="E41" s="360">
        <v>21.547840334203311</v>
      </c>
      <c r="F41" s="360">
        <v>27.050250475461421</v>
      </c>
      <c r="G41" s="360">
        <v>18.807856396701489</v>
      </c>
      <c r="H41" s="360">
        <v>28.189392419329071</v>
      </c>
      <c r="I41" s="360">
        <v>32.842522095291343</v>
      </c>
      <c r="J41" s="360">
        <v>33.939185807605931</v>
      </c>
      <c r="K41" s="360">
        <v>38.972601146345482</v>
      </c>
      <c r="L41" s="360">
        <v>34.630864088423387</v>
      </c>
      <c r="M41" s="360">
        <v>28.888513968359945</v>
      </c>
      <c r="N41" s="360">
        <v>17.097357990883623</v>
      </c>
      <c r="O41" s="47"/>
      <c r="P41" s="361">
        <v>22.47</v>
      </c>
      <c r="Q41" s="361">
        <v>21.7</v>
      </c>
      <c r="R41" s="361">
        <v>26.5</v>
      </c>
      <c r="S41" s="361">
        <v>19.14</v>
      </c>
      <c r="T41" s="361">
        <v>27.38</v>
      </c>
      <c r="U41" s="361">
        <v>30.36</v>
      </c>
      <c r="V41" s="361">
        <v>32.44</v>
      </c>
      <c r="W41" s="361">
        <v>36.71</v>
      </c>
      <c r="X41" s="361">
        <v>33.22</v>
      </c>
      <c r="Y41" s="361">
        <v>28.03</v>
      </c>
      <c r="Z41" s="361">
        <v>17.899999999999999</v>
      </c>
      <c r="AB41" s="362">
        <f t="shared" ref="AB41:AF63" si="3">D41-P41</f>
        <v>1.0741169518581728E-2</v>
      </c>
      <c r="AC41" s="362">
        <f t="shared" si="3"/>
        <v>-0.15215966579668816</v>
      </c>
      <c r="AD41" s="362">
        <f t="shared" si="3"/>
        <v>0.55025047546142147</v>
      </c>
      <c r="AE41" s="362">
        <f t="shared" si="3"/>
        <v>-0.33214360329851189</v>
      </c>
      <c r="AF41" s="362">
        <f t="shared" si="3"/>
        <v>0.8093924193290718</v>
      </c>
      <c r="AG41" s="362">
        <f t="shared" si="2"/>
        <v>2.482522095291344</v>
      </c>
      <c r="AH41" s="362">
        <f t="shared" si="2"/>
        <v>1.499185807605933</v>
      </c>
      <c r="AI41" s="362">
        <f t="shared" si="2"/>
        <v>2.2626011463454816</v>
      </c>
      <c r="AJ41" s="362">
        <f t="shared" si="2"/>
        <v>1.4108640884233878</v>
      </c>
      <c r="AK41" s="362">
        <f t="shared" si="2"/>
        <v>0.85851396835994365</v>
      </c>
      <c r="AL41" s="362">
        <f t="shared" si="2"/>
        <v>-0.80264200911637573</v>
      </c>
    </row>
    <row r="42" spans="1:38">
      <c r="A42" s="358" t="s">
        <v>92</v>
      </c>
      <c r="B42" s="359">
        <v>60</v>
      </c>
      <c r="C42" s="247"/>
      <c r="D42" s="360">
        <v>26.87</v>
      </c>
      <c r="E42" s="360">
        <v>47.03</v>
      </c>
      <c r="F42" s="360">
        <v>38.630000000000003</v>
      </c>
      <c r="G42" s="360">
        <v>33.590000000000003</v>
      </c>
      <c r="H42" s="360">
        <v>25.19</v>
      </c>
      <c r="I42" s="360">
        <v>15.12</v>
      </c>
      <c r="J42" s="360">
        <v>20.149999999999999</v>
      </c>
      <c r="K42" s="360">
        <v>35.270000000000003</v>
      </c>
      <c r="L42" s="360">
        <v>48.71</v>
      </c>
      <c r="M42" s="360">
        <v>43.67</v>
      </c>
      <c r="N42" s="360">
        <v>11.76</v>
      </c>
      <c r="O42" s="47"/>
      <c r="P42" s="361">
        <v>26.94</v>
      </c>
      <c r="Q42" s="361">
        <v>45.64</v>
      </c>
      <c r="R42" s="361">
        <v>37.630000000000003</v>
      </c>
      <c r="S42" s="361">
        <v>32.68</v>
      </c>
      <c r="T42" s="361">
        <v>24.35</v>
      </c>
      <c r="U42" s="361">
        <v>16.21</v>
      </c>
      <c r="V42" s="361">
        <v>20.76</v>
      </c>
      <c r="W42" s="361">
        <v>33.69</v>
      </c>
      <c r="X42" s="361">
        <v>45.6</v>
      </c>
      <c r="Y42" s="361">
        <v>41.58</v>
      </c>
      <c r="Z42" s="361">
        <v>13.05</v>
      </c>
      <c r="AB42" s="362">
        <f t="shared" si="3"/>
        <v>-7.0000000000000284E-2</v>
      </c>
      <c r="AC42" s="362">
        <f t="shared" si="3"/>
        <v>1.3900000000000006</v>
      </c>
      <c r="AD42" s="362">
        <f t="shared" si="3"/>
        <v>1</v>
      </c>
      <c r="AE42" s="362">
        <f t="shared" si="3"/>
        <v>0.91000000000000369</v>
      </c>
      <c r="AF42" s="362">
        <f t="shared" si="3"/>
        <v>0.83999999999999986</v>
      </c>
      <c r="AG42" s="362">
        <f t="shared" si="2"/>
        <v>-1.0900000000000016</v>
      </c>
      <c r="AH42" s="362">
        <f t="shared" si="2"/>
        <v>-0.61000000000000298</v>
      </c>
      <c r="AI42" s="362">
        <f t="shared" si="2"/>
        <v>1.5800000000000054</v>
      </c>
      <c r="AJ42" s="362">
        <f t="shared" si="2"/>
        <v>3.1099999999999994</v>
      </c>
      <c r="AK42" s="362">
        <f t="shared" si="2"/>
        <v>2.0900000000000034</v>
      </c>
      <c r="AL42" s="362">
        <f t="shared" si="2"/>
        <v>-1.2900000000000009</v>
      </c>
    </row>
    <row r="43" spans="1:38">
      <c r="A43" s="358" t="s">
        <v>91</v>
      </c>
      <c r="B43" s="359">
        <v>60</v>
      </c>
      <c r="C43" s="247"/>
      <c r="D43" s="360">
        <v>31.053999999999998</v>
      </c>
      <c r="E43" s="360">
        <v>47.65</v>
      </c>
      <c r="F43" s="360">
        <v>26.489000000000001</v>
      </c>
      <c r="G43" s="360">
        <v>34.880000000000003</v>
      </c>
      <c r="H43" s="360">
        <v>28.99</v>
      </c>
      <c r="I43" s="360">
        <v>16.32</v>
      </c>
      <c r="J43" s="360">
        <v>17.611999999999998</v>
      </c>
      <c r="K43" s="360">
        <v>31.931999999999999</v>
      </c>
      <c r="L43" s="360">
        <v>48.612000000000002</v>
      </c>
      <c r="M43" s="360">
        <v>47.61</v>
      </c>
      <c r="N43" s="360">
        <v>11.74</v>
      </c>
      <c r="O43" s="47"/>
      <c r="P43" s="361">
        <v>31.2</v>
      </c>
      <c r="Q43" s="361">
        <v>46.89</v>
      </c>
      <c r="R43" s="361">
        <v>26.37</v>
      </c>
      <c r="S43" s="361">
        <v>34.61</v>
      </c>
      <c r="T43" s="361">
        <v>29.26</v>
      </c>
      <c r="U43" s="361">
        <v>16.350000000000001</v>
      </c>
      <c r="V43" s="361">
        <v>16.63</v>
      </c>
      <c r="W43" s="361">
        <v>31.12</v>
      </c>
      <c r="X43" s="361">
        <v>50.16</v>
      </c>
      <c r="Y43" s="361">
        <v>46.5</v>
      </c>
      <c r="Z43" s="361">
        <v>11.74</v>
      </c>
      <c r="AB43" s="362">
        <f t="shared" si="3"/>
        <v>-0.1460000000000008</v>
      </c>
      <c r="AC43" s="362">
        <f t="shared" si="3"/>
        <v>0.75999999999999801</v>
      </c>
      <c r="AD43" s="362">
        <f t="shared" si="3"/>
        <v>0.11899999999999977</v>
      </c>
      <c r="AE43" s="362">
        <f t="shared" si="3"/>
        <v>0.27000000000000313</v>
      </c>
      <c r="AF43" s="362">
        <f t="shared" si="3"/>
        <v>-0.27000000000000313</v>
      </c>
      <c r="AG43" s="362">
        <f t="shared" si="2"/>
        <v>-3.0000000000001137E-2</v>
      </c>
      <c r="AH43" s="362">
        <f t="shared" si="2"/>
        <v>0.98199999999999932</v>
      </c>
      <c r="AI43" s="362">
        <f t="shared" si="2"/>
        <v>0.81199999999999761</v>
      </c>
      <c r="AJ43" s="362">
        <f t="shared" si="2"/>
        <v>-1.5479999999999947</v>
      </c>
      <c r="AK43" s="362">
        <f t="shared" si="2"/>
        <v>1.1099999999999994</v>
      </c>
      <c r="AL43" s="362">
        <f t="shared" si="2"/>
        <v>0</v>
      </c>
    </row>
    <row r="44" spans="1:38">
      <c r="A44" s="358" t="s">
        <v>90</v>
      </c>
      <c r="B44" s="359">
        <v>52</v>
      </c>
      <c r="C44" s="247"/>
      <c r="D44" s="360">
        <v>22.040245251099961</v>
      </c>
      <c r="E44" s="360">
        <v>45.654793734421354</v>
      </c>
      <c r="F44" s="360">
        <v>26.763154947764239</v>
      </c>
      <c r="G44" s="360">
        <v>31.486064644428517</v>
      </c>
      <c r="H44" s="360">
        <v>23.614548483321389</v>
      </c>
      <c r="I44" s="360">
        <v>20.465942018878536</v>
      </c>
      <c r="J44" s="360">
        <v>23.614548483321389</v>
      </c>
      <c r="K44" s="360">
        <v>26.763154947764239</v>
      </c>
      <c r="L44" s="360">
        <v>37.783277573314223</v>
      </c>
      <c r="M44" s="360">
        <v>22.040245251099961</v>
      </c>
      <c r="N44" s="360">
        <v>14.168729089992834</v>
      </c>
      <c r="O44" s="47"/>
      <c r="P44" s="361">
        <v>22.07</v>
      </c>
      <c r="Q44" s="361">
        <v>49.05</v>
      </c>
      <c r="R44" s="361">
        <v>28.26</v>
      </c>
      <c r="S44" s="361">
        <v>32.380000000000003</v>
      </c>
      <c r="T44" s="361">
        <v>23.71</v>
      </c>
      <c r="U44" s="361">
        <v>20.46</v>
      </c>
      <c r="V44" s="361">
        <v>23.16</v>
      </c>
      <c r="W44" s="361">
        <v>27.15</v>
      </c>
      <c r="X44" s="361">
        <v>39.24</v>
      </c>
      <c r="Y44" s="361">
        <v>22.56</v>
      </c>
      <c r="Z44" s="361">
        <v>13.55</v>
      </c>
      <c r="AB44" s="362">
        <f t="shared" si="3"/>
        <v>-2.9754748900039374E-2</v>
      </c>
      <c r="AC44" s="362">
        <f t="shared" si="3"/>
        <v>-3.3952062655786435</v>
      </c>
      <c r="AD44" s="362">
        <f t="shared" si="3"/>
        <v>-1.4968450522357628</v>
      </c>
      <c r="AE44" s="362">
        <f t="shared" si="3"/>
        <v>-0.89393535557148596</v>
      </c>
      <c r="AF44" s="362">
        <f t="shared" si="3"/>
        <v>-9.5451516678611625E-2</v>
      </c>
      <c r="AG44" s="362">
        <f t="shared" si="2"/>
        <v>5.9420188785352934E-3</v>
      </c>
      <c r="AH44" s="362">
        <f t="shared" si="2"/>
        <v>0.45454848332138909</v>
      </c>
      <c r="AI44" s="362">
        <f t="shared" si="2"/>
        <v>-0.38684505223575982</v>
      </c>
      <c r="AJ44" s="362">
        <f t="shared" si="2"/>
        <v>-1.4567224266857792</v>
      </c>
      <c r="AK44" s="362">
        <f t="shared" si="2"/>
        <v>-0.51975474890003781</v>
      </c>
      <c r="AL44" s="362">
        <f t="shared" si="2"/>
        <v>0.61872908999283283</v>
      </c>
    </row>
    <row r="45" spans="1:38">
      <c r="A45" s="358" t="s">
        <v>89</v>
      </c>
      <c r="B45" s="359">
        <v>79</v>
      </c>
      <c r="C45" s="247"/>
      <c r="D45" s="360">
        <v>26.723206356943621</v>
      </c>
      <c r="E45" s="360">
        <v>64.089918482561458</v>
      </c>
      <c r="F45" s="360">
        <v>27.860593136286372</v>
      </c>
      <c r="G45" s="360">
        <v>37.401791245391642</v>
      </c>
      <c r="H45" s="360">
        <v>32.708931709500376</v>
      </c>
      <c r="I45" s="360">
        <v>13.940095365118923</v>
      </c>
      <c r="J45" s="360">
        <v>18.488475520401973</v>
      </c>
      <c r="K45" s="360">
        <v>31.244985402457843</v>
      </c>
      <c r="L45" s="360">
        <v>53.160165389991825</v>
      </c>
      <c r="M45" s="360">
        <v>24.952298116152786</v>
      </c>
      <c r="N45" s="360">
        <v>9.4319725945715334</v>
      </c>
      <c r="O45" s="47"/>
      <c r="P45" s="361">
        <v>29.27</v>
      </c>
      <c r="Q45" s="361">
        <v>59.92</v>
      </c>
      <c r="R45" s="361">
        <v>28.35</v>
      </c>
      <c r="S45" s="361">
        <v>36.549999999999997</v>
      </c>
      <c r="T45" s="361">
        <v>32.32</v>
      </c>
      <c r="U45" s="361">
        <v>16.350000000000001</v>
      </c>
      <c r="V45" s="361">
        <v>19.739999999999998</v>
      </c>
      <c r="W45" s="361">
        <v>30.91</v>
      </c>
      <c r="X45" s="361">
        <v>50.35</v>
      </c>
      <c r="Y45" s="361">
        <v>25.54</v>
      </c>
      <c r="Z45" s="361">
        <v>12.8</v>
      </c>
      <c r="AB45" s="362">
        <f t="shared" si="3"/>
        <v>-2.5467936430563789</v>
      </c>
      <c r="AC45" s="362">
        <f t="shared" si="3"/>
        <v>4.1699184825614566</v>
      </c>
      <c r="AD45" s="362">
        <f t="shared" si="3"/>
        <v>-0.48940686371362929</v>
      </c>
      <c r="AE45" s="362">
        <f t="shared" si="3"/>
        <v>0.85179124539164519</v>
      </c>
      <c r="AF45" s="362">
        <f t="shared" si="3"/>
        <v>0.38893170950037614</v>
      </c>
      <c r="AG45" s="362">
        <f t="shared" si="2"/>
        <v>-2.4099046348810784</v>
      </c>
      <c r="AH45" s="362">
        <f t="shared" si="2"/>
        <v>-1.2515244795980252</v>
      </c>
      <c r="AI45" s="362">
        <f t="shared" si="2"/>
        <v>0.3349854024578427</v>
      </c>
      <c r="AJ45" s="362">
        <f t="shared" si="2"/>
        <v>2.8101653899918233</v>
      </c>
      <c r="AK45" s="362">
        <f t="shared" si="2"/>
        <v>-0.58770188384721322</v>
      </c>
      <c r="AL45" s="362">
        <f t="shared" si="2"/>
        <v>-3.3680274054284673</v>
      </c>
    </row>
    <row r="46" spans="1:38">
      <c r="A46" s="358" t="s">
        <v>88</v>
      </c>
      <c r="B46" s="359">
        <v>66</v>
      </c>
      <c r="C46" s="247"/>
      <c r="D46" s="360">
        <v>24.153110795504773</v>
      </c>
      <c r="E46" s="360">
        <v>21.54377979655073</v>
      </c>
      <c r="F46" s="360">
        <v>24.11074615499324</v>
      </c>
      <c r="G46" s="360">
        <v>26.376081768358159</v>
      </c>
      <c r="H46" s="360">
        <v>47.50257160167051</v>
      </c>
      <c r="I46" s="360">
        <v>21.395575698728948</v>
      </c>
      <c r="J46" s="360">
        <v>20.481969620077955</v>
      </c>
      <c r="K46" s="360">
        <v>22.719788603867197</v>
      </c>
      <c r="L46" s="360">
        <v>34.335109639227078</v>
      </c>
      <c r="M46" s="360">
        <v>52.814649109869976</v>
      </c>
      <c r="N46" s="360">
        <v>17.427078326923258</v>
      </c>
      <c r="O46" s="47"/>
      <c r="P46" s="361">
        <v>24.21</v>
      </c>
      <c r="Q46" s="361">
        <v>21.99</v>
      </c>
      <c r="R46" s="361">
        <v>24.17</v>
      </c>
      <c r="S46" s="361">
        <v>26.23</v>
      </c>
      <c r="T46" s="361">
        <v>45.3</v>
      </c>
      <c r="U46" s="361">
        <v>22.01</v>
      </c>
      <c r="V46" s="361">
        <v>21.43</v>
      </c>
      <c r="W46" s="361">
        <v>23</v>
      </c>
      <c r="X46" s="361">
        <v>33.1</v>
      </c>
      <c r="Y46" s="361">
        <v>48.73</v>
      </c>
      <c r="Z46" s="361">
        <v>18.43</v>
      </c>
      <c r="AB46" s="362">
        <f t="shared" si="3"/>
        <v>-5.688920449522783E-2</v>
      </c>
      <c r="AC46" s="362">
        <f t="shared" si="3"/>
        <v>-0.44622020344926838</v>
      </c>
      <c r="AD46" s="362">
        <f t="shared" si="3"/>
        <v>-5.9253845006761452E-2</v>
      </c>
      <c r="AE46" s="362">
        <f t="shared" si="3"/>
        <v>0.14608176835815812</v>
      </c>
      <c r="AF46" s="362">
        <f t="shared" si="3"/>
        <v>2.2025716016705132</v>
      </c>
      <c r="AG46" s="362">
        <f t="shared" si="2"/>
        <v>-0.61442430127105396</v>
      </c>
      <c r="AH46" s="362">
        <f t="shared" si="2"/>
        <v>-0.94803037992204509</v>
      </c>
      <c r="AI46" s="362">
        <f t="shared" si="2"/>
        <v>-0.28021139613280255</v>
      </c>
      <c r="AJ46" s="362">
        <f t="shared" si="2"/>
        <v>1.2351096392270762</v>
      </c>
      <c r="AK46" s="362">
        <f t="shared" si="2"/>
        <v>4.0846491098699786</v>
      </c>
      <c r="AL46" s="362">
        <f t="shared" si="2"/>
        <v>-1.0029216730767416</v>
      </c>
    </row>
    <row r="47" spans="1:38">
      <c r="A47" s="358" t="s">
        <v>87</v>
      </c>
      <c r="B47" s="359">
        <v>75</v>
      </c>
      <c r="C47" s="247"/>
      <c r="D47" s="360">
        <v>29.980140892763195</v>
      </c>
      <c r="E47" s="360">
        <v>43.014984759181978</v>
      </c>
      <c r="F47" s="360">
        <v>35.325595745921177</v>
      </c>
      <c r="G47" s="360">
        <v>41.818982110478544</v>
      </c>
      <c r="H47" s="360">
        <v>35.622844268400108</v>
      </c>
      <c r="I47" s="360">
        <v>28.694573357885265</v>
      </c>
      <c r="J47" s="360">
        <v>25.406136472269928</v>
      </c>
      <c r="K47" s="360">
        <v>31.946832748663887</v>
      </c>
      <c r="L47" s="360">
        <v>33.030585600892664</v>
      </c>
      <c r="M47" s="360">
        <v>26.069687732837561</v>
      </c>
      <c r="N47" s="360">
        <v>22.078497341200734</v>
      </c>
      <c r="O47" s="47"/>
      <c r="P47" s="361">
        <v>29.64</v>
      </c>
      <c r="Q47" s="361">
        <v>41.17</v>
      </c>
      <c r="R47" s="361">
        <v>34.020000000000003</v>
      </c>
      <c r="S47" s="361">
        <v>40.39</v>
      </c>
      <c r="T47" s="361">
        <v>36.14</v>
      </c>
      <c r="U47" s="361">
        <v>29.96</v>
      </c>
      <c r="V47" s="361">
        <v>25.52</v>
      </c>
      <c r="W47" s="361">
        <v>31.24</v>
      </c>
      <c r="X47" s="361">
        <v>33.659999999999997</v>
      </c>
      <c r="Y47" s="361">
        <v>26.08</v>
      </c>
      <c r="Z47" s="361">
        <v>21.88</v>
      </c>
      <c r="AB47" s="362">
        <f t="shared" si="3"/>
        <v>0.34014089276319481</v>
      </c>
      <c r="AC47" s="362">
        <f t="shared" si="3"/>
        <v>1.8449847591819761</v>
      </c>
      <c r="AD47" s="362">
        <f t="shared" si="3"/>
        <v>1.305595745921174</v>
      </c>
      <c r="AE47" s="362">
        <f t="shared" si="3"/>
        <v>1.4289821104785432</v>
      </c>
      <c r="AF47" s="362">
        <f t="shared" si="3"/>
        <v>-0.51715573159989248</v>
      </c>
      <c r="AG47" s="362">
        <f t="shared" si="2"/>
        <v>-1.2654266421147362</v>
      </c>
      <c r="AH47" s="362">
        <f t="shared" si="2"/>
        <v>-0.11386352773007147</v>
      </c>
      <c r="AI47" s="362">
        <f t="shared" si="2"/>
        <v>0.70683274866388857</v>
      </c>
      <c r="AJ47" s="362">
        <f t="shared" si="2"/>
        <v>-0.62941439910733266</v>
      </c>
      <c r="AK47" s="362">
        <f t="shared" si="2"/>
        <v>-1.0312267162436939E-2</v>
      </c>
      <c r="AL47" s="362">
        <f t="shared" si="2"/>
        <v>0.19849734120073492</v>
      </c>
    </row>
    <row r="48" spans="1:38">
      <c r="A48" s="358" t="s">
        <v>86</v>
      </c>
      <c r="B48" s="359">
        <v>67</v>
      </c>
      <c r="C48" s="247"/>
      <c r="D48" s="360">
        <v>25.749925191876311</v>
      </c>
      <c r="E48" s="360">
        <v>96.562219469536174</v>
      </c>
      <c r="F48" s="360">
        <v>14.162458855531971</v>
      </c>
      <c r="G48" s="360">
        <v>16.821728552895856</v>
      </c>
      <c r="H48" s="360">
        <v>30.899910230251574</v>
      </c>
      <c r="I48" s="360">
        <v>18.024947634313417</v>
      </c>
      <c r="J48" s="360">
        <v>23.17493267268868</v>
      </c>
      <c r="K48" s="360">
        <v>27.265326105778186</v>
      </c>
      <c r="L48" s="360">
        <v>25.749925191876311</v>
      </c>
      <c r="M48" s="360">
        <v>36.44707853127435</v>
      </c>
      <c r="N48" s="360">
        <v>17.320380000849013</v>
      </c>
      <c r="O48" s="47"/>
      <c r="P48" s="361">
        <v>25.05</v>
      </c>
      <c r="Q48" s="361">
        <v>92.29</v>
      </c>
      <c r="R48" s="361">
        <v>14.66</v>
      </c>
      <c r="S48" s="361">
        <v>17.149999999999999</v>
      </c>
      <c r="T48" s="361">
        <v>30.1</v>
      </c>
      <c r="U48" s="361">
        <v>17.850000000000001</v>
      </c>
      <c r="V48" s="361">
        <v>23.09</v>
      </c>
      <c r="W48" s="361">
        <v>26.84</v>
      </c>
      <c r="X48" s="361">
        <v>25.52</v>
      </c>
      <c r="Y48" s="361">
        <v>35.83</v>
      </c>
      <c r="Z48" s="361">
        <v>17.32</v>
      </c>
      <c r="AB48" s="362">
        <f t="shared" si="3"/>
        <v>0.69992519187631075</v>
      </c>
      <c r="AC48" s="362">
        <f t="shared" si="3"/>
        <v>4.2722194695361679</v>
      </c>
      <c r="AD48" s="362">
        <f t="shared" si="3"/>
        <v>-0.49754114446802866</v>
      </c>
      <c r="AE48" s="362">
        <f t="shared" si="3"/>
        <v>-0.32827144710414302</v>
      </c>
      <c r="AF48" s="362">
        <f t="shared" si="3"/>
        <v>0.79991023025157304</v>
      </c>
      <c r="AG48" s="362">
        <f t="shared" si="2"/>
        <v>0.17494763431341553</v>
      </c>
      <c r="AH48" s="362">
        <f t="shared" si="2"/>
        <v>8.49326726886801E-2</v>
      </c>
      <c r="AI48" s="362">
        <f t="shared" si="2"/>
        <v>0.4253261057781863</v>
      </c>
      <c r="AJ48" s="362">
        <f t="shared" si="2"/>
        <v>0.22992519187631189</v>
      </c>
      <c r="AK48" s="362">
        <f t="shared" si="2"/>
        <v>0.61707853127435186</v>
      </c>
      <c r="AL48" s="362">
        <f t="shared" si="2"/>
        <v>3.8000084901312903E-4</v>
      </c>
    </row>
    <row r="49" spans="1:38">
      <c r="A49" s="358" t="s">
        <v>85</v>
      </c>
      <c r="B49" s="359">
        <v>57</v>
      </c>
      <c r="C49" s="247"/>
      <c r="D49" s="360">
        <v>28.862784028104578</v>
      </c>
      <c r="E49" s="360">
        <v>66.581712774269519</v>
      </c>
      <c r="F49" s="360">
        <v>35.422507670855623</v>
      </c>
      <c r="G49" s="360">
        <v>27.65007540129475</v>
      </c>
      <c r="H49" s="360">
        <v>26.238894571004163</v>
      </c>
      <c r="I49" s="360">
        <v>32.798618213755205</v>
      </c>
      <c r="J49" s="360">
        <v>38.046693013868293</v>
      </c>
      <c r="K49" s="360">
        <v>33.180090481553698</v>
      </c>
      <c r="L49" s="360">
        <v>37.963294305779193</v>
      </c>
      <c r="M49" s="360">
        <v>38.710105561812647</v>
      </c>
      <c r="N49" s="360">
        <v>18.267692555809404</v>
      </c>
      <c r="O49" s="47"/>
      <c r="P49" s="361">
        <v>27.17</v>
      </c>
      <c r="Q49" s="361">
        <v>59.89</v>
      </c>
      <c r="R49" s="361">
        <v>33.04</v>
      </c>
      <c r="S49" s="361">
        <v>25.88</v>
      </c>
      <c r="T49" s="361">
        <v>26.28</v>
      </c>
      <c r="U49" s="361">
        <v>30.85</v>
      </c>
      <c r="V49" s="361">
        <v>36.21</v>
      </c>
      <c r="W49" s="361">
        <v>30.8</v>
      </c>
      <c r="X49" s="361">
        <v>36.119999999999997</v>
      </c>
      <c r="Y49" s="361">
        <v>35.28</v>
      </c>
      <c r="Z49" s="361">
        <v>17.690000000000001</v>
      </c>
      <c r="AB49" s="362">
        <f t="shared" si="3"/>
        <v>1.6927840281045761</v>
      </c>
      <c r="AC49" s="362">
        <f t="shared" si="3"/>
        <v>6.6917127742695186</v>
      </c>
      <c r="AD49" s="362">
        <f t="shared" si="3"/>
        <v>2.3825076708556239</v>
      </c>
      <c r="AE49" s="362">
        <f t="shared" si="3"/>
        <v>1.7700754012947506</v>
      </c>
      <c r="AF49" s="362">
        <f t="shared" si="3"/>
        <v>-4.1105428995837912E-2</v>
      </c>
      <c r="AG49" s="362">
        <f t="shared" si="2"/>
        <v>1.9486182137552035</v>
      </c>
      <c r="AH49" s="362">
        <f t="shared" si="2"/>
        <v>1.8366930138682918</v>
      </c>
      <c r="AI49" s="362">
        <f t="shared" si="2"/>
        <v>2.3800904815536974</v>
      </c>
      <c r="AJ49" s="362">
        <f t="shared" si="2"/>
        <v>1.843294305779196</v>
      </c>
      <c r="AK49" s="362">
        <f t="shared" si="2"/>
        <v>3.4301055618126455</v>
      </c>
      <c r="AL49" s="362">
        <f t="shared" si="2"/>
        <v>0.57769255580940282</v>
      </c>
    </row>
    <row r="50" spans="1:38">
      <c r="A50" s="358" t="s">
        <v>84</v>
      </c>
      <c r="B50" s="359">
        <v>55</v>
      </c>
      <c r="C50" s="247"/>
      <c r="D50" s="360">
        <v>26.104400314290757</v>
      </c>
      <c r="E50" s="360">
        <v>48.087053210535608</v>
      </c>
      <c r="F50" s="360">
        <v>34.347895150382577</v>
      </c>
      <c r="G50" s="360">
        <v>26.48</v>
      </c>
      <c r="H50" s="360">
        <v>32.973979344367272</v>
      </c>
      <c r="I50" s="360">
        <v>17.87</v>
      </c>
      <c r="J50" s="360">
        <v>33.1</v>
      </c>
      <c r="K50" s="360">
        <v>38.469642568428483</v>
      </c>
      <c r="L50" s="360">
        <v>45.339221598504999</v>
      </c>
      <c r="M50" s="360">
        <v>26.104400314290757</v>
      </c>
      <c r="N50" s="360">
        <v>17.860905478198941</v>
      </c>
      <c r="O50" s="47"/>
      <c r="P50" s="361">
        <v>25.28</v>
      </c>
      <c r="Q50" s="361">
        <v>44.99</v>
      </c>
      <c r="R50" s="361">
        <v>32.81</v>
      </c>
      <c r="S50" s="361">
        <v>26.3</v>
      </c>
      <c r="T50" s="361">
        <v>32.94</v>
      </c>
      <c r="U50" s="361">
        <v>18.28</v>
      </c>
      <c r="V50" s="361">
        <v>31.83</v>
      </c>
      <c r="W50" s="361">
        <v>36.6</v>
      </c>
      <c r="X50" s="361">
        <v>43.17</v>
      </c>
      <c r="Y50" s="361">
        <v>26.01</v>
      </c>
      <c r="Z50" s="361">
        <v>18.79</v>
      </c>
      <c r="AB50" s="362">
        <f t="shared" si="3"/>
        <v>0.82440031429075589</v>
      </c>
      <c r="AC50" s="362">
        <f t="shared" si="3"/>
        <v>3.0970532105356057</v>
      </c>
      <c r="AD50" s="362">
        <f t="shared" si="3"/>
        <v>1.5378951503825746</v>
      </c>
      <c r="AE50" s="362">
        <f t="shared" si="3"/>
        <v>0.17999999999999972</v>
      </c>
      <c r="AF50" s="362">
        <f t="shared" si="3"/>
        <v>3.3979344367274678E-2</v>
      </c>
      <c r="AG50" s="362">
        <f t="shared" si="2"/>
        <v>-0.41000000000000014</v>
      </c>
      <c r="AH50" s="362">
        <f t="shared" si="2"/>
        <v>1.2700000000000031</v>
      </c>
      <c r="AI50" s="362">
        <f t="shared" si="2"/>
        <v>1.8696425684284819</v>
      </c>
      <c r="AJ50" s="362">
        <f t="shared" si="2"/>
        <v>2.169221598504997</v>
      </c>
      <c r="AK50" s="362">
        <f t="shared" si="2"/>
        <v>9.440031429075546E-2</v>
      </c>
      <c r="AL50" s="362">
        <f t="shared" si="2"/>
        <v>-0.92909452180105845</v>
      </c>
    </row>
    <row r="51" spans="1:38">
      <c r="A51" s="358" t="s">
        <v>83</v>
      </c>
      <c r="B51" s="359">
        <v>80</v>
      </c>
      <c r="C51" s="247"/>
      <c r="D51" s="360">
        <v>26.18609546237666</v>
      </c>
      <c r="E51" s="360">
        <v>30.77957287977085</v>
      </c>
      <c r="F51" s="360">
        <v>24.73154575805269</v>
      </c>
      <c r="G51" s="360">
        <v>27.53943276130077</v>
      </c>
      <c r="H51" s="360">
        <v>23.327602256428648</v>
      </c>
      <c r="I51" s="360">
        <v>19.47860330682979</v>
      </c>
      <c r="J51" s="360">
        <v>21.986515262816582</v>
      </c>
      <c r="K51" s="360">
        <v>34.835790321542305</v>
      </c>
      <c r="L51" s="360">
        <v>29.106593408271209</v>
      </c>
      <c r="M51" s="360">
        <v>30.048653625923894</v>
      </c>
      <c r="N51" s="360">
        <v>19.933892503333926</v>
      </c>
      <c r="O51" s="47"/>
      <c r="P51" s="361">
        <v>24.93</v>
      </c>
      <c r="Q51" s="361">
        <v>30.63</v>
      </c>
      <c r="R51" s="361">
        <v>25.18</v>
      </c>
      <c r="S51" s="361">
        <v>27.54</v>
      </c>
      <c r="T51" s="361">
        <v>24.22</v>
      </c>
      <c r="U51" s="361">
        <v>20.05</v>
      </c>
      <c r="V51" s="361">
        <v>23.07</v>
      </c>
      <c r="W51" s="361">
        <v>34.229999999999997</v>
      </c>
      <c r="X51" s="361">
        <v>28.93</v>
      </c>
      <c r="Y51" s="361">
        <v>29.66</v>
      </c>
      <c r="Z51" s="361">
        <v>20.6</v>
      </c>
      <c r="AB51" s="362">
        <f t="shared" si="3"/>
        <v>1.2560954623766598</v>
      </c>
      <c r="AC51" s="362">
        <f t="shared" si="3"/>
        <v>0.14957287977085088</v>
      </c>
      <c r="AD51" s="362">
        <f t="shared" si="3"/>
        <v>-0.44845424194731009</v>
      </c>
      <c r="AE51" s="362">
        <f t="shared" si="3"/>
        <v>-5.6723869922947756E-4</v>
      </c>
      <c r="AF51" s="362">
        <f t="shared" si="3"/>
        <v>-0.89239774357135104</v>
      </c>
      <c r="AG51" s="362">
        <f t="shared" si="2"/>
        <v>-0.57139669317021102</v>
      </c>
      <c r="AH51" s="362">
        <f t="shared" si="2"/>
        <v>-1.0834847371834186</v>
      </c>
      <c r="AI51" s="362">
        <f t="shared" si="2"/>
        <v>0.60579032154230816</v>
      </c>
      <c r="AJ51" s="362">
        <f t="shared" si="2"/>
        <v>0.17659340827120928</v>
      </c>
      <c r="AK51" s="362">
        <f t="shared" si="2"/>
        <v>0.38865362592389374</v>
      </c>
      <c r="AL51" s="362">
        <f t="shared" si="2"/>
        <v>-0.6661074966660756</v>
      </c>
    </row>
    <row r="52" spans="1:38">
      <c r="A52" s="358" t="s">
        <v>82</v>
      </c>
      <c r="B52" s="359">
        <v>56</v>
      </c>
      <c r="C52" s="247"/>
      <c r="D52" s="360">
        <v>20.819905226073999</v>
      </c>
      <c r="E52" s="360">
        <v>60.729075854760239</v>
      </c>
      <c r="F52" s="360">
        <v>35.087275846396835</v>
      </c>
      <c r="G52" s="360">
        <v>40.158907630222998</v>
      </c>
      <c r="H52" s="360">
        <v>35.087275846396842</v>
      </c>
      <c r="I52" s="360">
        <v>28.317683608611599</v>
      </c>
      <c r="J52" s="360">
        <v>27.134267935105644</v>
      </c>
      <c r="K52" s="360">
        <v>39.92690010107227</v>
      </c>
      <c r="L52" s="360">
        <v>44.766524355747691</v>
      </c>
      <c r="M52" s="360">
        <v>50.392211879481899</v>
      </c>
      <c r="N52" s="360">
        <v>18.7114376377695</v>
      </c>
      <c r="O52" s="47"/>
      <c r="P52" s="361">
        <v>20.68</v>
      </c>
      <c r="Q52" s="361">
        <v>57.9</v>
      </c>
      <c r="R52" s="361">
        <v>34.119999999999997</v>
      </c>
      <c r="S52" s="361">
        <v>39.61</v>
      </c>
      <c r="T52" s="361">
        <v>35.049999999999997</v>
      </c>
      <c r="U52" s="361">
        <v>28.21</v>
      </c>
      <c r="V52" s="361">
        <v>26.74</v>
      </c>
      <c r="W52" s="361">
        <v>38.840000000000003</v>
      </c>
      <c r="X52" s="361">
        <v>43.94</v>
      </c>
      <c r="Y52" s="361">
        <v>48.88</v>
      </c>
      <c r="Z52" s="361">
        <v>18.48</v>
      </c>
      <c r="AB52" s="362">
        <f t="shared" si="3"/>
        <v>0.13990522607399924</v>
      </c>
      <c r="AC52" s="362">
        <f t="shared" si="3"/>
        <v>2.8290758547602408</v>
      </c>
      <c r="AD52" s="362">
        <f t="shared" si="3"/>
        <v>0.96727584639683784</v>
      </c>
      <c r="AE52" s="362">
        <f t="shared" si="3"/>
        <v>0.54890763022299893</v>
      </c>
      <c r="AF52" s="362">
        <f t="shared" si="3"/>
        <v>3.7275846396845225E-2</v>
      </c>
      <c r="AG52" s="362">
        <f t="shared" si="2"/>
        <v>0.1076836086115982</v>
      </c>
      <c r="AH52" s="362">
        <f t="shared" si="2"/>
        <v>0.39426793510564551</v>
      </c>
      <c r="AI52" s="362">
        <f t="shared" si="2"/>
        <v>1.086900101072267</v>
      </c>
      <c r="AJ52" s="362">
        <f t="shared" si="2"/>
        <v>0.82652435574769356</v>
      </c>
      <c r="AK52" s="362">
        <f t="shared" si="2"/>
        <v>1.5122118794818959</v>
      </c>
      <c r="AL52" s="362">
        <f t="shared" si="2"/>
        <v>0.2314376377694991</v>
      </c>
    </row>
    <row r="53" spans="1:38">
      <c r="A53" s="358" t="s">
        <v>81</v>
      </c>
      <c r="B53" s="359">
        <v>60</v>
      </c>
      <c r="C53" s="247"/>
      <c r="D53" s="360">
        <v>24.63</v>
      </c>
      <c r="E53" s="360">
        <v>52.79</v>
      </c>
      <c r="F53" s="360">
        <v>22.87</v>
      </c>
      <c r="G53" s="360">
        <v>26.39</v>
      </c>
      <c r="H53" s="360">
        <v>28.15</v>
      </c>
      <c r="I53" s="360">
        <v>15.84</v>
      </c>
      <c r="J53" s="360">
        <v>15.84</v>
      </c>
      <c r="K53" s="360">
        <v>36.950000000000003</v>
      </c>
      <c r="L53" s="360">
        <v>26.39</v>
      </c>
      <c r="M53" s="360">
        <v>22.87</v>
      </c>
      <c r="N53" s="360">
        <v>12.32</v>
      </c>
      <c r="O53" s="47"/>
      <c r="P53" s="361">
        <v>25.02</v>
      </c>
      <c r="Q53" s="361">
        <v>53.24</v>
      </c>
      <c r="R53" s="361">
        <v>22.38</v>
      </c>
      <c r="S53" s="361">
        <v>26.88</v>
      </c>
      <c r="T53" s="361">
        <v>28.29</v>
      </c>
      <c r="U53" s="361">
        <v>17.12</v>
      </c>
      <c r="V53" s="361">
        <v>16.41</v>
      </c>
      <c r="W53" s="361">
        <v>37.58</v>
      </c>
      <c r="X53" s="361">
        <v>27.51</v>
      </c>
      <c r="Y53" s="361">
        <v>22.26</v>
      </c>
      <c r="Z53" s="361">
        <v>12.32</v>
      </c>
      <c r="AB53" s="362">
        <f t="shared" si="3"/>
        <v>-0.39000000000000057</v>
      </c>
      <c r="AC53" s="362">
        <f t="shared" si="3"/>
        <v>-0.45000000000000284</v>
      </c>
      <c r="AD53" s="362">
        <f t="shared" si="3"/>
        <v>0.49000000000000199</v>
      </c>
      <c r="AE53" s="362">
        <f t="shared" si="3"/>
        <v>-0.48999999999999844</v>
      </c>
      <c r="AF53" s="362">
        <f t="shared" si="3"/>
        <v>-0.14000000000000057</v>
      </c>
      <c r="AG53" s="362">
        <f t="shared" si="2"/>
        <v>-1.2800000000000011</v>
      </c>
      <c r="AH53" s="362">
        <f t="shared" si="2"/>
        <v>-0.57000000000000028</v>
      </c>
      <c r="AI53" s="362">
        <f t="shared" si="2"/>
        <v>-0.62999999999999545</v>
      </c>
      <c r="AJ53" s="362">
        <f t="shared" si="2"/>
        <v>-1.120000000000001</v>
      </c>
      <c r="AK53" s="362">
        <f t="shared" si="2"/>
        <v>0.60999999999999943</v>
      </c>
      <c r="AL53" s="362">
        <f t="shared" si="2"/>
        <v>0</v>
      </c>
    </row>
    <row r="54" spans="1:38">
      <c r="A54" s="358" t="s">
        <v>80</v>
      </c>
      <c r="B54" s="359">
        <v>61</v>
      </c>
      <c r="C54" s="247"/>
      <c r="D54" s="360">
        <v>28.921631999999999</v>
      </c>
      <c r="E54" s="360">
        <v>21.497836400000001</v>
      </c>
      <c r="F54" s="360">
        <v>35.536350800000001</v>
      </c>
      <c r="G54" s="360">
        <v>30.5753117</v>
      </c>
      <c r="H54" s="360">
        <v>34.727274100000002</v>
      </c>
      <c r="I54" s="360">
        <v>26.4944019</v>
      </c>
      <c r="J54" s="360">
        <v>28.921631999999999</v>
      </c>
      <c r="K54" s="360">
        <v>29.479192399999999</v>
      </c>
      <c r="L54" s="360">
        <v>45.458429199999998</v>
      </c>
      <c r="M54" s="360">
        <v>27.000306200000001</v>
      </c>
      <c r="N54" s="360">
        <v>24.2945119</v>
      </c>
      <c r="O54" s="47"/>
      <c r="P54" s="361">
        <v>29.44</v>
      </c>
      <c r="Q54" s="361">
        <v>22.24</v>
      </c>
      <c r="R54" s="361">
        <v>34.67</v>
      </c>
      <c r="S54" s="361">
        <v>30.37</v>
      </c>
      <c r="T54" s="361">
        <v>34.04</v>
      </c>
      <c r="U54" s="361">
        <v>23.7</v>
      </c>
      <c r="V54" s="361">
        <v>29.27</v>
      </c>
      <c r="W54" s="361">
        <v>29.46</v>
      </c>
      <c r="X54" s="361">
        <v>45.58</v>
      </c>
      <c r="Y54" s="361">
        <v>26.95</v>
      </c>
      <c r="Z54" s="361">
        <v>25.68</v>
      </c>
      <c r="AB54" s="362">
        <f t="shared" si="3"/>
        <v>-0.51836800000000238</v>
      </c>
      <c r="AC54" s="362">
        <f t="shared" si="3"/>
        <v>-0.74216359999999781</v>
      </c>
      <c r="AD54" s="362">
        <f t="shared" si="3"/>
        <v>0.86635079999999931</v>
      </c>
      <c r="AE54" s="362">
        <f t="shared" si="3"/>
        <v>0.20531169999999932</v>
      </c>
      <c r="AF54" s="362">
        <f t="shared" si="3"/>
        <v>0.68727410000000333</v>
      </c>
      <c r="AG54" s="362">
        <f t="shared" si="2"/>
        <v>2.7944019000000004</v>
      </c>
      <c r="AH54" s="362">
        <f t="shared" si="2"/>
        <v>-0.34836800000000068</v>
      </c>
      <c r="AI54" s="362">
        <f t="shared" si="2"/>
        <v>1.9192399999997889E-2</v>
      </c>
      <c r="AJ54" s="362">
        <f t="shared" si="2"/>
        <v>-0.12157080000000065</v>
      </c>
      <c r="AK54" s="362">
        <f t="shared" si="2"/>
        <v>5.0306200000001411E-2</v>
      </c>
      <c r="AL54" s="362">
        <f t="shared" si="2"/>
        <v>-1.3854880999999999</v>
      </c>
    </row>
    <row r="55" spans="1:38">
      <c r="A55" s="358" t="s">
        <v>79</v>
      </c>
      <c r="B55" s="359">
        <v>53</v>
      </c>
      <c r="C55" s="247"/>
      <c r="D55" s="360">
        <v>20.97</v>
      </c>
      <c r="E55" s="360">
        <v>46.78</v>
      </c>
      <c r="F55" s="360">
        <v>24.2</v>
      </c>
      <c r="G55" s="360">
        <v>28.49</v>
      </c>
      <c r="H55" s="360">
        <v>39.72</v>
      </c>
      <c r="I55" s="360">
        <v>18.850000000000001</v>
      </c>
      <c r="J55" s="360">
        <v>15.71</v>
      </c>
      <c r="K55" s="360">
        <v>46.24</v>
      </c>
      <c r="L55" s="360">
        <v>31.18</v>
      </c>
      <c r="M55" s="360">
        <v>39.79</v>
      </c>
      <c r="N55" s="360">
        <v>14.38</v>
      </c>
      <c r="O55" s="47"/>
      <c r="P55" s="361">
        <v>21.45</v>
      </c>
      <c r="Q55" s="361">
        <v>46.63</v>
      </c>
      <c r="R55" s="361">
        <v>25.38</v>
      </c>
      <c r="S55" s="361">
        <v>28.82</v>
      </c>
      <c r="T55" s="361">
        <v>37.89</v>
      </c>
      <c r="U55" s="361">
        <v>18.7</v>
      </c>
      <c r="V55" s="361">
        <v>16.21</v>
      </c>
      <c r="W55" s="361">
        <v>45.57</v>
      </c>
      <c r="X55" s="361">
        <v>31.48</v>
      </c>
      <c r="Y55" s="361">
        <v>39.4</v>
      </c>
      <c r="Z55" s="361">
        <v>15.19</v>
      </c>
      <c r="AB55" s="362">
        <f t="shared" si="3"/>
        <v>-0.48000000000000043</v>
      </c>
      <c r="AC55" s="362">
        <f t="shared" si="3"/>
        <v>0.14999999999999858</v>
      </c>
      <c r="AD55" s="362">
        <f t="shared" si="3"/>
        <v>-1.1799999999999997</v>
      </c>
      <c r="AE55" s="362">
        <f t="shared" si="3"/>
        <v>-0.33000000000000185</v>
      </c>
      <c r="AF55" s="362">
        <f t="shared" si="3"/>
        <v>1.8299999999999983</v>
      </c>
      <c r="AG55" s="362">
        <f t="shared" si="2"/>
        <v>0.15000000000000213</v>
      </c>
      <c r="AH55" s="362">
        <f t="shared" si="2"/>
        <v>-0.5</v>
      </c>
      <c r="AI55" s="362">
        <f t="shared" si="2"/>
        <v>0.67000000000000171</v>
      </c>
      <c r="AJ55" s="362">
        <f t="shared" si="2"/>
        <v>-0.30000000000000071</v>
      </c>
      <c r="AK55" s="362">
        <f t="shared" si="2"/>
        <v>0.39000000000000057</v>
      </c>
      <c r="AL55" s="362">
        <f t="shared" si="2"/>
        <v>-0.80999999999999872</v>
      </c>
    </row>
    <row r="56" spans="1:38">
      <c r="A56" s="358" t="s">
        <v>126</v>
      </c>
      <c r="B56" s="359">
        <v>53</v>
      </c>
      <c r="C56" s="247"/>
      <c r="D56" s="360">
        <v>20.69</v>
      </c>
      <c r="E56" s="360">
        <v>45.751320671669291</v>
      </c>
      <c r="F56" s="360">
        <v>27.396718678663838</v>
      </c>
      <c r="G56" s="360">
        <v>25.991249199906171</v>
      </c>
      <c r="H56" s="360">
        <v>24.595906500780767</v>
      </c>
      <c r="I56" s="360">
        <v>15.47116143573764</v>
      </c>
      <c r="J56" s="360">
        <v>18.808634382949997</v>
      </c>
      <c r="K56" s="360">
        <v>30.207657636179171</v>
      </c>
      <c r="L56" s="360">
        <v>40.560595352459515</v>
      </c>
      <c r="M56" s="360">
        <v>21.356640261864563</v>
      </c>
      <c r="N56" s="360">
        <v>16.360250052934553</v>
      </c>
      <c r="O56" s="47"/>
      <c r="P56" s="361">
        <v>20.78</v>
      </c>
      <c r="Q56" s="361">
        <v>44.42</v>
      </c>
      <c r="R56" s="361">
        <v>26.86</v>
      </c>
      <c r="S56" s="361">
        <v>25.93</v>
      </c>
      <c r="T56" s="361">
        <v>24.36</v>
      </c>
      <c r="U56" s="361">
        <v>15.8</v>
      </c>
      <c r="V56" s="361">
        <v>19.079999999999998</v>
      </c>
      <c r="W56" s="361">
        <v>30.56</v>
      </c>
      <c r="X56" s="361">
        <v>41.04</v>
      </c>
      <c r="Y56" s="361">
        <v>21.77</v>
      </c>
      <c r="Z56" s="361">
        <v>16.77</v>
      </c>
      <c r="AB56" s="362">
        <f t="shared" si="3"/>
        <v>-8.9999999999999858E-2</v>
      </c>
      <c r="AC56" s="362">
        <f t="shared" si="3"/>
        <v>1.3313206716692889</v>
      </c>
      <c r="AD56" s="362">
        <f t="shared" si="3"/>
        <v>0.53671867866383849</v>
      </c>
      <c r="AE56" s="362">
        <f t="shared" si="3"/>
        <v>6.1249199906171725E-2</v>
      </c>
      <c r="AF56" s="362">
        <f t="shared" si="3"/>
        <v>0.23590650078076791</v>
      </c>
      <c r="AG56" s="362">
        <f t="shared" si="2"/>
        <v>-0.32883856426236058</v>
      </c>
      <c r="AH56" s="362">
        <f t="shared" si="2"/>
        <v>-0.27136561705000162</v>
      </c>
      <c r="AI56" s="362">
        <f t="shared" si="2"/>
        <v>-0.35234236382082784</v>
      </c>
      <c r="AJ56" s="362">
        <f t="shared" si="2"/>
        <v>-0.47940464754048406</v>
      </c>
      <c r="AK56" s="362">
        <f t="shared" si="2"/>
        <v>-0.41335973813543703</v>
      </c>
      <c r="AL56" s="362">
        <f t="shared" si="2"/>
        <v>-0.40974994706544621</v>
      </c>
    </row>
    <row r="57" spans="1:38">
      <c r="A57" s="358" t="s">
        <v>78</v>
      </c>
      <c r="B57" s="359">
        <v>44</v>
      </c>
      <c r="C57" s="247"/>
      <c r="D57" s="360">
        <v>28.125085390123001</v>
      </c>
      <c r="E57" s="360">
        <v>52.787961861987199</v>
      </c>
      <c r="F57" s="360">
        <v>28.142413987010698</v>
      </c>
      <c r="G57" s="360">
        <v>32.664923239405901</v>
      </c>
      <c r="H57" s="360">
        <v>32.502234330829097</v>
      </c>
      <c r="I57" s="360">
        <v>19.9554291191759</v>
      </c>
      <c r="J57" s="360">
        <v>16.254368372538899</v>
      </c>
      <c r="K57" s="360">
        <v>40.397519132352897</v>
      </c>
      <c r="L57" s="360">
        <v>44.663950359028398</v>
      </c>
      <c r="M57" s="360">
        <v>50.077051283490199</v>
      </c>
      <c r="N57" s="360">
        <v>15.769546350337199</v>
      </c>
      <c r="O57" s="47"/>
      <c r="P57" s="361">
        <v>28.52</v>
      </c>
      <c r="Q57" s="361">
        <v>48.91</v>
      </c>
      <c r="R57" s="361">
        <v>28.05</v>
      </c>
      <c r="S57" s="361">
        <v>32.090000000000003</v>
      </c>
      <c r="T57" s="361">
        <v>31.56</v>
      </c>
      <c r="U57" s="361">
        <v>21.31</v>
      </c>
      <c r="V57" s="361">
        <v>18.47</v>
      </c>
      <c r="W57" s="361">
        <v>38.36</v>
      </c>
      <c r="X57" s="361">
        <v>43.34</v>
      </c>
      <c r="Y57" s="361">
        <v>46.58</v>
      </c>
      <c r="Z57" s="361">
        <v>17.77</v>
      </c>
      <c r="AB57" s="362">
        <f t="shared" si="3"/>
        <v>-0.39491460987699867</v>
      </c>
      <c r="AC57" s="362">
        <f t="shared" si="3"/>
        <v>3.8779618619872025</v>
      </c>
      <c r="AD57" s="362">
        <f t="shared" si="3"/>
        <v>9.2413987010697696E-2</v>
      </c>
      <c r="AE57" s="362">
        <f t="shared" si="3"/>
        <v>0.57492323940589785</v>
      </c>
      <c r="AF57" s="362">
        <f t="shared" si="3"/>
        <v>0.94223433082909835</v>
      </c>
      <c r="AG57" s="362">
        <f t="shared" si="2"/>
        <v>-1.3545708808240988</v>
      </c>
      <c r="AH57" s="362">
        <f t="shared" si="2"/>
        <v>-2.2156316274611001</v>
      </c>
      <c r="AI57" s="362">
        <f t="shared" si="2"/>
        <v>2.0375191323528981</v>
      </c>
      <c r="AJ57" s="362">
        <f t="shared" si="2"/>
        <v>1.3239503590283945</v>
      </c>
      <c r="AK57" s="362">
        <f t="shared" si="2"/>
        <v>3.497051283490201</v>
      </c>
      <c r="AL57" s="362">
        <f t="shared" si="2"/>
        <v>-2.0004536496628003</v>
      </c>
    </row>
    <row r="58" spans="1:38">
      <c r="A58" s="358" t="s">
        <v>77</v>
      </c>
      <c r="B58" s="359">
        <v>53</v>
      </c>
      <c r="C58" s="247"/>
      <c r="D58" s="360">
        <v>17.21652085294706</v>
      </c>
      <c r="E58" s="360">
        <v>33.744359304321769</v>
      </c>
      <c r="F58" s="360">
        <v>22.191092810233641</v>
      </c>
      <c r="G58" s="360">
        <v>29.178955547006691</v>
      </c>
      <c r="H58" s="360">
        <v>23.50091873722474</v>
      </c>
      <c r="I58" s="360">
        <v>15.613731119984513</v>
      </c>
      <c r="J58" s="360">
        <v>14.050879762893759</v>
      </c>
      <c r="K58" s="360">
        <v>38.794976161964804</v>
      </c>
      <c r="L58" s="360">
        <v>29.178955547006691</v>
      </c>
      <c r="M58" s="360">
        <v>31.030269365444784</v>
      </c>
      <c r="N58" s="360">
        <v>15.748815133529346</v>
      </c>
      <c r="O58" s="47"/>
      <c r="P58" s="361">
        <v>17.350000000000001</v>
      </c>
      <c r="Q58" s="361">
        <v>33.58</v>
      </c>
      <c r="R58" s="361">
        <v>22.04</v>
      </c>
      <c r="S58" s="361">
        <v>28.97</v>
      </c>
      <c r="T58" s="361">
        <v>23.44</v>
      </c>
      <c r="U58" s="361">
        <v>15.56</v>
      </c>
      <c r="V58" s="361">
        <v>14.46</v>
      </c>
      <c r="W58" s="361">
        <v>37.840000000000003</v>
      </c>
      <c r="X58" s="361">
        <v>29.29</v>
      </c>
      <c r="Y58" s="361">
        <v>31.75</v>
      </c>
      <c r="Z58" s="361">
        <v>15.14</v>
      </c>
      <c r="AB58" s="362">
        <f t="shared" si="3"/>
        <v>-0.13347914705294173</v>
      </c>
      <c r="AC58" s="362">
        <f t="shared" si="3"/>
        <v>0.16435930432177059</v>
      </c>
      <c r="AD58" s="362">
        <f t="shared" si="3"/>
        <v>0.15109281023364218</v>
      </c>
      <c r="AE58" s="362">
        <f t="shared" si="3"/>
        <v>0.20895554700669194</v>
      </c>
      <c r="AF58" s="362">
        <f t="shared" si="3"/>
        <v>6.0918737224739061E-2</v>
      </c>
      <c r="AG58" s="362">
        <f t="shared" si="2"/>
        <v>5.3731119984512077E-2</v>
      </c>
      <c r="AH58" s="362">
        <f t="shared" si="2"/>
        <v>-0.4091202371062419</v>
      </c>
      <c r="AI58" s="362">
        <f t="shared" si="2"/>
        <v>0.95497616196480095</v>
      </c>
      <c r="AJ58" s="362">
        <f t="shared" si="2"/>
        <v>-0.11104445299330834</v>
      </c>
      <c r="AK58" s="362">
        <f t="shared" si="2"/>
        <v>-0.71973063455521569</v>
      </c>
      <c r="AL58" s="362">
        <f t="shared" si="2"/>
        <v>0.60881513352934569</v>
      </c>
    </row>
    <row r="59" spans="1:38">
      <c r="A59" s="358" t="s">
        <v>76</v>
      </c>
      <c r="B59" s="359">
        <v>57</v>
      </c>
      <c r="C59" s="247"/>
      <c r="D59" s="360">
        <v>26.596515787179484</v>
      </c>
      <c r="E59" s="360">
        <v>26.596515787179484</v>
      </c>
      <c r="F59" s="360">
        <v>47.698313410503289</v>
      </c>
      <c r="G59" s="360">
        <v>47.0813592754822</v>
      </c>
      <c r="H59" s="360">
        <v>21.274193763452264</v>
      </c>
      <c r="I59" s="360">
        <v>31.982262029231599</v>
      </c>
      <c r="J59" s="360">
        <v>16.442805126456154</v>
      </c>
      <c r="K59" s="360">
        <v>26.596515787179484</v>
      </c>
      <c r="L59" s="360">
        <v>31.792044166147498</v>
      </c>
      <c r="M59" s="360">
        <v>36.238152513395427</v>
      </c>
      <c r="N59" s="360">
        <v>21.022522156544362</v>
      </c>
      <c r="O59" s="47"/>
      <c r="P59" s="361">
        <v>26.29</v>
      </c>
      <c r="Q59" s="361">
        <v>26.26</v>
      </c>
      <c r="R59" s="361">
        <v>45.89</v>
      </c>
      <c r="S59" s="361">
        <v>45.89</v>
      </c>
      <c r="T59" s="361">
        <v>21.53</v>
      </c>
      <c r="U59" s="361">
        <v>31.13</v>
      </c>
      <c r="V59" s="361">
        <v>16.2</v>
      </c>
      <c r="W59" s="361">
        <v>26.08</v>
      </c>
      <c r="X59" s="361">
        <v>31.92</v>
      </c>
      <c r="Y59" s="361">
        <v>36.840000000000003</v>
      </c>
      <c r="Z59" s="361">
        <v>21.26</v>
      </c>
      <c r="AB59" s="362">
        <f t="shared" si="3"/>
        <v>0.30651578717948524</v>
      </c>
      <c r="AC59" s="362">
        <f t="shared" si="3"/>
        <v>0.33651578717948283</v>
      </c>
      <c r="AD59" s="362">
        <f t="shared" si="3"/>
        <v>1.8083134105032883</v>
      </c>
      <c r="AE59" s="362">
        <f t="shared" si="3"/>
        <v>1.1913592754821991</v>
      </c>
      <c r="AF59" s="362">
        <f t="shared" si="3"/>
        <v>-0.2558062365477376</v>
      </c>
      <c r="AG59" s="362">
        <f t="shared" si="2"/>
        <v>0.85226202923159988</v>
      </c>
      <c r="AH59" s="362">
        <f t="shared" si="2"/>
        <v>0.2428051264561546</v>
      </c>
      <c r="AI59" s="362">
        <f t="shared" si="2"/>
        <v>0.5165157871794861</v>
      </c>
      <c r="AJ59" s="362">
        <f t="shared" si="2"/>
        <v>-0.12795583385250353</v>
      </c>
      <c r="AK59" s="362">
        <f t="shared" si="2"/>
        <v>-0.60184748660457643</v>
      </c>
      <c r="AL59" s="362">
        <f t="shared" si="2"/>
        <v>-0.23747784345563971</v>
      </c>
    </row>
    <row r="60" spans="1:38">
      <c r="A60" s="358" t="s">
        <v>75</v>
      </c>
      <c r="B60" s="359">
        <v>55</v>
      </c>
      <c r="C60" s="247"/>
      <c r="D60" s="360">
        <v>21.35</v>
      </c>
      <c r="E60" s="360">
        <v>13.65</v>
      </c>
      <c r="F60" s="360">
        <v>34.880000000000003</v>
      </c>
      <c r="G60" s="360">
        <v>41.22</v>
      </c>
      <c r="H60" s="360">
        <v>27.05</v>
      </c>
      <c r="I60" s="360">
        <v>19.87</v>
      </c>
      <c r="J60" s="360">
        <v>29.98</v>
      </c>
      <c r="K60" s="360">
        <v>35.6</v>
      </c>
      <c r="L60" s="360">
        <v>40.409999999999997</v>
      </c>
      <c r="M60" s="360">
        <v>29.33</v>
      </c>
      <c r="N60" s="360">
        <v>20.58</v>
      </c>
      <c r="O60" s="47"/>
      <c r="P60" s="361">
        <v>22.65</v>
      </c>
      <c r="Q60" s="361">
        <v>15.01</v>
      </c>
      <c r="R60" s="361">
        <v>34.76</v>
      </c>
      <c r="S60" s="361">
        <v>39.49</v>
      </c>
      <c r="T60" s="361">
        <v>28.35</v>
      </c>
      <c r="U60" s="361">
        <v>31.12</v>
      </c>
      <c r="V60" s="361">
        <v>28.91</v>
      </c>
      <c r="W60" s="361">
        <v>35.28</v>
      </c>
      <c r="X60" s="361">
        <v>41.03</v>
      </c>
      <c r="Y60" s="361">
        <v>30.03</v>
      </c>
      <c r="Z60" s="361">
        <v>20.79</v>
      </c>
      <c r="AB60" s="362">
        <f t="shared" si="3"/>
        <v>-1.2999999999999972</v>
      </c>
      <c r="AC60" s="362">
        <f t="shared" si="3"/>
        <v>-1.3599999999999994</v>
      </c>
      <c r="AD60" s="362">
        <f t="shared" si="3"/>
        <v>0.12000000000000455</v>
      </c>
      <c r="AE60" s="362">
        <f t="shared" si="3"/>
        <v>1.7299999999999969</v>
      </c>
      <c r="AF60" s="362">
        <f t="shared" si="3"/>
        <v>-1.3000000000000007</v>
      </c>
      <c r="AG60" s="362">
        <f t="shared" si="2"/>
        <v>-11.25</v>
      </c>
      <c r="AH60" s="362">
        <f t="shared" si="2"/>
        <v>1.0700000000000003</v>
      </c>
      <c r="AI60" s="362">
        <f t="shared" si="2"/>
        <v>0.32000000000000028</v>
      </c>
      <c r="AJ60" s="362">
        <f t="shared" si="2"/>
        <v>-0.62000000000000455</v>
      </c>
      <c r="AK60" s="362">
        <f t="shared" si="2"/>
        <v>-0.70000000000000284</v>
      </c>
      <c r="AL60" s="362">
        <f t="shared" si="2"/>
        <v>-0.21000000000000085</v>
      </c>
    </row>
    <row r="61" spans="1:38">
      <c r="A61" s="358" t="s">
        <v>74</v>
      </c>
      <c r="B61" s="359">
        <v>55</v>
      </c>
      <c r="C61" s="247"/>
      <c r="D61" s="360">
        <v>30.5</v>
      </c>
      <c r="E61" s="360">
        <v>48.070013673003331</v>
      </c>
      <c r="F61" s="360">
        <v>32</v>
      </c>
      <c r="G61" s="360">
        <v>35.5</v>
      </c>
      <c r="H61" s="360">
        <v>21</v>
      </c>
      <c r="I61" s="360">
        <v>22.975939665375193</v>
      </c>
      <c r="J61" s="360">
        <v>24.282062414926489</v>
      </c>
      <c r="K61" s="360">
        <v>26.5</v>
      </c>
      <c r="L61" s="360">
        <v>34.5</v>
      </c>
      <c r="M61" s="360">
        <v>29</v>
      </c>
      <c r="N61" s="360">
        <v>19.416151776054992</v>
      </c>
      <c r="O61" s="47"/>
      <c r="P61" s="361">
        <v>28.45</v>
      </c>
      <c r="Q61" s="361">
        <v>43.18</v>
      </c>
      <c r="R61" s="361">
        <v>30.23</v>
      </c>
      <c r="S61" s="361">
        <v>33.700000000000003</v>
      </c>
      <c r="T61" s="361">
        <v>20.65</v>
      </c>
      <c r="U61" s="361">
        <v>22.44</v>
      </c>
      <c r="V61" s="361">
        <v>23.28</v>
      </c>
      <c r="W61" s="361">
        <v>25.36</v>
      </c>
      <c r="X61" s="361">
        <v>33.090000000000003</v>
      </c>
      <c r="Y61" s="361">
        <v>27.45</v>
      </c>
      <c r="Z61" s="361">
        <v>19.010000000000002</v>
      </c>
      <c r="AB61" s="362">
        <f t="shared" si="3"/>
        <v>2.0500000000000007</v>
      </c>
      <c r="AC61" s="362">
        <f t="shared" si="3"/>
        <v>4.890013673003331</v>
      </c>
      <c r="AD61" s="362">
        <f t="shared" si="3"/>
        <v>1.7699999999999996</v>
      </c>
      <c r="AE61" s="362">
        <f t="shared" si="3"/>
        <v>1.7999999999999972</v>
      </c>
      <c r="AF61" s="362">
        <f t="shared" si="3"/>
        <v>0.35000000000000142</v>
      </c>
      <c r="AG61" s="362">
        <f t="shared" si="2"/>
        <v>0.53593966537519222</v>
      </c>
      <c r="AH61" s="362">
        <f t="shared" si="2"/>
        <v>1.0020624149264883</v>
      </c>
      <c r="AI61" s="362">
        <f t="shared" si="2"/>
        <v>1.1400000000000006</v>
      </c>
      <c r="AJ61" s="362">
        <f t="shared" si="2"/>
        <v>1.4099999999999966</v>
      </c>
      <c r="AK61" s="362">
        <f t="shared" si="2"/>
        <v>1.5500000000000007</v>
      </c>
      <c r="AL61" s="362">
        <f t="shared" si="2"/>
        <v>0.40615177605499042</v>
      </c>
    </row>
    <row r="62" spans="1:38">
      <c r="A62" s="358" t="s">
        <v>73</v>
      </c>
      <c r="B62" s="359">
        <v>71</v>
      </c>
      <c r="C62" s="247"/>
      <c r="D62" s="360">
        <v>41.06</v>
      </c>
      <c r="E62" s="360">
        <v>67.55</v>
      </c>
      <c r="F62" s="360">
        <v>50.331000000000003</v>
      </c>
      <c r="G62" s="360">
        <v>39.74</v>
      </c>
      <c r="H62" s="360">
        <v>34.44</v>
      </c>
      <c r="I62" s="360">
        <v>29.49</v>
      </c>
      <c r="J62" s="360">
        <v>26.49</v>
      </c>
      <c r="K62" s="360">
        <v>38.409999999999997</v>
      </c>
      <c r="L62" s="360">
        <v>74.17</v>
      </c>
      <c r="M62" s="360">
        <v>56.95</v>
      </c>
      <c r="N62" s="360">
        <v>22.52</v>
      </c>
      <c r="O62" s="47"/>
      <c r="P62" s="361">
        <v>39.47</v>
      </c>
      <c r="Q62" s="361">
        <v>63.41</v>
      </c>
      <c r="R62" s="361">
        <v>48.26</v>
      </c>
      <c r="S62" s="361">
        <v>38.22</v>
      </c>
      <c r="T62" s="361">
        <v>33.24</v>
      </c>
      <c r="U62" s="361">
        <v>28.26</v>
      </c>
      <c r="V62" s="361">
        <v>26.17</v>
      </c>
      <c r="W62" s="361">
        <v>36.99</v>
      </c>
      <c r="X62" s="361">
        <v>69.52</v>
      </c>
      <c r="Y62" s="361">
        <v>54.04</v>
      </c>
      <c r="Z62" s="361">
        <v>22.42</v>
      </c>
      <c r="AB62" s="362">
        <f t="shared" si="3"/>
        <v>1.5900000000000034</v>
      </c>
      <c r="AC62" s="362">
        <f t="shared" si="3"/>
        <v>4.1400000000000006</v>
      </c>
      <c r="AD62" s="362">
        <f t="shared" si="3"/>
        <v>2.0710000000000051</v>
      </c>
      <c r="AE62" s="362">
        <f t="shared" si="3"/>
        <v>1.5200000000000031</v>
      </c>
      <c r="AF62" s="362">
        <f t="shared" si="3"/>
        <v>1.1999999999999957</v>
      </c>
      <c r="AG62" s="362">
        <f t="shared" si="2"/>
        <v>1.2299999999999969</v>
      </c>
      <c r="AH62" s="362">
        <f t="shared" si="2"/>
        <v>0.31999999999999673</v>
      </c>
      <c r="AI62" s="362">
        <f t="shared" si="2"/>
        <v>1.4199999999999946</v>
      </c>
      <c r="AJ62" s="362">
        <f t="shared" si="2"/>
        <v>4.6500000000000057</v>
      </c>
      <c r="AK62" s="362">
        <f t="shared" si="2"/>
        <v>2.9100000000000037</v>
      </c>
      <c r="AL62" s="362">
        <f t="shared" si="2"/>
        <v>9.9999999999997868E-2</v>
      </c>
    </row>
    <row r="63" spans="1:38">
      <c r="A63" s="358" t="s">
        <v>72</v>
      </c>
      <c r="B63" s="359">
        <v>70</v>
      </c>
      <c r="C63" s="247"/>
      <c r="D63" s="360">
        <v>18.697011853445936</v>
      </c>
      <c r="E63" s="360">
        <v>20.751678499131074</v>
      </c>
      <c r="F63" s="360">
        <v>26.089303491758944</v>
      </c>
      <c r="G63" s="360">
        <v>23.013257501781784</v>
      </c>
      <c r="H63" s="360">
        <v>21.194409235820263</v>
      </c>
      <c r="I63" s="360">
        <v>24.233011856334361</v>
      </c>
      <c r="J63" s="360">
        <v>22.529139686688911</v>
      </c>
      <c r="K63" s="360">
        <v>41.363418588128646</v>
      </c>
      <c r="L63" s="360">
        <v>29.706554719875868</v>
      </c>
      <c r="M63" s="360">
        <v>32.241395471713261</v>
      </c>
      <c r="N63" s="360">
        <v>19.740569213250616</v>
      </c>
      <c r="O63" s="47"/>
      <c r="P63" s="361">
        <v>17.440000000000001</v>
      </c>
      <c r="Q63" s="361">
        <v>19.86</v>
      </c>
      <c r="R63" s="361">
        <v>25.24</v>
      </c>
      <c r="S63" s="361">
        <v>22.78</v>
      </c>
      <c r="T63" s="361">
        <v>20.51</v>
      </c>
      <c r="U63" s="361">
        <v>22.81</v>
      </c>
      <c r="V63" s="361">
        <v>21.45</v>
      </c>
      <c r="W63" s="361">
        <v>40.97</v>
      </c>
      <c r="X63" s="361">
        <v>29.02</v>
      </c>
      <c r="Y63" s="361">
        <v>31.95</v>
      </c>
      <c r="Z63" s="361">
        <v>18.46</v>
      </c>
      <c r="AB63" s="362">
        <f t="shared" si="3"/>
        <v>1.2570118534459347</v>
      </c>
      <c r="AC63" s="362">
        <f t="shared" si="3"/>
        <v>0.89167849913107489</v>
      </c>
      <c r="AD63" s="362">
        <f t="shared" si="3"/>
        <v>0.84930349175894548</v>
      </c>
      <c r="AE63" s="362">
        <f t="shared" si="3"/>
        <v>0.23325750178178239</v>
      </c>
      <c r="AF63" s="362">
        <f t="shared" si="3"/>
        <v>0.68440923582026159</v>
      </c>
      <c r="AG63" s="362">
        <f t="shared" si="2"/>
        <v>1.4230118563343623</v>
      </c>
      <c r="AH63" s="362">
        <f t="shared" si="2"/>
        <v>1.0791396866889116</v>
      </c>
      <c r="AI63" s="362">
        <f t="shared" si="2"/>
        <v>0.39341858812864672</v>
      </c>
      <c r="AJ63" s="362">
        <f t="shared" si="2"/>
        <v>0.68655471987586836</v>
      </c>
      <c r="AK63" s="362">
        <f t="shared" si="2"/>
        <v>0.29139547171326186</v>
      </c>
      <c r="AL63" s="362">
        <f t="shared" si="2"/>
        <v>1.2805692132506152</v>
      </c>
    </row>
    <row r="64" spans="1:38">
      <c r="A64" s="363">
        <v>1</v>
      </c>
      <c r="B64" s="363">
        <v>2</v>
      </c>
      <c r="C64" s="363">
        <v>3</v>
      </c>
      <c r="D64" s="363">
        <v>4</v>
      </c>
      <c r="E64" s="363">
        <v>5</v>
      </c>
      <c r="F64" s="363">
        <v>6</v>
      </c>
      <c r="G64" s="363">
        <v>7</v>
      </c>
      <c r="H64" s="363">
        <v>8</v>
      </c>
      <c r="I64" s="363">
        <v>9</v>
      </c>
      <c r="J64" s="363">
        <v>10</v>
      </c>
      <c r="K64" s="363">
        <v>11</v>
      </c>
      <c r="L64" s="363">
        <v>12</v>
      </c>
      <c r="M64" s="363">
        <v>13</v>
      </c>
      <c r="N64" s="363">
        <v>14</v>
      </c>
      <c r="O64" s="363">
        <v>15</v>
      </c>
      <c r="P64" s="363">
        <v>16</v>
      </c>
      <c r="Q64" s="363">
        <v>17</v>
      </c>
      <c r="R64" s="363">
        <v>18</v>
      </c>
      <c r="S64" s="363">
        <v>19</v>
      </c>
      <c r="T64" s="363">
        <v>20</v>
      </c>
      <c r="U64" s="363">
        <v>21</v>
      </c>
      <c r="V64" s="363">
        <v>22</v>
      </c>
      <c r="W64" s="363">
        <v>23</v>
      </c>
      <c r="X64" s="363">
        <v>24</v>
      </c>
      <c r="Y64" s="363">
        <v>25</v>
      </c>
      <c r="Z64" s="363">
        <v>26</v>
      </c>
      <c r="AA64" s="363">
        <v>27</v>
      </c>
      <c r="AB64" s="363">
        <v>28</v>
      </c>
      <c r="AC64" s="363">
        <v>29</v>
      </c>
      <c r="AD64" s="363">
        <v>30</v>
      </c>
      <c r="AE64" s="363">
        <v>31</v>
      </c>
      <c r="AF64" s="363">
        <v>32</v>
      </c>
      <c r="AG64" s="363">
        <v>33</v>
      </c>
      <c r="AH64" s="363">
        <v>34</v>
      </c>
      <c r="AI64" s="363">
        <v>35</v>
      </c>
      <c r="AJ64" s="363">
        <v>36</v>
      </c>
      <c r="AK64" s="363">
        <v>37</v>
      </c>
      <c r="AL64" s="363">
        <v>38</v>
      </c>
    </row>
    <row r="65" spans="1:38">
      <c r="A65" s="826" t="s">
        <v>444</v>
      </c>
      <c r="B65" s="826"/>
      <c r="D65" s="829" t="s">
        <v>445</v>
      </c>
      <c r="E65" s="829"/>
      <c r="F65" s="829"/>
      <c r="G65" s="829"/>
      <c r="H65" s="829"/>
      <c r="I65" s="829"/>
      <c r="J65" s="829"/>
      <c r="K65" s="829"/>
      <c r="L65" s="829"/>
      <c r="M65" s="829"/>
      <c r="N65" s="829"/>
      <c r="P65" s="827" t="s">
        <v>446</v>
      </c>
      <c r="Q65" s="827"/>
      <c r="R65" s="827"/>
      <c r="S65" s="827"/>
      <c r="T65" s="827"/>
      <c r="U65" s="827"/>
      <c r="V65" s="827"/>
      <c r="W65" s="827"/>
      <c r="X65" s="827"/>
      <c r="Y65" s="827"/>
      <c r="Z65" s="827"/>
      <c r="AB65" s="828" t="s">
        <v>447</v>
      </c>
      <c r="AC65" s="828"/>
      <c r="AD65" s="828"/>
      <c r="AE65" s="828"/>
      <c r="AF65" s="828"/>
      <c r="AG65" s="828"/>
      <c r="AH65" s="828"/>
      <c r="AI65" s="828"/>
      <c r="AJ65" s="828"/>
      <c r="AK65" s="828"/>
      <c r="AL65" s="828"/>
    </row>
  </sheetData>
  <mergeCells count="7">
    <mergeCell ref="A1:B1"/>
    <mergeCell ref="P1:Z1"/>
    <mergeCell ref="AB1:AL1"/>
    <mergeCell ref="A65:B65"/>
    <mergeCell ref="D65:N65"/>
    <mergeCell ref="P65:Z65"/>
    <mergeCell ref="AB65:AL65"/>
  </mergeCell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Feuil11"/>
  <dimension ref="C1:AD62"/>
  <sheetViews>
    <sheetView showRowColHeaders="0" zoomScaleNormal="100" workbookViewId="0">
      <selection activeCell="F6" sqref="F6"/>
    </sheetView>
  </sheetViews>
  <sheetFormatPr baseColWidth="10" defaultColWidth="11.42578125" defaultRowHeight="15"/>
  <cols>
    <col min="1" max="1" width="5.7109375" style="364" customWidth="1"/>
    <col min="2" max="2" width="4.42578125" style="364" customWidth="1"/>
    <col min="3" max="3" width="15.7109375" style="364" bestFit="1" customWidth="1"/>
    <col min="4" max="4" width="3.28515625" style="364" customWidth="1"/>
    <col min="5" max="17" width="11.42578125" style="364"/>
    <col min="18" max="18" width="4.42578125" style="364" customWidth="1"/>
    <col min="19" max="19" width="5.7109375" style="364" customWidth="1"/>
    <col min="20" max="16384" width="11.42578125" style="364"/>
  </cols>
  <sheetData>
    <row r="1" spans="3:30" ht="9.9499999999999993" customHeight="1" thickBot="1"/>
    <row r="2" spans="3:30" ht="24.95" customHeight="1" thickBot="1">
      <c r="C2" s="833" t="s">
        <v>68</v>
      </c>
      <c r="D2" s="834"/>
      <c r="E2" s="406" t="s">
        <v>443</v>
      </c>
      <c r="F2" s="407" t="s">
        <v>62</v>
      </c>
      <c r="G2" s="407" t="s">
        <v>440</v>
      </c>
      <c r="H2" s="408" t="s">
        <v>16</v>
      </c>
      <c r="I2" s="409" t="s">
        <v>450</v>
      </c>
      <c r="J2" s="410" t="s">
        <v>451</v>
      </c>
      <c r="K2" s="411" t="s">
        <v>452</v>
      </c>
      <c r="L2" s="412" t="s">
        <v>223</v>
      </c>
      <c r="M2" s="835" t="s">
        <v>453</v>
      </c>
      <c r="N2" s="837" t="s">
        <v>454</v>
      </c>
      <c r="O2" s="839" t="s">
        <v>455</v>
      </c>
      <c r="P2" s="841" t="s">
        <v>456</v>
      </c>
      <c r="Q2" s="842"/>
    </row>
    <row r="3" spans="3:30" ht="24.95" customHeight="1" thickBot="1">
      <c r="C3" s="430" t="str">
        <f>Module!H2</f>
        <v>Sakhir</v>
      </c>
      <c r="D3" s="420"/>
      <c r="E3" s="421">
        <f>Module!B3</f>
        <v>239</v>
      </c>
      <c r="F3" s="422">
        <f>Module!B4</f>
        <v>86</v>
      </c>
      <c r="G3" s="422">
        <f>Module!B6</f>
        <v>62</v>
      </c>
      <c r="H3" s="423">
        <f>Module!D32</f>
        <v>10</v>
      </c>
      <c r="I3" s="417">
        <f>VLOOKUP(C3,DB_COMP!$A$2:$B$63,2,FALSE)</f>
        <v>57</v>
      </c>
      <c r="J3" s="417">
        <f>Module!D22</f>
        <v>9</v>
      </c>
      <c r="K3" s="418">
        <v>33</v>
      </c>
      <c r="L3" s="419">
        <f>(0.998789138^E3)*(0.998751839^F3)*(0.998707677^G3)</f>
        <v>0.6205456518611977</v>
      </c>
      <c r="M3" s="836"/>
      <c r="N3" s="838"/>
      <c r="O3" s="840"/>
      <c r="P3" s="843"/>
      <c r="Q3" s="844"/>
    </row>
    <row r="4" spans="3:30" ht="12.6" customHeight="1" thickBot="1">
      <c r="C4" s="830"/>
      <c r="D4" s="830"/>
      <c r="E4" s="830"/>
      <c r="F4" s="830"/>
      <c r="G4" s="830"/>
      <c r="H4" s="830"/>
      <c r="I4" s="830"/>
      <c r="J4" s="830"/>
      <c r="K4" s="830"/>
      <c r="L4" s="830"/>
      <c r="M4" s="830"/>
      <c r="N4" s="830"/>
      <c r="O4" s="830"/>
      <c r="P4" s="831"/>
      <c r="Q4" s="832"/>
    </row>
    <row r="5" spans="3:30" ht="30.75" thickBot="1">
      <c r="C5" s="847" t="s">
        <v>457</v>
      </c>
      <c r="D5" s="848"/>
      <c r="E5" s="413" t="s">
        <v>458</v>
      </c>
      <c r="F5" s="414" t="s">
        <v>459</v>
      </c>
      <c r="G5" s="412" t="s">
        <v>460</v>
      </c>
      <c r="H5" s="415" t="s">
        <v>461</v>
      </c>
      <c r="I5" s="416" t="s">
        <v>462</v>
      </c>
      <c r="J5" s="413" t="s">
        <v>463</v>
      </c>
      <c r="K5" s="414" t="s">
        <v>464</v>
      </c>
      <c r="L5" s="412" t="s">
        <v>465</v>
      </c>
      <c r="M5" s="415" t="s">
        <v>466</v>
      </c>
      <c r="N5" s="414" t="s">
        <v>467</v>
      </c>
      <c r="O5" s="416" t="s">
        <v>468</v>
      </c>
      <c r="P5" s="413" t="s">
        <v>469</v>
      </c>
      <c r="Q5" s="412" t="s">
        <v>470</v>
      </c>
      <c r="W5" s="849"/>
      <c r="X5" s="849"/>
      <c r="Y5" s="849"/>
      <c r="Z5" s="849"/>
      <c r="AA5" s="849" t="s">
        <v>471</v>
      </c>
      <c r="AB5" s="849"/>
      <c r="AC5" s="849"/>
      <c r="AD5" s="849"/>
    </row>
    <row r="6" spans="3:30" ht="24.95" customHeight="1">
      <c r="C6" s="850" t="s">
        <v>34</v>
      </c>
      <c r="D6" s="851"/>
      <c r="E6" s="424">
        <f>Module!B23</f>
        <v>3</v>
      </c>
      <c r="F6" s="425">
        <f>Module!C23</f>
        <v>35</v>
      </c>
      <c r="G6" s="389"/>
      <c r="H6" s="365">
        <f>IF(E6=0,0,G6-1)</f>
        <v>-1</v>
      </c>
      <c r="I6" s="366">
        <f t="shared" ref="I6:I16" si="0">G6-F6</f>
        <v>-35</v>
      </c>
      <c r="J6" s="367">
        <f>IFERROR(J52,0)</f>
        <v>55.270865116051702</v>
      </c>
      <c r="K6" s="368">
        <f>J6-G6</f>
        <v>55.270865116051702</v>
      </c>
      <c r="L6" s="369">
        <f>J6-H6</f>
        <v>56.270865116051702</v>
      </c>
      <c r="M6" s="367">
        <f>IFERROR(Q52,0)</f>
        <v>54.081991697919143</v>
      </c>
      <c r="N6" s="368">
        <f>M6-G6</f>
        <v>54.081991697919143</v>
      </c>
      <c r="O6" s="369">
        <f>M6-H6</f>
        <v>55.081991697919143</v>
      </c>
      <c r="P6" s="400">
        <f>J6-M6</f>
        <v>1.1888734181325589</v>
      </c>
      <c r="Q6" s="401">
        <f>IF($C$3=DB_COMP!$A$2,0,VLOOKUP($C$3,DB_COMP!$A$2:$AL$63,28,FALSE))</f>
        <v>1.6927840281045761</v>
      </c>
      <c r="W6" s="370"/>
      <c r="X6" s="370"/>
      <c r="Y6" s="370"/>
      <c r="Z6" s="370"/>
      <c r="AA6" s="370"/>
      <c r="AB6" s="370"/>
      <c r="AC6" s="370"/>
      <c r="AD6" s="370"/>
    </row>
    <row r="7" spans="3:30" ht="24.95" customHeight="1">
      <c r="C7" s="852" t="s">
        <v>15</v>
      </c>
      <c r="D7" s="853"/>
      <c r="E7" s="426">
        <f>Module!B24</f>
        <v>3</v>
      </c>
      <c r="F7" s="427">
        <f>Module!C24</f>
        <v>0</v>
      </c>
      <c r="G7" s="390"/>
      <c r="H7" s="371">
        <f t="shared" ref="H7:H15" si="1">IF(E7=0,0,G7-1)</f>
        <v>-1</v>
      </c>
      <c r="I7" s="372">
        <f t="shared" si="0"/>
        <v>0</v>
      </c>
      <c r="J7" s="373">
        <f>IFERROR(J53,0)</f>
        <v>46.761563871617511</v>
      </c>
      <c r="K7" s="374">
        <f>J7-G7</f>
        <v>46.761563871617511</v>
      </c>
      <c r="L7" s="375">
        <f>J7-H7</f>
        <v>47.761563871617511</v>
      </c>
      <c r="M7" s="376">
        <f>IFERROR(Q53,0)</f>
        <v>42.061850673109205</v>
      </c>
      <c r="N7" s="374">
        <f>M7-G7</f>
        <v>42.061850673109205</v>
      </c>
      <c r="O7" s="375">
        <f>M7-H7</f>
        <v>43.061850673109205</v>
      </c>
      <c r="P7" s="402">
        <f t="shared" ref="P7:P16" si="2">J7-M7</f>
        <v>4.6997131985083058</v>
      </c>
      <c r="Q7" s="403">
        <f>IF($C$3=DB_COMP!$A$2,0,VLOOKUP($C$3,DB_COMP!$A$2:$AL$63,29,FALSE))</f>
        <v>6.6917127742695186</v>
      </c>
      <c r="W7" s="370"/>
      <c r="X7" s="370"/>
      <c r="Y7" s="370"/>
      <c r="Z7" s="370"/>
      <c r="AA7" s="370"/>
      <c r="AB7" s="370" t="s">
        <v>326</v>
      </c>
      <c r="AC7" s="370" t="s">
        <v>472</v>
      </c>
      <c r="AD7" s="370" t="s">
        <v>327</v>
      </c>
    </row>
    <row r="8" spans="3:30" ht="24.95" customHeight="1">
      <c r="C8" s="852" t="s">
        <v>441</v>
      </c>
      <c r="D8" s="853"/>
      <c r="E8" s="426">
        <f>Module!B25</f>
        <v>3</v>
      </c>
      <c r="F8" s="427">
        <f>Module!C25</f>
        <v>0</v>
      </c>
      <c r="G8" s="390"/>
      <c r="H8" s="371">
        <f t="shared" si="1"/>
        <v>-1</v>
      </c>
      <c r="I8" s="372">
        <f t="shared" si="0"/>
        <v>0</v>
      </c>
      <c r="J8" s="373">
        <f t="shared" ref="J8:J16" si="3">IFERROR(J54,0)</f>
        <v>24.877879915154359</v>
      </c>
      <c r="K8" s="374">
        <f t="shared" ref="K8:K16" si="4">J8-G8</f>
        <v>24.877879915154359</v>
      </c>
      <c r="L8" s="375">
        <f t="shared" ref="L8:L16" si="5">J8-H8</f>
        <v>25.877879915154359</v>
      </c>
      <c r="M8" s="376">
        <f t="shared" ref="M8:M16" si="6">IFERROR(Q54,0)</f>
        <v>23.204600872257945</v>
      </c>
      <c r="N8" s="374">
        <f t="shared" ref="N8:N16" si="7">M8-G8</f>
        <v>23.204600872257945</v>
      </c>
      <c r="O8" s="375">
        <f t="shared" ref="O8:O16" si="8">M8-H8</f>
        <v>24.204600872257945</v>
      </c>
      <c r="P8" s="402">
        <f t="shared" si="2"/>
        <v>1.6732790428964144</v>
      </c>
      <c r="Q8" s="403">
        <f>IF($C$3=DB_COMP!$A$2,0,VLOOKUP($C$3,DB_COMP!$A$2:$AL$63,30,FALSE))</f>
        <v>2.3825076708556239</v>
      </c>
      <c r="W8" s="854"/>
      <c r="X8" s="370"/>
      <c r="Y8" s="377"/>
      <c r="Z8" s="378"/>
      <c r="AA8" s="854" t="s">
        <v>473</v>
      </c>
      <c r="AB8" s="370">
        <v>1</v>
      </c>
      <c r="AC8" s="377">
        <v>1.0193267935988299</v>
      </c>
      <c r="AD8" s="378">
        <v>1</v>
      </c>
    </row>
    <row r="9" spans="3:30" ht="24.95" customHeight="1">
      <c r="C9" s="852" t="s">
        <v>442</v>
      </c>
      <c r="D9" s="853"/>
      <c r="E9" s="426">
        <f>Module!B26</f>
        <v>3</v>
      </c>
      <c r="F9" s="427">
        <f>Module!C26</f>
        <v>39</v>
      </c>
      <c r="G9" s="390"/>
      <c r="H9" s="371">
        <f t="shared" si="1"/>
        <v>-1</v>
      </c>
      <c r="I9" s="372">
        <f t="shared" si="0"/>
        <v>-39</v>
      </c>
      <c r="J9" s="373">
        <f t="shared" si="3"/>
        <v>58.419157499239773</v>
      </c>
      <c r="K9" s="374">
        <f t="shared" si="4"/>
        <v>58.419157499239773</v>
      </c>
      <c r="L9" s="375">
        <f t="shared" si="5"/>
        <v>59.419157499239773</v>
      </c>
      <c r="M9" s="376">
        <f t="shared" si="6"/>
        <v>57.176000925364271</v>
      </c>
      <c r="N9" s="374">
        <f t="shared" si="7"/>
        <v>57.176000925364271</v>
      </c>
      <c r="O9" s="375">
        <f t="shared" si="8"/>
        <v>58.176000925364271</v>
      </c>
      <c r="P9" s="402">
        <f t="shared" si="2"/>
        <v>1.2431565738755026</v>
      </c>
      <c r="Q9" s="403">
        <f>IF($C$3=DB_COMP!$A$2,0,VLOOKUP($C$3,DB_COMP!$A$2:$AL$63,31,FALSE))</f>
        <v>1.7700754012947506</v>
      </c>
      <c r="W9" s="855"/>
      <c r="X9" s="370"/>
      <c r="Y9" s="377"/>
      <c r="Z9" s="378"/>
      <c r="AA9" s="855"/>
      <c r="AB9" s="370">
        <v>2</v>
      </c>
      <c r="AC9" s="377">
        <v>1.00995581572653</v>
      </c>
      <c r="AD9" s="378">
        <v>0.94099999999999995</v>
      </c>
    </row>
    <row r="10" spans="3:30" ht="24.95" customHeight="1">
      <c r="C10" s="852" t="s">
        <v>30</v>
      </c>
      <c r="D10" s="853"/>
      <c r="E10" s="426">
        <f>Module!B27</f>
        <v>3</v>
      </c>
      <c r="F10" s="427">
        <f>Module!C27</f>
        <v>17</v>
      </c>
      <c r="G10" s="390"/>
      <c r="H10" s="371">
        <f t="shared" si="1"/>
        <v>-1</v>
      </c>
      <c r="I10" s="372">
        <f t="shared" si="0"/>
        <v>-17</v>
      </c>
      <c r="J10" s="373">
        <f t="shared" si="3"/>
        <v>35.428059196410636</v>
      </c>
      <c r="K10" s="374">
        <f t="shared" si="4"/>
        <v>35.428059196410636</v>
      </c>
      <c r="L10" s="375">
        <f t="shared" si="5"/>
        <v>36.428059196410636</v>
      </c>
      <c r="M10" s="376">
        <f t="shared" si="6"/>
        <v>35.456928296699118</v>
      </c>
      <c r="N10" s="374">
        <f t="shared" si="7"/>
        <v>35.456928296699118</v>
      </c>
      <c r="O10" s="375">
        <f t="shared" si="8"/>
        <v>36.456928296699118</v>
      </c>
      <c r="P10" s="402">
        <f t="shared" si="2"/>
        <v>-2.8869100288481775E-2</v>
      </c>
      <c r="Q10" s="403">
        <f>IF($C$3=DB_COMP!$A$2,0,VLOOKUP($C$3,DB_COMP!$A$2:$AL$63,32,FALSE))</f>
        <v>-4.1105428995837912E-2</v>
      </c>
      <c r="W10" s="855"/>
      <c r="X10" s="370"/>
      <c r="Y10" s="377"/>
      <c r="Z10" s="378"/>
      <c r="AA10" s="855"/>
      <c r="AB10" s="370">
        <v>3</v>
      </c>
      <c r="AC10" s="377">
        <v>1.0073261618496101</v>
      </c>
      <c r="AD10" s="378">
        <v>0.88200000000000001</v>
      </c>
    </row>
    <row r="11" spans="3:30" ht="24.95" customHeight="1">
      <c r="C11" s="852" t="s">
        <v>200</v>
      </c>
      <c r="D11" s="853"/>
      <c r="E11" s="426">
        <f>Module!B28</f>
        <v>3</v>
      </c>
      <c r="F11" s="427">
        <f>Module!C28</f>
        <v>57</v>
      </c>
      <c r="G11" s="390"/>
      <c r="H11" s="371">
        <f t="shared" si="1"/>
        <v>-1</v>
      </c>
      <c r="I11" s="372">
        <f t="shared" si="0"/>
        <v>-57</v>
      </c>
      <c r="J11" s="373">
        <f t="shared" si="3"/>
        <v>80.035073995513301</v>
      </c>
      <c r="K11" s="374">
        <f t="shared" si="4"/>
        <v>80.035073995513301</v>
      </c>
      <c r="L11" s="375">
        <f t="shared" si="5"/>
        <v>81.035073995513301</v>
      </c>
      <c r="M11" s="376">
        <f t="shared" si="6"/>
        <v>78.666523514199682</v>
      </c>
      <c r="N11" s="374">
        <f t="shared" si="7"/>
        <v>78.666523514199682</v>
      </c>
      <c r="O11" s="375">
        <f t="shared" si="8"/>
        <v>79.666523514199682</v>
      </c>
      <c r="P11" s="402">
        <f t="shared" si="2"/>
        <v>1.3685504813136191</v>
      </c>
      <c r="Q11" s="403">
        <f>IF($C$3=DB_COMP!$A$2,0,VLOOKUP($C$3,DB_COMP!$A$2:$AL$63,33,FALSE))</f>
        <v>1.9486182137552035</v>
      </c>
      <c r="W11" s="855"/>
      <c r="X11" s="370"/>
      <c r="Y11" s="377"/>
      <c r="Z11" s="378"/>
      <c r="AA11" s="855"/>
      <c r="AB11" s="370">
        <v>4</v>
      </c>
      <c r="AC11" s="377">
        <v>1.0053141448054901</v>
      </c>
      <c r="AD11" s="378">
        <v>0.82199999999999995</v>
      </c>
    </row>
    <row r="12" spans="3:30" ht="24.95" customHeight="1">
      <c r="C12" s="852" t="s">
        <v>28</v>
      </c>
      <c r="D12" s="853"/>
      <c r="E12" s="426">
        <f>Module!B29</f>
        <v>3</v>
      </c>
      <c r="F12" s="427">
        <f>Module!C29</f>
        <v>43</v>
      </c>
      <c r="G12" s="390"/>
      <c r="H12" s="371">
        <f t="shared" si="1"/>
        <v>-1</v>
      </c>
      <c r="I12" s="372">
        <f t="shared" si="0"/>
        <v>-43</v>
      </c>
      <c r="J12" s="373">
        <f t="shared" si="3"/>
        <v>69.720893640924288</v>
      </c>
      <c r="K12" s="374">
        <f t="shared" si="4"/>
        <v>69.720893640924288</v>
      </c>
      <c r="L12" s="375">
        <f t="shared" si="5"/>
        <v>70.720893640924288</v>
      </c>
      <c r="M12" s="376">
        <f t="shared" si="6"/>
        <v>68.430950290086571</v>
      </c>
      <c r="N12" s="374">
        <f t="shared" si="7"/>
        <v>68.430950290086571</v>
      </c>
      <c r="O12" s="375">
        <f t="shared" si="8"/>
        <v>69.430950290086571</v>
      </c>
      <c r="P12" s="402">
        <f t="shared" si="2"/>
        <v>1.2899433508377172</v>
      </c>
      <c r="Q12" s="403">
        <f>IF($C$3=DB_COMP!$A$2,0,VLOOKUP($C$3,DB_COMP!$A$2:$AL$63,34,FALSE))</f>
        <v>1.8366930138682918</v>
      </c>
      <c r="W12" s="855"/>
      <c r="X12" s="370"/>
      <c r="Y12" s="377"/>
      <c r="Z12" s="378"/>
      <c r="AA12" s="855"/>
      <c r="AB12" s="370">
        <v>5</v>
      </c>
      <c r="AC12" s="377">
        <v>1.0043268635857201</v>
      </c>
      <c r="AD12" s="378">
        <v>0.76300000000000001</v>
      </c>
    </row>
    <row r="13" spans="3:30" ht="24.95" customHeight="1">
      <c r="C13" s="852" t="s">
        <v>318</v>
      </c>
      <c r="D13" s="853"/>
      <c r="E13" s="426">
        <f>Module!B30</f>
        <v>3</v>
      </c>
      <c r="F13" s="427">
        <f>Module!C30</f>
        <v>64</v>
      </c>
      <c r="G13" s="390"/>
      <c r="H13" s="371">
        <f t="shared" si="1"/>
        <v>-1</v>
      </c>
      <c r="I13" s="372">
        <f t="shared" si="0"/>
        <v>-64</v>
      </c>
      <c r="J13" s="373">
        <f t="shared" si="3"/>
        <v>87.302988999087717</v>
      </c>
      <c r="K13" s="374">
        <f t="shared" si="4"/>
        <v>87.302988999087717</v>
      </c>
      <c r="L13" s="375">
        <f t="shared" si="5"/>
        <v>88.302988999087717</v>
      </c>
      <c r="M13" s="376">
        <f t="shared" si="6"/>
        <v>85.631407592782836</v>
      </c>
      <c r="N13" s="374">
        <f t="shared" si="7"/>
        <v>85.631407592782836</v>
      </c>
      <c r="O13" s="375">
        <f t="shared" si="8"/>
        <v>86.631407592782836</v>
      </c>
      <c r="P13" s="402">
        <f t="shared" si="2"/>
        <v>1.6715814063048811</v>
      </c>
      <c r="Q13" s="403">
        <f>IF($C$3=DB_COMP!$A$2,0,VLOOKUP($C$3,DB_COMP!$A$2:$AL$63,35,FALSE))</f>
        <v>2.3800904815536974</v>
      </c>
      <c r="W13" s="855"/>
      <c r="X13" s="370"/>
      <c r="Y13" s="377"/>
      <c r="Z13" s="378"/>
      <c r="AA13" s="855"/>
      <c r="AB13" s="370">
        <v>6</v>
      </c>
      <c r="AC13" s="377">
        <v>1.0036669136885199</v>
      </c>
      <c r="AD13" s="378">
        <v>0.70399999999999996</v>
      </c>
    </row>
    <row r="14" spans="3:30" ht="24.95" customHeight="1">
      <c r="C14" s="852" t="s">
        <v>14</v>
      </c>
      <c r="D14" s="853"/>
      <c r="E14" s="426">
        <f>Module!B31</f>
        <v>3</v>
      </c>
      <c r="F14" s="427">
        <f>Module!C31</f>
        <v>63</v>
      </c>
      <c r="G14" s="390"/>
      <c r="H14" s="371">
        <f t="shared" si="1"/>
        <v>-1</v>
      </c>
      <c r="I14" s="372">
        <f t="shared" si="0"/>
        <v>-63</v>
      </c>
      <c r="J14" s="373">
        <f t="shared" si="3"/>
        <v>89.662321191333803</v>
      </c>
      <c r="K14" s="374">
        <f t="shared" si="4"/>
        <v>89.662321191333803</v>
      </c>
      <c r="L14" s="375">
        <f t="shared" si="5"/>
        <v>90.662321191333803</v>
      </c>
      <c r="M14" s="376">
        <f t="shared" si="6"/>
        <v>88.367741631536234</v>
      </c>
      <c r="N14" s="374">
        <f t="shared" si="7"/>
        <v>88.367741631536234</v>
      </c>
      <c r="O14" s="375">
        <f t="shared" si="8"/>
        <v>89.367741631536234</v>
      </c>
      <c r="P14" s="402">
        <f t="shared" si="2"/>
        <v>1.2945795597975689</v>
      </c>
      <c r="Q14" s="403">
        <f>IF($C$3=DB_COMP!$A$2,0,VLOOKUP($C$3,DB_COMP!$A$2:$AL$63,36,FALSE))</f>
        <v>1.843294305779196</v>
      </c>
      <c r="W14" s="855"/>
      <c r="X14" s="370"/>
      <c r="Y14" s="377"/>
      <c r="Z14" s="378"/>
      <c r="AA14" s="855"/>
      <c r="AB14" s="370">
        <v>7</v>
      </c>
      <c r="AC14" s="377">
        <v>1.00430482472465</v>
      </c>
      <c r="AD14" s="378">
        <v>0.73</v>
      </c>
    </row>
    <row r="15" spans="3:30" ht="24.95" customHeight="1">
      <c r="C15" s="852" t="s">
        <v>10</v>
      </c>
      <c r="D15" s="853"/>
      <c r="E15" s="426">
        <f>Module!B32</f>
        <v>3</v>
      </c>
      <c r="F15" s="427">
        <f>Module!C32</f>
        <v>57</v>
      </c>
      <c r="G15" s="390"/>
      <c r="H15" s="371">
        <f t="shared" si="1"/>
        <v>-1</v>
      </c>
      <c r="I15" s="372">
        <f t="shared" si="0"/>
        <v>-57</v>
      </c>
      <c r="J15" s="373">
        <f t="shared" si="3"/>
        <v>84.186820498935688</v>
      </c>
      <c r="K15" s="374">
        <f t="shared" si="4"/>
        <v>84.186820498935688</v>
      </c>
      <c r="L15" s="375">
        <f t="shared" si="5"/>
        <v>85.186820498935688</v>
      </c>
      <c r="M15" s="376">
        <f t="shared" si="6"/>
        <v>81.777794151733048</v>
      </c>
      <c r="N15" s="374">
        <f t="shared" si="7"/>
        <v>81.777794151733048</v>
      </c>
      <c r="O15" s="375">
        <f t="shared" si="8"/>
        <v>82.777794151733048</v>
      </c>
      <c r="P15" s="402">
        <f t="shared" si="2"/>
        <v>2.4090263472026407</v>
      </c>
      <c r="Q15" s="403">
        <f>IF($C$3=DB_COMP!$A$2,0,VLOOKUP($C$3,DB_COMP!$A$2:$AL$63,37,FALSE))</f>
        <v>3.4301055618126455</v>
      </c>
      <c r="W15" s="855"/>
      <c r="X15" s="370"/>
      <c r="Y15" s="377"/>
      <c r="Z15" s="378"/>
      <c r="AA15" s="855"/>
      <c r="AB15" s="370">
        <v>8</v>
      </c>
      <c r="AC15" s="377">
        <v>1.0094700000000001</v>
      </c>
      <c r="AD15" s="378">
        <v>0.75600000000000001</v>
      </c>
    </row>
    <row r="16" spans="3:30" ht="24.95" customHeight="1" thickBot="1">
      <c r="C16" s="845" t="s">
        <v>26</v>
      </c>
      <c r="D16" s="846"/>
      <c r="E16" s="428">
        <f>Module!B33</f>
        <v>3</v>
      </c>
      <c r="F16" s="429">
        <f>Module!C33</f>
        <v>0</v>
      </c>
      <c r="G16" s="391"/>
      <c r="H16" s="379">
        <f>IF(E16=0,0,G16-1)</f>
        <v>-1</v>
      </c>
      <c r="I16" s="380">
        <f t="shared" si="0"/>
        <v>0</v>
      </c>
      <c r="J16" s="381">
        <f t="shared" si="3"/>
        <v>12.829737125141492</v>
      </c>
      <c r="K16" s="382">
        <f t="shared" si="4"/>
        <v>12.829737125141492</v>
      </c>
      <c r="L16" s="383">
        <f t="shared" si="5"/>
        <v>13.829737125141492</v>
      </c>
      <c r="M16" s="384">
        <f t="shared" si="6"/>
        <v>12.424012997283384</v>
      </c>
      <c r="N16" s="382">
        <f t="shared" si="7"/>
        <v>12.424012997283384</v>
      </c>
      <c r="O16" s="383">
        <f t="shared" si="8"/>
        <v>13.424012997283384</v>
      </c>
      <c r="P16" s="404">
        <f t="shared" si="2"/>
        <v>0.40572412785810741</v>
      </c>
      <c r="Q16" s="405">
        <f>IF($C$3=DB_COMP!$A$2,0,VLOOKUP($C$3,DB_COMP!$A$2:$AL$63,38,FALSE))</f>
        <v>0.57769255580940282</v>
      </c>
      <c r="W16" s="855"/>
      <c r="X16" s="370"/>
      <c r="Y16" s="377"/>
      <c r="Z16" s="378"/>
      <c r="AA16" s="855"/>
      <c r="AB16" s="370">
        <v>9</v>
      </c>
      <c r="AC16" s="377">
        <v>1.014</v>
      </c>
      <c r="AD16" s="378">
        <v>0.78200000000000003</v>
      </c>
    </row>
    <row r="17" ht="9.9499999999999993" customHeight="1"/>
    <row r="50" spans="3:17">
      <c r="D50" s="385"/>
      <c r="E50" s="386" t="s">
        <v>474</v>
      </c>
      <c r="F50" s="385"/>
      <c r="G50" s="385"/>
      <c r="H50" s="385"/>
      <c r="I50" s="385"/>
      <c r="K50" s="385"/>
      <c r="L50" s="386" t="s">
        <v>475</v>
      </c>
      <c r="M50" s="385"/>
      <c r="N50" s="385"/>
      <c r="O50" s="385"/>
      <c r="P50" s="385"/>
    </row>
    <row r="51" spans="3:17">
      <c r="C51" s="857" t="s">
        <v>476</v>
      </c>
      <c r="D51" s="857"/>
      <c r="E51" s="387" t="s">
        <v>218</v>
      </c>
      <c r="F51" s="387" t="s">
        <v>477</v>
      </c>
      <c r="G51" s="387" t="s">
        <v>478</v>
      </c>
      <c r="H51" s="387" t="s">
        <v>479</v>
      </c>
      <c r="I51" s="387" t="s">
        <v>213</v>
      </c>
      <c r="J51" s="387" t="s">
        <v>215</v>
      </c>
      <c r="L51" s="387" t="s">
        <v>218</v>
      </c>
      <c r="M51" s="387" t="s">
        <v>477</v>
      </c>
      <c r="N51" s="387" t="s">
        <v>478</v>
      </c>
      <c r="O51" s="387" t="s">
        <v>479</v>
      </c>
      <c r="P51" s="387" t="s">
        <v>213</v>
      </c>
      <c r="Q51" s="387" t="s">
        <v>215</v>
      </c>
    </row>
    <row r="52" spans="3:17">
      <c r="C52" s="856" t="s">
        <v>34</v>
      </c>
      <c r="D52" s="856"/>
      <c r="E52" s="370">
        <f>$F6</f>
        <v>35</v>
      </c>
      <c r="F52" s="388">
        <f>VLOOKUP($C$3,DB_COMP!$A$2:$Z$63,4,FALSE)*VLOOKUP(E6,$AB$8:$AC$16,2,FALSE)^$H$3*$L$3</f>
        <v>19.266955337918073</v>
      </c>
      <c r="G52" s="388">
        <f>F52+E52</f>
        <v>54.266955337918077</v>
      </c>
      <c r="H52" s="388">
        <f>E52+(F52/I3)*(I3-J3)</f>
        <v>51.224804495088904</v>
      </c>
      <c r="I52" s="388">
        <f>((F52/(I3))+((F52/(I3))*K3)/100)*J3</f>
        <v>4.0460606209627956</v>
      </c>
      <c r="J52" s="388">
        <f t="shared" ref="J52:J62" si="9">H52+I52</f>
        <v>55.270865116051702</v>
      </c>
      <c r="L52" s="370">
        <f>E52</f>
        <v>35</v>
      </c>
      <c r="M52" s="388">
        <f>VLOOKUP($C$3,DB_COMP!$A$2:$Z$63,16,FALSE)*VLOOKUP(E6,$AB$8:$AC$16,2,FALSE)^$H$3*$L$3</f>
        <v>18.136960593319841</v>
      </c>
      <c r="N52" s="388">
        <f>M52+L52</f>
        <v>53.136960593319841</v>
      </c>
      <c r="O52" s="388">
        <f>L52+(M52/I3)*(I3-J3)</f>
        <v>50.273229973321975</v>
      </c>
      <c r="P52" s="388">
        <f>((M52/(I3))+((M52/(I3))*K3)/100)*J3</f>
        <v>3.8087617245971668</v>
      </c>
      <c r="Q52" s="388">
        <f t="shared" ref="Q52:Q62" si="10">O52+P52</f>
        <v>54.081991697919143</v>
      </c>
    </row>
    <row r="53" spans="3:17">
      <c r="C53" s="856" t="s">
        <v>15</v>
      </c>
      <c r="D53" s="856"/>
      <c r="E53" s="370">
        <f>$F7</f>
        <v>0</v>
      </c>
      <c r="F53" s="388">
        <f>VLOOKUP($C$3,DB_COMP!$A$2:$Z$63,5,FALSE)*VLOOKUP(E7,$AB$8:$AC$16,2,FALSE)^$H$3*$L$3</f>
        <v>44.445708532302781</v>
      </c>
      <c r="G53" s="388">
        <f t="shared" ref="G53:G62" si="11">F53+E53</f>
        <v>44.445708532302781</v>
      </c>
      <c r="H53" s="388">
        <f>E53+(F53/I3)*(I3-J3)</f>
        <v>37.427965079833925</v>
      </c>
      <c r="I53" s="388">
        <f>((F53/(I3))+((F53/(I3))*K3)/100)*J3</f>
        <v>9.3335987917835848</v>
      </c>
      <c r="J53" s="388">
        <f t="shared" si="9"/>
        <v>46.761563871617511</v>
      </c>
      <c r="L53" s="370">
        <f t="shared" ref="L53:L62" si="12">E53</f>
        <v>0</v>
      </c>
      <c r="M53" s="388">
        <f>VLOOKUP($C$3,DB_COMP!$A$2:$Z$63,17,FALSE)*VLOOKUP(E7,$AB$8:$AC$16,2,FALSE)^$H$3*$L$3</f>
        <v>39.978747513210351</v>
      </c>
      <c r="N53" s="388">
        <f t="shared" ref="N53:N62" si="13">M53+L53</f>
        <v>39.978747513210351</v>
      </c>
      <c r="O53" s="388">
        <f>L53+(M53/I3)*(I3-J3)</f>
        <v>33.666313695335035</v>
      </c>
      <c r="P53" s="388">
        <f>((M53/(I3))+((M53/(I3))*K3)/100)*J3</f>
        <v>8.3955369777741744</v>
      </c>
      <c r="Q53" s="388">
        <f t="shared" si="10"/>
        <v>42.061850673109205</v>
      </c>
    </row>
    <row r="54" spans="3:17">
      <c r="C54" s="856" t="s">
        <v>21</v>
      </c>
      <c r="D54" s="856"/>
      <c r="E54" s="370">
        <f t="shared" ref="E54:E62" si="14">$F8</f>
        <v>0</v>
      </c>
      <c r="F54" s="388">
        <f>VLOOKUP($C$3,DB_COMP!$A$2:$Z$63,6,FALSE)*VLOOKUP(E8,$AB$8:$AC$16,2,FALSE)^$H$3*$L$3</f>
        <v>23.645808823808547</v>
      </c>
      <c r="G54" s="388">
        <f t="shared" si="11"/>
        <v>23.645808823808547</v>
      </c>
      <c r="H54" s="388">
        <f>E54+(F54/I3)*(I3-J3)</f>
        <v>19.912260062154566</v>
      </c>
      <c r="I54" s="388">
        <f>((F54/(I3))+((F54/(I3))*K3)/100)*J3</f>
        <v>4.9656198529997946</v>
      </c>
      <c r="J54" s="388">
        <f t="shared" si="9"/>
        <v>24.877879915154359</v>
      </c>
      <c r="L54" s="370">
        <f t="shared" si="12"/>
        <v>0</v>
      </c>
      <c r="M54" s="388">
        <f>VLOOKUP($C$3,DB_COMP!$A$2:$Z$63,18,FALSE)*VLOOKUP(E8,$AB$8:$AC$16,2,FALSE)^$H$3*$L$3</f>
        <v>22.055398527908999</v>
      </c>
      <c r="N54" s="388">
        <f t="shared" si="13"/>
        <v>22.055398527908999</v>
      </c>
      <c r="O54" s="388">
        <f>L54+(M54/I3)*(I3-J3)</f>
        <v>18.572967181397054</v>
      </c>
      <c r="P54" s="388">
        <f>((M54/(I3))+((M54/(I3))*K3)/100)*J3</f>
        <v>4.6316336908608902</v>
      </c>
      <c r="Q54" s="388">
        <f t="shared" si="10"/>
        <v>23.204600872257945</v>
      </c>
    </row>
    <row r="55" spans="3:17">
      <c r="C55" s="856" t="s">
        <v>18</v>
      </c>
      <c r="D55" s="856"/>
      <c r="E55" s="370">
        <f t="shared" si="14"/>
        <v>39</v>
      </c>
      <c r="F55" s="388">
        <f>VLOOKUP($C$3,DB_COMP!$A$2:$Z$63,7,FALSE)*VLOOKUP(E9,$AB$8:$AC$16,2,FALSE)^$H$3*$L$3</f>
        <v>18.457428338447006</v>
      </c>
      <c r="G55" s="388">
        <f t="shared" si="11"/>
        <v>57.457428338447002</v>
      </c>
      <c r="H55" s="388">
        <f>E55+(F55/I3)*(I3-J3)</f>
        <v>54.543097548165903</v>
      </c>
      <c r="I55" s="388">
        <f>((F55/(I3))+((F55/(I3))*K3)/100)*J3</f>
        <v>3.8760599510738709</v>
      </c>
      <c r="J55" s="388">
        <f t="shared" si="9"/>
        <v>58.419157499239773</v>
      </c>
      <c r="L55" s="370">
        <f t="shared" si="12"/>
        <v>39</v>
      </c>
      <c r="M55" s="388">
        <f>VLOOKUP($C$3,DB_COMP!$A$2:$Z$63,19,FALSE)*VLOOKUP(E9,$AB$8:$AC$16,2,FALSE)^$H$3*$L$3</f>
        <v>17.275838798495307</v>
      </c>
      <c r="N55" s="388">
        <f t="shared" si="13"/>
        <v>56.275838798495307</v>
      </c>
      <c r="O55" s="388">
        <f>L55+(M55/I3)*(I3-J3)</f>
        <v>53.548074777680256</v>
      </c>
      <c r="P55" s="388">
        <f>((M55/(I3))+((M55/(I3))*K3)/100)*J3</f>
        <v>3.6279261476840139</v>
      </c>
      <c r="Q55" s="388">
        <f t="shared" si="10"/>
        <v>57.176000925364271</v>
      </c>
    </row>
    <row r="56" spans="3:17">
      <c r="C56" s="856" t="s">
        <v>201</v>
      </c>
      <c r="D56" s="856"/>
      <c r="E56" s="370">
        <f t="shared" si="14"/>
        <v>17</v>
      </c>
      <c r="F56" s="388">
        <f>VLOOKUP($C$3,DB_COMP!$A$2:$Z$63,8,FALSE)*VLOOKUP(E10,$AB$8:$AC$16,2,FALSE)^$H$3*$L$3</f>
        <v>17.515413943561885</v>
      </c>
      <c r="G56" s="388">
        <f t="shared" si="11"/>
        <v>34.515413943561882</v>
      </c>
      <c r="H56" s="388">
        <f>E56+(F56/I3)*(I3-J3)</f>
        <v>31.749822268262641</v>
      </c>
      <c r="I56" s="388">
        <f>((F56/(I3))+((F56/(I3))*K3)/100)*J3</f>
        <v>3.6782369281479963</v>
      </c>
      <c r="J56" s="388">
        <f t="shared" si="9"/>
        <v>35.428059196410636</v>
      </c>
      <c r="L56" s="370">
        <f t="shared" si="12"/>
        <v>17</v>
      </c>
      <c r="M56" s="388">
        <f>VLOOKUP($C$3,DB_COMP!$A$2:$Z$63,20,FALSE)*VLOOKUP(E10,$AB$8:$AC$16,2,FALSE)^$H$3*$L$3</f>
        <v>17.542853308518421</v>
      </c>
      <c r="N56" s="388">
        <f t="shared" si="13"/>
        <v>34.542853308518417</v>
      </c>
      <c r="O56" s="388">
        <f>L56+(M56/I3)*(I3-J3)</f>
        <v>31.77292910191025</v>
      </c>
      <c r="P56" s="388">
        <f>((M56/(I3))+((M56/(I3))*K3)/100)*J3</f>
        <v>3.6839991947888682</v>
      </c>
      <c r="Q56" s="388">
        <f t="shared" si="10"/>
        <v>35.456928296699118</v>
      </c>
    </row>
    <row r="57" spans="3:17">
      <c r="C57" s="856" t="s">
        <v>200</v>
      </c>
      <c r="D57" s="856"/>
      <c r="E57" s="370">
        <f t="shared" si="14"/>
        <v>57</v>
      </c>
      <c r="F57" s="388">
        <f>VLOOKUP($C$3,DB_COMP!$A$2:$Z$63,9,FALSE)*VLOOKUP(E11,$AB$8:$AC$16,2,FALSE)^$H$3*$L$3</f>
        <v>21.894267429452356</v>
      </c>
      <c r="G57" s="388">
        <f t="shared" si="11"/>
        <v>78.894267429452356</v>
      </c>
      <c r="H57" s="388">
        <f>E57+(F57/I3)*(I3-J3)</f>
        <v>75.437277835328302</v>
      </c>
      <c r="I57" s="388">
        <f>((F57/(I3))+((F57/(I3))*K3)/100)*J3</f>
        <v>4.5977961601849948</v>
      </c>
      <c r="J57" s="388">
        <f t="shared" si="9"/>
        <v>80.035073995513301</v>
      </c>
      <c r="L57" s="370">
        <f t="shared" si="12"/>
        <v>57</v>
      </c>
      <c r="M57" s="388">
        <f>VLOOKUP($C$3,DB_COMP!$A$2:$Z$63,21,FALSE)*VLOOKUP(E11,$AB$8:$AC$16,2,FALSE)^$H$3*$L$3</f>
        <v>20.593494085532466</v>
      </c>
      <c r="N57" s="388">
        <f t="shared" si="13"/>
        <v>77.59349408553247</v>
      </c>
      <c r="O57" s="388">
        <f>L57+(M57/I3)*(I3-J3)</f>
        <v>74.341889756237862</v>
      </c>
      <c r="P57" s="388">
        <f>((M57/(I3))+((M57/(I3))*K3)/100)*J3</f>
        <v>4.3246337579618173</v>
      </c>
      <c r="Q57" s="388">
        <f t="shared" si="10"/>
        <v>78.666523514199682</v>
      </c>
    </row>
    <row r="58" spans="3:17">
      <c r="C58" s="856" t="s">
        <v>28</v>
      </c>
      <c r="D58" s="856"/>
      <c r="E58" s="370">
        <f t="shared" si="14"/>
        <v>43</v>
      </c>
      <c r="F58" s="388">
        <f>VLOOKUP($C$3,DB_COMP!$A$2:$Z$63,10,FALSE)*VLOOKUP(E12,$AB$8:$AC$16,2,FALSE)^$H$3*$L$3</f>
        <v>25.397547732744442</v>
      </c>
      <c r="G58" s="388">
        <f t="shared" si="11"/>
        <v>68.397547732744442</v>
      </c>
      <c r="H58" s="388">
        <f>E58+(F58/I3)*(I3-J3)</f>
        <v>64.387408617047953</v>
      </c>
      <c r="I58" s="388">
        <f>((F58/(I3))+((F58/(I3))*K3)/100)*J3</f>
        <v>5.3334850238763325</v>
      </c>
      <c r="J58" s="388">
        <f t="shared" si="9"/>
        <v>69.720893640924288</v>
      </c>
      <c r="L58" s="370">
        <f t="shared" si="12"/>
        <v>43</v>
      </c>
      <c r="M58" s="388">
        <f>VLOOKUP($C$3,DB_COMP!$A$2:$Z$63,22,FALSE)*VLOOKUP(E12,$AB$8:$AC$16,2,FALSE)^$H$3*$L$3</f>
        <v>24.171488519842157</v>
      </c>
      <c r="N58" s="388">
        <f t="shared" si="13"/>
        <v>67.171488519842157</v>
      </c>
      <c r="O58" s="388">
        <f>L58+(M58/I3)*(I3-J3)</f>
        <v>63.354937700919713</v>
      </c>
      <c r="P58" s="388">
        <f>((M58/(I3))+((M58/(I3))*K3)/100)*J3</f>
        <v>5.0760125891668535</v>
      </c>
      <c r="Q58" s="388">
        <f t="shared" si="10"/>
        <v>68.430950290086571</v>
      </c>
    </row>
    <row r="59" spans="3:17">
      <c r="C59" s="856" t="s">
        <v>11</v>
      </c>
      <c r="D59" s="856"/>
      <c r="E59" s="370">
        <f t="shared" si="14"/>
        <v>64</v>
      </c>
      <c r="F59" s="388">
        <f>VLOOKUP($C$3,DB_COMP!$A$2:$Z$63,11,FALSE)*VLOOKUP(E13,$AB$8:$AC$16,2,FALSE)^$H$3*$L$3</f>
        <v>22.148914006136405</v>
      </c>
      <c r="G59" s="388">
        <f t="shared" si="11"/>
        <v>86.148914006136408</v>
      </c>
      <c r="H59" s="388">
        <f>E59+(F59/I3)*(I3-J3)</f>
        <v>82.651717057799075</v>
      </c>
      <c r="I59" s="388">
        <f>((F59/(I3))+((F59/(I3))*K3)/100)*J3</f>
        <v>4.6512719412886456</v>
      </c>
      <c r="J59" s="388">
        <f t="shared" si="9"/>
        <v>87.302988999087717</v>
      </c>
      <c r="L59" s="370">
        <f t="shared" si="12"/>
        <v>64</v>
      </c>
      <c r="M59" s="388">
        <f>VLOOKUP($C$3,DB_COMP!$A$2:$Z$63,23,FALSE)*VLOOKUP(E13,$AB$8:$AC$16,2,FALSE)^$H$3*$L$3</f>
        <v>20.560117271779578</v>
      </c>
      <c r="N59" s="388">
        <f t="shared" si="13"/>
        <v>84.560117271779575</v>
      </c>
      <c r="O59" s="388">
        <f>L59+(M59/I3)*(I3-J3)</f>
        <v>81.313782965709123</v>
      </c>
      <c r="P59" s="388">
        <f>((M59/(I3))+((M59/(I3))*K3)/100)*J3</f>
        <v>4.3176246270737115</v>
      </c>
      <c r="Q59" s="388">
        <f t="shared" si="10"/>
        <v>85.631407592782836</v>
      </c>
    </row>
    <row r="60" spans="3:17">
      <c r="C60" s="856" t="s">
        <v>14</v>
      </c>
      <c r="D60" s="856"/>
      <c r="E60" s="370">
        <f t="shared" si="14"/>
        <v>63</v>
      </c>
      <c r="F60" s="388">
        <f>VLOOKUP($C$3,DB_COMP!$A$2:$Z$63,12,FALSE)*VLOOKUP(E14,$AB$8:$AC$16,2,FALSE)^$H$3*$L$3</f>
        <v>25.341876069802012</v>
      </c>
      <c r="G60" s="388">
        <f t="shared" si="11"/>
        <v>88.341876069802012</v>
      </c>
      <c r="H60" s="388">
        <f>E60+(F60/I3)*(I3-J3)</f>
        <v>84.340527216675383</v>
      </c>
      <c r="I60" s="388">
        <f>((F60/(I3))+((F60/(I3))*K3)/100)*J3</f>
        <v>5.3217939746584229</v>
      </c>
      <c r="J60" s="388">
        <f t="shared" si="9"/>
        <v>89.662321191333803</v>
      </c>
      <c r="L60" s="370">
        <f t="shared" si="12"/>
        <v>63</v>
      </c>
      <c r="M60" s="388">
        <f>VLOOKUP($C$3,DB_COMP!$A$2:$Z$63,24,FALSE)*VLOOKUP(E14,$AB$8:$AC$16,2,FALSE)^$H$3*$L$3</f>
        <v>24.111410255086959</v>
      </c>
      <c r="N60" s="388">
        <f t="shared" si="13"/>
        <v>87.111410255086952</v>
      </c>
      <c r="O60" s="388">
        <f>L60+(M60/I3)*(I3-J3)</f>
        <v>83.304345477967971</v>
      </c>
      <c r="P60" s="388">
        <f>((M60/(I3))+((M60/(I3))*K3)/100)*J3</f>
        <v>5.0633961535682621</v>
      </c>
      <c r="Q60" s="388">
        <f t="shared" si="10"/>
        <v>88.367741631536234</v>
      </c>
    </row>
    <row r="61" spans="3:17">
      <c r="C61" s="856" t="s">
        <v>10</v>
      </c>
      <c r="D61" s="856"/>
      <c r="E61" s="370">
        <f t="shared" si="14"/>
        <v>57</v>
      </c>
      <c r="F61" s="388">
        <f>VLOOKUP($C$3,DB_COMP!$A$2:$Z$63,13,FALSE)*VLOOKUP(E15,$AB$8:$AC$16,2,FALSE)^$H$3*$L$3</f>
        <v>25.840399673825811</v>
      </c>
      <c r="G61" s="388">
        <f t="shared" si="11"/>
        <v>82.840399673825814</v>
      </c>
      <c r="H61" s="388">
        <f>E61+(F61/I3)*(I3-J3)</f>
        <v>78.760336567432262</v>
      </c>
      <c r="I61" s="388">
        <f>((F61/(I3))+((F61/(I3))*K3)/100)*J3</f>
        <v>5.4264839315034203</v>
      </c>
      <c r="J61" s="388">
        <f t="shared" si="9"/>
        <v>84.186820498935688</v>
      </c>
      <c r="L61" s="370">
        <f t="shared" si="12"/>
        <v>57</v>
      </c>
      <c r="M61" s="388">
        <f>VLOOKUP($C$3,DB_COMP!$A$2:$Z$63,25,FALSE)*VLOOKUP(E15,$AB$8:$AC$16,2,FALSE)^$H$3*$L$3</f>
        <v>23.550679784038422</v>
      </c>
      <c r="N61" s="388">
        <f t="shared" si="13"/>
        <v>80.550679784038422</v>
      </c>
      <c r="O61" s="388">
        <f>L61+(M61/I3)*(I3-J3)</f>
        <v>76.832151397084985</v>
      </c>
      <c r="P61" s="388">
        <f>((M61/(I3))+((M61/(I3))*K3)/100)*J3</f>
        <v>4.9456427546480688</v>
      </c>
      <c r="Q61" s="388">
        <f t="shared" si="10"/>
        <v>81.777794151733048</v>
      </c>
    </row>
    <row r="62" spans="3:17">
      <c r="C62" s="856" t="s">
        <v>26</v>
      </c>
      <c r="D62" s="856"/>
      <c r="E62" s="370">
        <f t="shared" si="14"/>
        <v>0</v>
      </c>
      <c r="F62" s="388">
        <f>VLOOKUP($C$3,DB_COMP!$A$2:$Z$63,14,FALSE)*VLOOKUP(E16,$AB$8:$AC$16,2,FALSE)^$H$3*$L$3</f>
        <v>12.19434744260572</v>
      </c>
      <c r="G62" s="388">
        <f t="shared" si="11"/>
        <v>12.19434744260572</v>
      </c>
      <c r="H62" s="388">
        <f>E62+(F62/I3)*(I3-J3)</f>
        <v>10.26892416219429</v>
      </c>
      <c r="I62" s="388">
        <f>((F62/(I3))+((F62/(I3))*K3)/100)*J3</f>
        <v>2.5608129629472014</v>
      </c>
      <c r="J62" s="388">
        <f t="shared" si="9"/>
        <v>12.829737125141492</v>
      </c>
      <c r="L62" s="370">
        <f t="shared" si="12"/>
        <v>0</v>
      </c>
      <c r="M62" s="388">
        <f>VLOOKUP($C$3,DB_COMP!$A$2:$Z$63,26,FALSE)*VLOOKUP(E16,$AB$8:$AC$16,2,FALSE)^$H$3*$L$3</f>
        <v>11.808716705772103</v>
      </c>
      <c r="N62" s="388">
        <f t="shared" si="13"/>
        <v>11.808716705772103</v>
      </c>
      <c r="O62" s="388">
        <f>L62+(M62/I3)*(I3-J3)</f>
        <v>9.9441824890712436</v>
      </c>
      <c r="P62" s="388">
        <f>((M62/(I3))+((M62/(I3))*K3)/100)*J3</f>
        <v>2.4798305082121415</v>
      </c>
      <c r="Q62" s="388">
        <f t="shared" si="10"/>
        <v>12.424012997283384</v>
      </c>
    </row>
  </sheetData>
  <mergeCells count="35">
    <mergeCell ref="C62:D62"/>
    <mergeCell ref="C51:D51"/>
    <mergeCell ref="C52:D52"/>
    <mergeCell ref="C53:D53"/>
    <mergeCell ref="C54:D54"/>
    <mergeCell ref="C55:D55"/>
    <mergeCell ref="C56:D56"/>
    <mergeCell ref="C57:D57"/>
    <mergeCell ref="C58:D58"/>
    <mergeCell ref="C59:D59"/>
    <mergeCell ref="C60:D60"/>
    <mergeCell ref="C61:D61"/>
    <mergeCell ref="C16:D16"/>
    <mergeCell ref="C5:D5"/>
    <mergeCell ref="W5:Z5"/>
    <mergeCell ref="AA5:AD5"/>
    <mergeCell ref="C6:D6"/>
    <mergeCell ref="C7:D7"/>
    <mergeCell ref="C8:D8"/>
    <mergeCell ref="W8:W16"/>
    <mergeCell ref="AA8:AA16"/>
    <mergeCell ref="C9:D9"/>
    <mergeCell ref="C10:D10"/>
    <mergeCell ref="C11:D11"/>
    <mergeCell ref="C12:D12"/>
    <mergeCell ref="C13:D13"/>
    <mergeCell ref="C14:D14"/>
    <mergeCell ref="C15:D15"/>
    <mergeCell ref="C4:O4"/>
    <mergeCell ref="P4:Q4"/>
    <mergeCell ref="C2:D2"/>
    <mergeCell ref="M2:M3"/>
    <mergeCell ref="N2:N3"/>
    <mergeCell ref="O2:O3"/>
    <mergeCell ref="P2:Q3"/>
  </mergeCells>
  <conditionalFormatting sqref="J6 M6">
    <cfRule type="cellIs" dxfId="70" priority="56" operator="greaterThan">
      <formula>$G6+1</formula>
    </cfRule>
    <cfRule type="cellIs" dxfId="69" priority="57" operator="lessThan">
      <formula>$H6-1</formula>
    </cfRule>
    <cfRule type="cellIs" dxfId="68" priority="58" operator="between">
      <formula>$H6</formula>
      <formula>$H6-1</formula>
    </cfRule>
    <cfRule type="cellIs" dxfId="67" priority="59" operator="between">
      <formula>$G6</formula>
      <formula>$G6+1</formula>
    </cfRule>
    <cfRule type="cellIs" dxfId="66" priority="60" operator="between">
      <formula>$H6</formula>
      <formula>$G6</formula>
    </cfRule>
  </conditionalFormatting>
  <conditionalFormatting sqref="J7:J16 M7:M16">
    <cfRule type="cellIs" dxfId="65" priority="51" operator="greaterThan">
      <formula>$G7+1</formula>
    </cfRule>
    <cfRule type="cellIs" dxfId="64" priority="52" operator="lessThan">
      <formula>$H7-1</formula>
    </cfRule>
    <cfRule type="cellIs" dxfId="63" priority="53" operator="between">
      <formula>$H7</formula>
      <formula>$H7-1</formula>
    </cfRule>
    <cfRule type="cellIs" dxfId="62" priority="54" operator="between">
      <formula>$G7</formula>
      <formula>$G7+1</formula>
    </cfRule>
    <cfRule type="cellIs" dxfId="61" priority="55" operator="between">
      <formula>$H7</formula>
      <formula>$G7</formula>
    </cfRule>
  </conditionalFormatting>
  <conditionalFormatting sqref="J8 M8">
    <cfRule type="cellIs" dxfId="60" priority="46" operator="greaterThan">
      <formula>$G8+1</formula>
    </cfRule>
    <cfRule type="cellIs" dxfId="59" priority="47" operator="lessThan">
      <formula>$H8-1</formula>
    </cfRule>
    <cfRule type="cellIs" dxfId="58" priority="48" operator="between">
      <formula>$H8</formula>
      <formula>$H8-1</formula>
    </cfRule>
    <cfRule type="cellIs" dxfId="57" priority="49" operator="between">
      <formula>$G8</formula>
      <formula>$G8+1</formula>
    </cfRule>
    <cfRule type="cellIs" dxfId="56" priority="50" operator="between">
      <formula>$H8</formula>
      <formula>$G8</formula>
    </cfRule>
  </conditionalFormatting>
  <conditionalFormatting sqref="J9 M9">
    <cfRule type="cellIs" dxfId="55" priority="41" operator="greaterThan">
      <formula>$G9+1</formula>
    </cfRule>
    <cfRule type="cellIs" dxfId="54" priority="42" operator="lessThan">
      <formula>$H9-1</formula>
    </cfRule>
    <cfRule type="cellIs" dxfId="53" priority="43" operator="between">
      <formula>$H9</formula>
      <formula>$H9-1</formula>
    </cfRule>
    <cfRule type="cellIs" dxfId="52" priority="44" operator="between">
      <formula>$G9</formula>
      <formula>$G9+1</formula>
    </cfRule>
    <cfRule type="cellIs" dxfId="51" priority="45" operator="between">
      <formula>$H9</formula>
      <formula>$G9</formula>
    </cfRule>
  </conditionalFormatting>
  <conditionalFormatting sqref="J10 M10">
    <cfRule type="cellIs" dxfId="50" priority="36" operator="greaterThan">
      <formula>$G10+1</formula>
    </cfRule>
    <cfRule type="cellIs" dxfId="49" priority="37" operator="lessThan">
      <formula>$H10-1</formula>
    </cfRule>
    <cfRule type="cellIs" dxfId="48" priority="38" operator="between">
      <formula>$H10</formula>
      <formula>$H10-1</formula>
    </cfRule>
    <cfRule type="cellIs" dxfId="47" priority="39" operator="between">
      <formula>$G10</formula>
      <formula>$G10+1</formula>
    </cfRule>
    <cfRule type="cellIs" dxfId="46" priority="40" operator="between">
      <formula>$H10</formula>
      <formula>$G10</formula>
    </cfRule>
  </conditionalFormatting>
  <conditionalFormatting sqref="J11 M11">
    <cfRule type="cellIs" dxfId="45" priority="31" operator="greaterThan">
      <formula>$G11+1</formula>
    </cfRule>
    <cfRule type="cellIs" dxfId="44" priority="32" operator="lessThan">
      <formula>$H11-1</formula>
    </cfRule>
    <cfRule type="cellIs" dxfId="43" priority="33" operator="between">
      <formula>$H11</formula>
      <formula>$H11-1</formula>
    </cfRule>
    <cfRule type="cellIs" dxfId="42" priority="34" operator="between">
      <formula>$G11</formula>
      <formula>$G11+1</formula>
    </cfRule>
    <cfRule type="cellIs" dxfId="41" priority="35" operator="between">
      <formula>$H11</formula>
      <formula>$G11</formula>
    </cfRule>
  </conditionalFormatting>
  <conditionalFormatting sqref="J12 M12">
    <cfRule type="cellIs" dxfId="40" priority="26" operator="greaterThan">
      <formula>$G12+1</formula>
    </cfRule>
    <cfRule type="cellIs" dxfId="39" priority="27" operator="lessThan">
      <formula>$H12-1</formula>
    </cfRule>
    <cfRule type="cellIs" dxfId="38" priority="28" operator="between">
      <formula>$H12</formula>
      <formula>$H12-1</formula>
    </cfRule>
    <cfRule type="cellIs" dxfId="37" priority="29" operator="between">
      <formula>$G12</formula>
      <formula>$G12+1</formula>
    </cfRule>
    <cfRule type="cellIs" dxfId="36" priority="30" operator="between">
      <formula>$H12</formula>
      <formula>$G12</formula>
    </cfRule>
  </conditionalFormatting>
  <conditionalFormatting sqref="J13 M13">
    <cfRule type="cellIs" dxfId="35" priority="21" operator="greaterThan">
      <formula>$G13+1</formula>
    </cfRule>
    <cfRule type="cellIs" dxfId="34" priority="22" operator="lessThan">
      <formula>$H13-1</formula>
    </cfRule>
    <cfRule type="cellIs" dxfId="33" priority="23" operator="between">
      <formula>$H13</formula>
      <formula>$H13-1</formula>
    </cfRule>
    <cfRule type="cellIs" dxfId="32" priority="24" operator="between">
      <formula>$G13</formula>
      <formula>$G13+1</formula>
    </cfRule>
    <cfRule type="cellIs" dxfId="31" priority="25" operator="between">
      <formula>$H13</formula>
      <formula>$G13</formula>
    </cfRule>
  </conditionalFormatting>
  <conditionalFormatting sqref="J14 M14">
    <cfRule type="cellIs" dxfId="30" priority="16" operator="greaterThan">
      <formula>$G14+1</formula>
    </cfRule>
    <cfRule type="cellIs" dxfId="29" priority="17" operator="lessThan">
      <formula>$H14-1</formula>
    </cfRule>
    <cfRule type="cellIs" dxfId="28" priority="18" operator="between">
      <formula>$H14</formula>
      <formula>$H14-1</formula>
    </cfRule>
    <cfRule type="cellIs" dxfId="27" priority="19" operator="between">
      <formula>$G14</formula>
      <formula>$G14+1</formula>
    </cfRule>
    <cfRule type="cellIs" dxfId="26" priority="20" operator="between">
      <formula>$H14</formula>
      <formula>$G14</formula>
    </cfRule>
  </conditionalFormatting>
  <conditionalFormatting sqref="J15 M15">
    <cfRule type="cellIs" dxfId="25" priority="11" operator="greaterThan">
      <formula>$G15+1</formula>
    </cfRule>
    <cfRule type="cellIs" dxfId="24" priority="12" operator="lessThan">
      <formula>$H15-1</formula>
    </cfRule>
    <cfRule type="cellIs" dxfId="23" priority="13" operator="between">
      <formula>$H15</formula>
      <formula>$H15-1</formula>
    </cfRule>
    <cfRule type="cellIs" dxfId="22" priority="14" operator="between">
      <formula>$G15</formula>
      <formula>$G15+1</formula>
    </cfRule>
    <cfRule type="cellIs" dxfId="21" priority="15" operator="between">
      <formula>$H15</formula>
      <formula>$G15</formula>
    </cfRule>
  </conditionalFormatting>
  <conditionalFormatting sqref="J16 M16">
    <cfRule type="cellIs" dxfId="20" priority="6" operator="greaterThan">
      <formula>$G16+1</formula>
    </cfRule>
    <cfRule type="cellIs" dxfId="19" priority="7" operator="lessThan">
      <formula>$H16-1</formula>
    </cfRule>
    <cfRule type="cellIs" dxfId="18" priority="8" operator="between">
      <formula>$H16</formula>
      <formula>$H16-1</formula>
    </cfRule>
    <cfRule type="cellIs" dxfId="17" priority="9" operator="between">
      <formula>$G16</formula>
      <formula>$G16+1</formula>
    </cfRule>
    <cfRule type="cellIs" dxfId="16" priority="10" operator="between">
      <formula>$H16</formula>
      <formula>$G16</formula>
    </cfRule>
  </conditionalFormatting>
  <conditionalFormatting sqref="M8">
    <cfRule type="cellIs" dxfId="15" priority="3" operator="between">
      <formula>$H8</formula>
      <formula>$H8-1</formula>
    </cfRule>
    <cfRule type="cellIs" dxfId="14" priority="4" operator="between">
      <formula>$G8</formula>
      <formula>$G8+1</formula>
    </cfRule>
    <cfRule type="cellIs" dxfId="13" priority="5" operator="between">
      <formula>$H8</formula>
      <formula>$G8</formula>
    </cfRule>
  </conditionalFormatting>
  <conditionalFormatting sqref="H6:O16">
    <cfRule type="cellIs" dxfId="12" priority="2" operator="equal">
      <formula>0</formula>
    </cfRule>
  </conditionalFormatting>
  <conditionalFormatting sqref="P6:Q16">
    <cfRule type="cellIs" dxfId="11" priority="1" operator="equal">
      <formula>0</formula>
    </cfRule>
  </conditionalFormatting>
  <pageMargins left="0.7" right="0.7" top="0.75" bottom="0.75" header="0.3" footer="0.3"/>
  <pageSetup paperSize="9" orientation="portrait" verticalDpi="0" r:id="rId1"/>
  <legacyDrawing r:id="rId2"/>
</worksheet>
</file>

<file path=xl/worksheets/sheet11.xml><?xml version="1.0" encoding="utf-8"?>
<worksheet xmlns="http://schemas.openxmlformats.org/spreadsheetml/2006/main" xmlns:r="http://schemas.openxmlformats.org/officeDocument/2006/relationships">
  <sheetPr codeName="Feuil12"/>
  <dimension ref="A1:AF317"/>
  <sheetViews>
    <sheetView showGridLines="0" topLeftCell="A4" workbookViewId="0">
      <selection activeCell="L12" sqref="L12"/>
    </sheetView>
  </sheetViews>
  <sheetFormatPr baseColWidth="10" defaultColWidth="9.140625" defaultRowHeight="15"/>
  <cols>
    <col min="1" max="3" width="9.140625" style="170" customWidth="1"/>
    <col min="4" max="4" width="12.42578125" style="170" customWidth="1"/>
    <col min="5" max="7" width="9.140625" style="170" customWidth="1"/>
    <col min="8" max="8" width="18.85546875" style="170" customWidth="1"/>
    <col min="9" max="15" width="9.140625" style="170" customWidth="1"/>
    <col min="16" max="16" width="12.7109375" style="170" customWidth="1"/>
    <col min="17" max="23" width="9.140625" style="170" customWidth="1"/>
    <col min="24" max="24" width="12" style="170" customWidth="1"/>
    <col min="25" max="32" width="9.140625" style="170" customWidth="1"/>
    <col min="33" max="268" width="9.140625" style="170"/>
    <col min="269" max="272" width="9.140625" style="170" customWidth="1"/>
    <col min="273" max="273" width="18.85546875" style="170" customWidth="1"/>
    <col min="274" max="288" width="9.140625" style="170" customWidth="1"/>
    <col min="289" max="524" width="9.140625" style="170"/>
    <col min="525" max="528" width="9.140625" style="170" customWidth="1"/>
    <col min="529" max="529" width="18.85546875" style="170" customWidth="1"/>
    <col min="530" max="544" width="9.140625" style="170" customWidth="1"/>
    <col min="545" max="780" width="9.140625" style="170"/>
    <col min="781" max="784" width="9.140625" style="170" customWidth="1"/>
    <col min="785" max="785" width="18.85546875" style="170" customWidth="1"/>
    <col min="786" max="800" width="9.140625" style="170" customWidth="1"/>
    <col min="801" max="1036" width="9.140625" style="170"/>
    <col min="1037" max="1040" width="9.140625" style="170" customWidth="1"/>
    <col min="1041" max="1041" width="18.85546875" style="170" customWidth="1"/>
    <col min="1042" max="1056" width="9.140625" style="170" customWidth="1"/>
    <col min="1057" max="1292" width="9.140625" style="170"/>
    <col min="1293" max="1296" width="9.140625" style="170" customWidth="1"/>
    <col min="1297" max="1297" width="18.85546875" style="170" customWidth="1"/>
    <col min="1298" max="1312" width="9.140625" style="170" customWidth="1"/>
    <col min="1313" max="1548" width="9.140625" style="170"/>
    <col min="1549" max="1552" width="9.140625" style="170" customWidth="1"/>
    <col min="1553" max="1553" width="18.85546875" style="170" customWidth="1"/>
    <col min="1554" max="1568" width="9.140625" style="170" customWidth="1"/>
    <col min="1569" max="1804" width="9.140625" style="170"/>
    <col min="1805" max="1808" width="9.140625" style="170" customWidth="1"/>
    <col min="1809" max="1809" width="18.85546875" style="170" customWidth="1"/>
    <col min="1810" max="1824" width="9.140625" style="170" customWidth="1"/>
    <col min="1825" max="2060" width="9.140625" style="170"/>
    <col min="2061" max="2064" width="9.140625" style="170" customWidth="1"/>
    <col min="2065" max="2065" width="18.85546875" style="170" customWidth="1"/>
    <col min="2066" max="2080" width="9.140625" style="170" customWidth="1"/>
    <col min="2081" max="2316" width="9.140625" style="170"/>
    <col min="2317" max="2320" width="9.140625" style="170" customWidth="1"/>
    <col min="2321" max="2321" width="18.85546875" style="170" customWidth="1"/>
    <col min="2322" max="2336" width="9.140625" style="170" customWidth="1"/>
    <col min="2337" max="2572" width="9.140625" style="170"/>
    <col min="2573" max="2576" width="9.140625" style="170" customWidth="1"/>
    <col min="2577" max="2577" width="18.85546875" style="170" customWidth="1"/>
    <col min="2578" max="2592" width="9.140625" style="170" customWidth="1"/>
    <col min="2593" max="2828" width="9.140625" style="170"/>
    <col min="2829" max="2832" width="9.140625" style="170" customWidth="1"/>
    <col min="2833" max="2833" width="18.85546875" style="170" customWidth="1"/>
    <col min="2834" max="2848" width="9.140625" style="170" customWidth="1"/>
    <col min="2849" max="3084" width="9.140625" style="170"/>
    <col min="3085" max="3088" width="9.140625" style="170" customWidth="1"/>
    <col min="3089" max="3089" width="18.85546875" style="170" customWidth="1"/>
    <col min="3090" max="3104" width="9.140625" style="170" customWidth="1"/>
    <col min="3105" max="3340" width="9.140625" style="170"/>
    <col min="3341" max="3344" width="9.140625" style="170" customWidth="1"/>
    <col min="3345" max="3345" width="18.85546875" style="170" customWidth="1"/>
    <col min="3346" max="3360" width="9.140625" style="170" customWidth="1"/>
    <col min="3361" max="3596" width="9.140625" style="170"/>
    <col min="3597" max="3600" width="9.140625" style="170" customWidth="1"/>
    <col min="3601" max="3601" width="18.85546875" style="170" customWidth="1"/>
    <col min="3602" max="3616" width="9.140625" style="170" customWidth="1"/>
    <col min="3617" max="3852" width="9.140625" style="170"/>
    <col min="3853" max="3856" width="9.140625" style="170" customWidth="1"/>
    <col min="3857" max="3857" width="18.85546875" style="170" customWidth="1"/>
    <col min="3858" max="3872" width="9.140625" style="170" customWidth="1"/>
    <col min="3873" max="4108" width="9.140625" style="170"/>
    <col min="4109" max="4112" width="9.140625" style="170" customWidth="1"/>
    <col min="4113" max="4113" width="18.85546875" style="170" customWidth="1"/>
    <col min="4114" max="4128" width="9.140625" style="170" customWidth="1"/>
    <col min="4129" max="4364" width="9.140625" style="170"/>
    <col min="4365" max="4368" width="9.140625" style="170" customWidth="1"/>
    <col min="4369" max="4369" width="18.85546875" style="170" customWidth="1"/>
    <col min="4370" max="4384" width="9.140625" style="170" customWidth="1"/>
    <col min="4385" max="4620" width="9.140625" style="170"/>
    <col min="4621" max="4624" width="9.140625" style="170" customWidth="1"/>
    <col min="4625" max="4625" width="18.85546875" style="170" customWidth="1"/>
    <col min="4626" max="4640" width="9.140625" style="170" customWidth="1"/>
    <col min="4641" max="4876" width="9.140625" style="170"/>
    <col min="4877" max="4880" width="9.140625" style="170" customWidth="1"/>
    <col min="4881" max="4881" width="18.85546875" style="170" customWidth="1"/>
    <col min="4882" max="4896" width="9.140625" style="170" customWidth="1"/>
    <col min="4897" max="5132" width="9.140625" style="170"/>
    <col min="5133" max="5136" width="9.140625" style="170" customWidth="1"/>
    <col min="5137" max="5137" width="18.85546875" style="170" customWidth="1"/>
    <col min="5138" max="5152" width="9.140625" style="170" customWidth="1"/>
    <col min="5153" max="5388" width="9.140625" style="170"/>
    <col min="5389" max="5392" width="9.140625" style="170" customWidth="1"/>
    <col min="5393" max="5393" width="18.85546875" style="170" customWidth="1"/>
    <col min="5394" max="5408" width="9.140625" style="170" customWidth="1"/>
    <col min="5409" max="5644" width="9.140625" style="170"/>
    <col min="5645" max="5648" width="9.140625" style="170" customWidth="1"/>
    <col min="5649" max="5649" width="18.85546875" style="170" customWidth="1"/>
    <col min="5650" max="5664" width="9.140625" style="170" customWidth="1"/>
    <col min="5665" max="5900" width="9.140625" style="170"/>
    <col min="5901" max="5904" width="9.140625" style="170" customWidth="1"/>
    <col min="5905" max="5905" width="18.85546875" style="170" customWidth="1"/>
    <col min="5906" max="5920" width="9.140625" style="170" customWidth="1"/>
    <col min="5921" max="6156" width="9.140625" style="170"/>
    <col min="6157" max="6160" width="9.140625" style="170" customWidth="1"/>
    <col min="6161" max="6161" width="18.85546875" style="170" customWidth="1"/>
    <col min="6162" max="6176" width="9.140625" style="170" customWidth="1"/>
    <col min="6177" max="6412" width="9.140625" style="170"/>
    <col min="6413" max="6416" width="9.140625" style="170" customWidth="1"/>
    <col min="6417" max="6417" width="18.85546875" style="170" customWidth="1"/>
    <col min="6418" max="6432" width="9.140625" style="170" customWidth="1"/>
    <col min="6433" max="6668" width="9.140625" style="170"/>
    <col min="6669" max="6672" width="9.140625" style="170" customWidth="1"/>
    <col min="6673" max="6673" width="18.85546875" style="170" customWidth="1"/>
    <col min="6674" max="6688" width="9.140625" style="170" customWidth="1"/>
    <col min="6689" max="6924" width="9.140625" style="170"/>
    <col min="6925" max="6928" width="9.140625" style="170" customWidth="1"/>
    <col min="6929" max="6929" width="18.85546875" style="170" customWidth="1"/>
    <col min="6930" max="6944" width="9.140625" style="170" customWidth="1"/>
    <col min="6945" max="7180" width="9.140625" style="170"/>
    <col min="7181" max="7184" width="9.140625" style="170" customWidth="1"/>
    <col min="7185" max="7185" width="18.85546875" style="170" customWidth="1"/>
    <col min="7186" max="7200" width="9.140625" style="170" customWidth="1"/>
    <col min="7201" max="7436" width="9.140625" style="170"/>
    <col min="7437" max="7440" width="9.140625" style="170" customWidth="1"/>
    <col min="7441" max="7441" width="18.85546875" style="170" customWidth="1"/>
    <col min="7442" max="7456" width="9.140625" style="170" customWidth="1"/>
    <col min="7457" max="7692" width="9.140625" style="170"/>
    <col min="7693" max="7696" width="9.140625" style="170" customWidth="1"/>
    <col min="7697" max="7697" width="18.85546875" style="170" customWidth="1"/>
    <col min="7698" max="7712" width="9.140625" style="170" customWidth="1"/>
    <col min="7713" max="7948" width="9.140625" style="170"/>
    <col min="7949" max="7952" width="9.140625" style="170" customWidth="1"/>
    <col min="7953" max="7953" width="18.85546875" style="170" customWidth="1"/>
    <col min="7954" max="7968" width="9.140625" style="170" customWidth="1"/>
    <col min="7969" max="8204" width="9.140625" style="170"/>
    <col min="8205" max="8208" width="9.140625" style="170" customWidth="1"/>
    <col min="8209" max="8209" width="18.85546875" style="170" customWidth="1"/>
    <col min="8210" max="8224" width="9.140625" style="170" customWidth="1"/>
    <col min="8225" max="8460" width="9.140625" style="170"/>
    <col min="8461" max="8464" width="9.140625" style="170" customWidth="1"/>
    <col min="8465" max="8465" width="18.85546875" style="170" customWidth="1"/>
    <col min="8466" max="8480" width="9.140625" style="170" customWidth="1"/>
    <col min="8481" max="8716" width="9.140625" style="170"/>
    <col min="8717" max="8720" width="9.140625" style="170" customWidth="1"/>
    <col min="8721" max="8721" width="18.85546875" style="170" customWidth="1"/>
    <col min="8722" max="8736" width="9.140625" style="170" customWidth="1"/>
    <col min="8737" max="8972" width="9.140625" style="170"/>
    <col min="8973" max="8976" width="9.140625" style="170" customWidth="1"/>
    <col min="8977" max="8977" width="18.85546875" style="170" customWidth="1"/>
    <col min="8978" max="8992" width="9.140625" style="170" customWidth="1"/>
    <col min="8993" max="9228" width="9.140625" style="170"/>
    <col min="9229" max="9232" width="9.140625" style="170" customWidth="1"/>
    <col min="9233" max="9233" width="18.85546875" style="170" customWidth="1"/>
    <col min="9234" max="9248" width="9.140625" style="170" customWidth="1"/>
    <col min="9249" max="9484" width="9.140625" style="170"/>
    <col min="9485" max="9488" width="9.140625" style="170" customWidth="1"/>
    <col min="9489" max="9489" width="18.85546875" style="170" customWidth="1"/>
    <col min="9490" max="9504" width="9.140625" style="170" customWidth="1"/>
    <col min="9505" max="9740" width="9.140625" style="170"/>
    <col min="9741" max="9744" width="9.140625" style="170" customWidth="1"/>
    <col min="9745" max="9745" width="18.85546875" style="170" customWidth="1"/>
    <col min="9746" max="9760" width="9.140625" style="170" customWidth="1"/>
    <col min="9761" max="9996" width="9.140625" style="170"/>
    <col min="9997" max="10000" width="9.140625" style="170" customWidth="1"/>
    <col min="10001" max="10001" width="18.85546875" style="170" customWidth="1"/>
    <col min="10002" max="10016" width="9.140625" style="170" customWidth="1"/>
    <col min="10017" max="10252" width="9.140625" style="170"/>
    <col min="10253" max="10256" width="9.140625" style="170" customWidth="1"/>
    <col min="10257" max="10257" width="18.85546875" style="170" customWidth="1"/>
    <col min="10258" max="10272" width="9.140625" style="170" customWidth="1"/>
    <col min="10273" max="10508" width="9.140625" style="170"/>
    <col min="10509" max="10512" width="9.140625" style="170" customWidth="1"/>
    <col min="10513" max="10513" width="18.85546875" style="170" customWidth="1"/>
    <col min="10514" max="10528" width="9.140625" style="170" customWidth="1"/>
    <col min="10529" max="10764" width="9.140625" style="170"/>
    <col min="10765" max="10768" width="9.140625" style="170" customWidth="1"/>
    <col min="10769" max="10769" width="18.85546875" style="170" customWidth="1"/>
    <col min="10770" max="10784" width="9.140625" style="170" customWidth="1"/>
    <col min="10785" max="11020" width="9.140625" style="170"/>
    <col min="11021" max="11024" width="9.140625" style="170" customWidth="1"/>
    <col min="11025" max="11025" width="18.85546875" style="170" customWidth="1"/>
    <col min="11026" max="11040" width="9.140625" style="170" customWidth="1"/>
    <col min="11041" max="11276" width="9.140625" style="170"/>
    <col min="11277" max="11280" width="9.140625" style="170" customWidth="1"/>
    <col min="11281" max="11281" width="18.85546875" style="170" customWidth="1"/>
    <col min="11282" max="11296" width="9.140625" style="170" customWidth="1"/>
    <col min="11297" max="11532" width="9.140625" style="170"/>
    <col min="11533" max="11536" width="9.140625" style="170" customWidth="1"/>
    <col min="11537" max="11537" width="18.85546875" style="170" customWidth="1"/>
    <col min="11538" max="11552" width="9.140625" style="170" customWidth="1"/>
    <col min="11553" max="11788" width="9.140625" style="170"/>
    <col min="11789" max="11792" width="9.140625" style="170" customWidth="1"/>
    <col min="11793" max="11793" width="18.85546875" style="170" customWidth="1"/>
    <col min="11794" max="11808" width="9.140625" style="170" customWidth="1"/>
    <col min="11809" max="12044" width="9.140625" style="170"/>
    <col min="12045" max="12048" width="9.140625" style="170" customWidth="1"/>
    <col min="12049" max="12049" width="18.85546875" style="170" customWidth="1"/>
    <col min="12050" max="12064" width="9.140625" style="170" customWidth="1"/>
    <col min="12065" max="12300" width="9.140625" style="170"/>
    <col min="12301" max="12304" width="9.140625" style="170" customWidth="1"/>
    <col min="12305" max="12305" width="18.85546875" style="170" customWidth="1"/>
    <col min="12306" max="12320" width="9.140625" style="170" customWidth="1"/>
    <col min="12321" max="12556" width="9.140625" style="170"/>
    <col min="12557" max="12560" width="9.140625" style="170" customWidth="1"/>
    <col min="12561" max="12561" width="18.85546875" style="170" customWidth="1"/>
    <col min="12562" max="12576" width="9.140625" style="170" customWidth="1"/>
    <col min="12577" max="12812" width="9.140625" style="170"/>
    <col min="12813" max="12816" width="9.140625" style="170" customWidth="1"/>
    <col min="12817" max="12817" width="18.85546875" style="170" customWidth="1"/>
    <col min="12818" max="12832" width="9.140625" style="170" customWidth="1"/>
    <col min="12833" max="13068" width="9.140625" style="170"/>
    <col min="13069" max="13072" width="9.140625" style="170" customWidth="1"/>
    <col min="13073" max="13073" width="18.85546875" style="170" customWidth="1"/>
    <col min="13074" max="13088" width="9.140625" style="170" customWidth="1"/>
    <col min="13089" max="13324" width="9.140625" style="170"/>
    <col min="13325" max="13328" width="9.140625" style="170" customWidth="1"/>
    <col min="13329" max="13329" width="18.85546875" style="170" customWidth="1"/>
    <col min="13330" max="13344" width="9.140625" style="170" customWidth="1"/>
    <col min="13345" max="13580" width="9.140625" style="170"/>
    <col min="13581" max="13584" width="9.140625" style="170" customWidth="1"/>
    <col min="13585" max="13585" width="18.85546875" style="170" customWidth="1"/>
    <col min="13586" max="13600" width="9.140625" style="170" customWidth="1"/>
    <col min="13601" max="13836" width="9.140625" style="170"/>
    <col min="13837" max="13840" width="9.140625" style="170" customWidth="1"/>
    <col min="13841" max="13841" width="18.85546875" style="170" customWidth="1"/>
    <col min="13842" max="13856" width="9.140625" style="170" customWidth="1"/>
    <col min="13857" max="14092" width="9.140625" style="170"/>
    <col min="14093" max="14096" width="9.140625" style="170" customWidth="1"/>
    <col min="14097" max="14097" width="18.85546875" style="170" customWidth="1"/>
    <col min="14098" max="14112" width="9.140625" style="170" customWidth="1"/>
    <col min="14113" max="14348" width="9.140625" style="170"/>
    <col min="14349" max="14352" width="9.140625" style="170" customWidth="1"/>
    <col min="14353" max="14353" width="18.85546875" style="170" customWidth="1"/>
    <col min="14354" max="14368" width="9.140625" style="170" customWidth="1"/>
    <col min="14369" max="14604" width="9.140625" style="170"/>
    <col min="14605" max="14608" width="9.140625" style="170" customWidth="1"/>
    <col min="14609" max="14609" width="18.85546875" style="170" customWidth="1"/>
    <col min="14610" max="14624" width="9.140625" style="170" customWidth="1"/>
    <col min="14625" max="14860" width="9.140625" style="170"/>
    <col min="14861" max="14864" width="9.140625" style="170" customWidth="1"/>
    <col min="14865" max="14865" width="18.85546875" style="170" customWidth="1"/>
    <col min="14866" max="14880" width="9.140625" style="170" customWidth="1"/>
    <col min="14881" max="15116" width="9.140625" style="170"/>
    <col min="15117" max="15120" width="9.140625" style="170" customWidth="1"/>
    <col min="15121" max="15121" width="18.85546875" style="170" customWidth="1"/>
    <col min="15122" max="15136" width="9.140625" style="170" customWidth="1"/>
    <col min="15137" max="15372" width="9.140625" style="170"/>
    <col min="15373" max="15376" width="9.140625" style="170" customWidth="1"/>
    <col min="15377" max="15377" width="18.85546875" style="170" customWidth="1"/>
    <col min="15378" max="15392" width="9.140625" style="170" customWidth="1"/>
    <col min="15393" max="15628" width="9.140625" style="170"/>
    <col min="15629" max="15632" width="9.140625" style="170" customWidth="1"/>
    <col min="15633" max="15633" width="18.85546875" style="170" customWidth="1"/>
    <col min="15634" max="15648" width="9.140625" style="170" customWidth="1"/>
    <col min="15649" max="15884" width="9.140625" style="170"/>
    <col min="15885" max="15888" width="9.140625" style="170" customWidth="1"/>
    <col min="15889" max="15889" width="18.85546875" style="170" customWidth="1"/>
    <col min="15890" max="15904" width="9.140625" style="170" customWidth="1"/>
    <col min="15905" max="16140" width="9.140625" style="170"/>
    <col min="16141" max="16144" width="9.140625" style="170" customWidth="1"/>
    <col min="16145" max="16145" width="18.85546875" style="170" customWidth="1"/>
    <col min="16146" max="16160" width="9.140625" style="170" customWidth="1"/>
    <col min="16161" max="16384" width="9.140625" style="170"/>
  </cols>
  <sheetData>
    <row r="1" spans="1:32">
      <c r="A1" s="871" t="s">
        <v>59</v>
      </c>
      <c r="B1" s="872"/>
      <c r="C1" s="443">
        <v>66</v>
      </c>
    </row>
    <row r="2" spans="1:32">
      <c r="A2" s="871" t="s">
        <v>57</v>
      </c>
      <c r="B2" s="872"/>
      <c r="C2" s="443">
        <v>15.5</v>
      </c>
    </row>
    <row r="3" spans="1:32">
      <c r="A3" s="871" t="s">
        <v>299</v>
      </c>
      <c r="B3" s="872"/>
      <c r="C3" s="443">
        <v>25</v>
      </c>
    </row>
    <row r="4" spans="1:32">
      <c r="A4" s="873" t="s">
        <v>300</v>
      </c>
      <c r="B4" s="874"/>
      <c r="C4" s="444">
        <v>3.5472391699060646</v>
      </c>
    </row>
    <row r="5" spans="1:32">
      <c r="A5" s="871" t="s">
        <v>305</v>
      </c>
      <c r="B5" s="872"/>
      <c r="C5" s="445">
        <v>2.4178634599393201E-5</v>
      </c>
    </row>
    <row r="7" spans="1:32" ht="28.5" customHeight="1">
      <c r="C7" s="859" t="s">
        <v>259</v>
      </c>
      <c r="D7" s="860"/>
      <c r="E7" s="860"/>
      <c r="F7" s="861"/>
      <c r="K7" s="859" t="s">
        <v>253</v>
      </c>
      <c r="L7" s="860"/>
      <c r="M7" s="860"/>
      <c r="N7" s="861"/>
      <c r="S7" s="859" t="s">
        <v>262</v>
      </c>
      <c r="T7" s="860"/>
      <c r="U7" s="860"/>
      <c r="V7" s="861"/>
      <c r="AA7" s="859" t="s">
        <v>255</v>
      </c>
      <c r="AB7" s="860"/>
      <c r="AC7" s="860"/>
      <c r="AD7" s="861"/>
    </row>
    <row r="8" spans="1:32" ht="28.5" customHeight="1">
      <c r="C8" s="862"/>
      <c r="D8" s="863"/>
      <c r="E8" s="863"/>
      <c r="F8" s="864"/>
      <c r="K8" s="862"/>
      <c r="L8" s="863"/>
      <c r="M8" s="863"/>
      <c r="N8" s="864"/>
      <c r="S8" s="862"/>
      <c r="T8" s="863"/>
      <c r="U8" s="863"/>
      <c r="V8" s="864"/>
      <c r="Y8" s="174"/>
      <c r="Z8" s="174"/>
      <c r="AA8" s="862"/>
      <c r="AB8" s="863"/>
      <c r="AC8" s="863"/>
      <c r="AD8" s="864"/>
    </row>
    <row r="9" spans="1:32" ht="15" customHeight="1">
      <c r="C9" s="865" t="str">
        <f>IF(B89=1000,0,INT(B10/3600)&amp;"h "&amp;MOD(INT(B10/60),60)&amp;"m "&amp;MOD(B10,60)&amp;" s")</f>
        <v>1h 32m 29,6132154684055 s</v>
      </c>
      <c r="D9" s="866"/>
      <c r="E9" s="866"/>
      <c r="F9" s="867"/>
      <c r="K9" s="865" t="str">
        <f>IF(J89=1000,0,INT(J10/3600)&amp;"h "&amp;MOD(INT(J10/60),60)&amp;"m "&amp;MOD(J10,60)&amp;" s")</f>
        <v>1h 32m 58,5851016807337 s</v>
      </c>
      <c r="L9" s="866"/>
      <c r="M9" s="866"/>
      <c r="N9" s="867"/>
      <c r="S9" s="865" t="str">
        <f>IF(R89=1000,0,INT(R10/3600)&amp;"h "&amp;MOD(INT(R10/60),60)&amp;"m "&amp;MOD(R10,60)&amp;" s")</f>
        <v>1h 33m 34,7321013999999 s</v>
      </c>
      <c r="T9" s="866"/>
      <c r="U9" s="866"/>
      <c r="V9" s="867"/>
      <c r="Y9" s="174"/>
      <c r="Z9" s="174"/>
      <c r="AA9" s="865" t="str">
        <f>IF(Z89=1000,0,INT(Z10/3600)&amp;"h "&amp;MOD(INT(Z10/60),60)&amp;"m "&amp;MOD(Z10,60)&amp;" s")</f>
        <v>1h 34m 35,6990720338154 s</v>
      </c>
      <c r="AB9" s="866"/>
      <c r="AC9" s="866"/>
      <c r="AD9" s="867"/>
    </row>
    <row r="10" spans="1:32" ht="15.75" customHeight="1">
      <c r="A10" s="446">
        <v>17</v>
      </c>
      <c r="B10" s="447">
        <v>5549.6132154684055</v>
      </c>
      <c r="C10" s="868"/>
      <c r="D10" s="869"/>
      <c r="E10" s="869"/>
      <c r="F10" s="870"/>
      <c r="I10" s="446">
        <v>22</v>
      </c>
      <c r="J10" s="448">
        <v>5578.5851016807337</v>
      </c>
      <c r="K10" s="868"/>
      <c r="L10" s="869"/>
      <c r="M10" s="869"/>
      <c r="N10" s="870"/>
      <c r="Q10" s="446">
        <v>22</v>
      </c>
      <c r="R10" s="448">
        <v>5614.7321013999999</v>
      </c>
      <c r="S10" s="868"/>
      <c r="T10" s="869"/>
      <c r="U10" s="869"/>
      <c r="V10" s="870"/>
      <c r="Y10" s="449">
        <v>33</v>
      </c>
      <c r="Z10" s="450">
        <v>5675.6990720338154</v>
      </c>
      <c r="AA10" s="868"/>
      <c r="AB10" s="869"/>
      <c r="AC10" s="869"/>
      <c r="AD10" s="870"/>
    </row>
    <row r="11" spans="1:32">
      <c r="A11" s="451" t="s">
        <v>13</v>
      </c>
      <c r="B11" s="451" t="s">
        <v>13</v>
      </c>
      <c r="C11" s="452" t="s">
        <v>295</v>
      </c>
      <c r="D11" s="452" t="s">
        <v>295</v>
      </c>
      <c r="E11" s="452" t="s">
        <v>301</v>
      </c>
      <c r="F11" s="452" t="s">
        <v>302</v>
      </c>
      <c r="G11" s="451" t="s">
        <v>303</v>
      </c>
      <c r="H11" s="452" t="s">
        <v>304</v>
      </c>
      <c r="I11" s="451" t="s">
        <v>13</v>
      </c>
      <c r="J11" s="451" t="s">
        <v>13</v>
      </c>
      <c r="K11" s="451" t="s">
        <v>295</v>
      </c>
      <c r="L11" s="451" t="s">
        <v>295</v>
      </c>
      <c r="M11" s="451" t="s">
        <v>301</v>
      </c>
      <c r="N11" s="451" t="s">
        <v>302</v>
      </c>
      <c r="O11" s="451" t="s">
        <v>303</v>
      </c>
      <c r="P11" s="452" t="s">
        <v>304</v>
      </c>
      <c r="Q11" s="451" t="s">
        <v>13</v>
      </c>
      <c r="R11" s="451" t="s">
        <v>13</v>
      </c>
      <c r="S11" s="451" t="s">
        <v>295</v>
      </c>
      <c r="T11" s="451" t="s">
        <v>295</v>
      </c>
      <c r="U11" s="451" t="s">
        <v>301</v>
      </c>
      <c r="V11" s="451" t="s">
        <v>302</v>
      </c>
      <c r="W11" s="451" t="s">
        <v>303</v>
      </c>
      <c r="X11" s="452" t="s">
        <v>304</v>
      </c>
      <c r="Y11" s="451" t="s">
        <v>13</v>
      </c>
      <c r="Z11" s="451" t="s">
        <v>13</v>
      </c>
      <c r="AA11" s="451" t="s">
        <v>295</v>
      </c>
      <c r="AB11" s="451" t="s">
        <v>295</v>
      </c>
      <c r="AC11" s="451" t="s">
        <v>301</v>
      </c>
      <c r="AD11" s="451" t="s">
        <v>302</v>
      </c>
      <c r="AE11" s="451" t="s">
        <v>303</v>
      </c>
      <c r="AF11" s="452" t="s">
        <v>304</v>
      </c>
    </row>
    <row r="12" spans="1:32">
      <c r="A12" s="451">
        <v>1</v>
      </c>
      <c r="B12" s="451">
        <f>MAX(A12:A147)</f>
        <v>66</v>
      </c>
      <c r="C12" s="170">
        <f>VLOOKUP(B12,$A$12:$D$91,4,0)</f>
        <v>4.3386516213151065</v>
      </c>
      <c r="D12" s="171">
        <v>63</v>
      </c>
      <c r="E12" s="171">
        <v>80.337362720041853</v>
      </c>
      <c r="F12" s="171">
        <v>80.337362720041853</v>
      </c>
      <c r="G12" s="171"/>
      <c r="H12" s="172">
        <f>F12+G12</f>
        <v>80.337362720041853</v>
      </c>
      <c r="I12" s="451">
        <v>1</v>
      </c>
      <c r="J12" s="451">
        <f>MAX(I12:I91)</f>
        <v>66</v>
      </c>
      <c r="K12" s="170">
        <f t="shared" ref="K12:K75" si="0">VLOOKUP(J12,$I$12:$L$91,4,0)</f>
        <v>4.0552166018787243</v>
      </c>
      <c r="L12" s="170">
        <v>82</v>
      </c>
      <c r="M12" s="170">
        <v>80.868528349521199</v>
      </c>
      <c r="N12" s="171">
        <v>80.868528349521199</v>
      </c>
      <c r="O12" s="170">
        <v>0</v>
      </c>
      <c r="P12" s="173">
        <f>N12+O12</f>
        <v>80.868528349521199</v>
      </c>
      <c r="Q12" s="451">
        <v>1</v>
      </c>
      <c r="R12" s="451">
        <f>MAX(Q12:Q91)</f>
        <v>66</v>
      </c>
      <c r="S12" s="170">
        <f t="shared" ref="S12:S75" si="1">VLOOKUP(R12,$Q$12:$T$91,4,0)</f>
        <v>4.0552166018787243</v>
      </c>
      <c r="T12" s="170">
        <v>82</v>
      </c>
      <c r="U12" s="170">
        <v>81.400244478963955</v>
      </c>
      <c r="V12" s="171">
        <v>81.400244478963955</v>
      </c>
      <c r="W12" s="170">
        <v>0</v>
      </c>
      <c r="X12" s="173">
        <f>V12+W12</f>
        <v>81.400244478963955</v>
      </c>
      <c r="Y12" s="451">
        <v>1</v>
      </c>
      <c r="Z12" s="451">
        <f>MAX(Y12:Y91)</f>
        <v>66</v>
      </c>
      <c r="AA12" s="170">
        <f t="shared" ref="AA12:AA75" si="2">VLOOKUP(Z12,$Y$12:$AB$90,4,0)</f>
        <v>4.0355857329120237</v>
      </c>
      <c r="AB12" s="170">
        <v>122</v>
      </c>
      <c r="AC12" s="170">
        <v>81.931921723410298</v>
      </c>
      <c r="AD12" s="171">
        <v>81.931921723410298</v>
      </c>
      <c r="AE12" s="170">
        <v>0</v>
      </c>
      <c r="AF12" s="173">
        <f>AD12+AE12</f>
        <v>81.931921723410298</v>
      </c>
    </row>
    <row r="13" spans="1:32">
      <c r="A13" s="451">
        <f>IF(AND(A12&lt;&gt;$C$1,A12&lt;&gt;0),A12+1,0)</f>
        <v>2</v>
      </c>
      <c r="B13" s="451">
        <f>B12-1</f>
        <v>65</v>
      </c>
      <c r="C13" s="170">
        <f>VLOOKUP(B13,$A$12:$D$91,4,0)</f>
        <v>7.8858907912211711</v>
      </c>
      <c r="D13" s="171">
        <f>IF($A13&lt;&gt;0,IF(D12-$C$4+0.0001&gt;$C$4,D12-$C$4,IF($C$1-$A13&gt;A$10,ROUNDUP(A$10*$C$4,0),ROUNDUP(($C$1-$A12)*$C$4,0))),0)</f>
        <v>59.452760830093936</v>
      </c>
      <c r="E13" s="171">
        <f>IF(A13=0,0,E12*(1+C13*'CALCULETTE CHRONOS'!$C$5))</f>
        <v>80.35268065077048</v>
      </c>
      <c r="F13" s="171">
        <v>80.35268065077048</v>
      </c>
      <c r="G13" s="171">
        <f>IF(AND($A13&lt;&gt;0,D13&gt;D12),$C$3+$C$2,0)</f>
        <v>0</v>
      </c>
      <c r="H13" s="172">
        <f>F13+G13+H12</f>
        <v>160.69004337081233</v>
      </c>
      <c r="I13" s="451">
        <f t="shared" ref="I13:I76" si="3">IF(AND(I12&lt;&gt;$C$1,I12&lt;&gt;0),I12+1,0)</f>
        <v>2</v>
      </c>
      <c r="J13" s="451">
        <f t="shared" ref="J13:J76" si="4">J12-1</f>
        <v>65</v>
      </c>
      <c r="K13" s="170">
        <f t="shared" si="0"/>
        <v>7.6024557717847889</v>
      </c>
      <c r="L13" s="170">
        <f t="shared" ref="L13:L76" si="5">IF($A13&lt;&gt;0,IF(L12-$C$4+0.0001&gt;$C$4,L12-$C$4,IF($C$1-$A13&gt;I$10,ROUNDUP(I$10*$C$4,0),ROUNDUP(($C$1-$A12)*$C$4,0))),0)</f>
        <v>78.452760830093936</v>
      </c>
      <c r="M13" s="171">
        <f>(IF(I13=0,0,M12*(1+K13*'CALCULETTE CHRONOS'!$C$5)))</f>
        <v>80.883393359810086</v>
      </c>
      <c r="N13" s="171">
        <v>80.883393359810086</v>
      </c>
      <c r="O13" s="170">
        <f t="shared" ref="O13:O76" si="6">IF(AND($A13&lt;&gt;0,L13&gt;L12),$C$3+$C$2,0)</f>
        <v>0</v>
      </c>
      <c r="P13" s="173">
        <f t="shared" ref="P13:P76" si="7">(N13+O13+P12)</f>
        <v>161.75192170933127</v>
      </c>
      <c r="Q13" s="451">
        <f t="shared" ref="Q13:Q76" si="8">IF(AND(Q12&lt;&gt;$C$1,Q12&lt;&gt;0),Q12+1,0)</f>
        <v>2</v>
      </c>
      <c r="R13" s="451">
        <f t="shared" ref="R13:R76" si="9">R12-1</f>
        <v>65</v>
      </c>
      <c r="S13" s="170">
        <f t="shared" si="1"/>
        <v>7.6024557717847889</v>
      </c>
      <c r="T13" s="170">
        <f t="shared" ref="T13:T76" si="10">IF($A13&lt;&gt;0,IF(T12-$C$4+0.0001&gt;$C$4,T12-$C$4,IF($C$1-$A13&gt;Q$10,ROUNDUP(Q$10*$C$4,0),ROUNDUP(($C$1-$A12)*$C$4,0))),0)</f>
        <v>78.452760830093936</v>
      </c>
      <c r="U13" s="171">
        <f>(IF(Q13=0,0,U12*(1+S13*'CALCULETTE CHRONOS'!$C$5)))</f>
        <v>81.415207227716692</v>
      </c>
      <c r="V13" s="171">
        <v>81.415207227716692</v>
      </c>
      <c r="W13" s="170">
        <f t="shared" ref="W13:W76" si="11">IF(AND($A13&lt;&gt;0,T13&gt;T12),$C$3+$C$2,0)</f>
        <v>0</v>
      </c>
      <c r="X13" s="173">
        <f t="shared" ref="X13:X76" si="12">(V13+W13+X12)</f>
        <v>162.81545170668065</v>
      </c>
      <c r="Y13" s="451">
        <f t="shared" ref="Y13:Y76" si="13">IF(AND(Y12&lt;&gt;$C$1,Y12&lt;&gt;0),Y12+1,0)</f>
        <v>2</v>
      </c>
      <c r="Z13" s="451">
        <f t="shared" ref="Z13:Z76" si="14">Z12-1</f>
        <v>65</v>
      </c>
      <c r="AA13" s="170">
        <f t="shared" si="2"/>
        <v>7.5828249028180883</v>
      </c>
      <c r="AB13" s="170">
        <f t="shared" ref="AB13:AB76" si="15">IF($A13&lt;&gt;0,IF(AB12-$C$4+0.0001&gt;$C$4,AB12-$C$4,IF($C$1-$A13&gt;Y$10,ROUNDUP(Y$10*$C$4,0),ROUNDUP(($C$1-$A12)*$C$4,0))),0)</f>
        <v>118.45276083009394</v>
      </c>
      <c r="AC13" s="171">
        <f>(IF(Y13=0,0,AC12*(1+AA13*'CALCULETTE CHRONOS'!$C$5)))</f>
        <v>81.946943314688525</v>
      </c>
      <c r="AD13" s="171">
        <v>81.946943314688525</v>
      </c>
      <c r="AE13" s="170">
        <f t="shared" ref="AE13:AE76" si="16">IF(AND($A13&lt;&gt;0,AB13&gt;AB12),$C$3+$C$2,0)</f>
        <v>0</v>
      </c>
      <c r="AF13" s="173">
        <f t="shared" ref="AF13:AF76" si="17">(AD13+AE13+AF12)</f>
        <v>163.87886503809881</v>
      </c>
    </row>
    <row r="14" spans="1:32">
      <c r="A14" s="451">
        <f>IF(AND(A13&lt;&gt;$C$1,A13&lt;&gt;0),A13+1,0)</f>
        <v>3</v>
      </c>
      <c r="B14" s="451">
        <f t="shared" ref="B14:B77" si="18">B13-1</f>
        <v>64</v>
      </c>
      <c r="C14" s="170">
        <f>VLOOKUP(B14,$A$12:$D$91,4,0)</f>
        <v>11.433129961127236</v>
      </c>
      <c r="D14" s="171">
        <f>IF($A14&lt;&gt;0,IF(D13-$C$4+0.0001&gt;$C$4,D13-$C$4,IF($C$1-$A14&gt;A$10,ROUNDUP(A$10*$C$4,0),ROUNDUP(($C$1-$A13)*$C$4,0))),0)</f>
        <v>55.905521660187873</v>
      </c>
      <c r="E14" s="171">
        <f>IF(A14=0,0,E13*(1+C14*'CALCULETTE CHRONOS'!$C$5))</f>
        <v>80.374893142650478</v>
      </c>
      <c r="F14" s="171">
        <v>80.374893142650478</v>
      </c>
      <c r="G14" s="171">
        <f>IF(AND($A14&lt;&gt;0,D14&gt;D13),$C$3+$C$2,0)</f>
        <v>0</v>
      </c>
      <c r="H14" s="172">
        <f>F14+G14+H13</f>
        <v>241.06493651346281</v>
      </c>
      <c r="I14" s="451">
        <f t="shared" si="3"/>
        <v>3</v>
      </c>
      <c r="J14" s="451">
        <f t="shared" si="4"/>
        <v>64</v>
      </c>
      <c r="K14" s="170">
        <f t="shared" si="0"/>
        <v>11.149694941690854</v>
      </c>
      <c r="L14" s="170">
        <f t="shared" si="5"/>
        <v>74.905521660187873</v>
      </c>
      <c r="M14" s="171">
        <f>(IF(I14=0,0,M13*(1+K14*'CALCULETTE CHRONOS'!$C$5)))</f>
        <v>80.905198260870051</v>
      </c>
      <c r="N14" s="171">
        <v>80.905198260870051</v>
      </c>
      <c r="O14" s="170">
        <f t="shared" si="6"/>
        <v>0</v>
      </c>
      <c r="P14" s="173">
        <f t="shared" si="7"/>
        <v>242.65711997020134</v>
      </c>
      <c r="Q14" s="451">
        <f t="shared" si="8"/>
        <v>3</v>
      </c>
      <c r="R14" s="451">
        <f t="shared" si="9"/>
        <v>64</v>
      </c>
      <c r="S14" s="170">
        <f t="shared" si="1"/>
        <v>11.149694941690854</v>
      </c>
      <c r="T14" s="170">
        <f t="shared" si="10"/>
        <v>74.905521660187873</v>
      </c>
      <c r="U14" s="171">
        <f>(IF(Q14=0,0,U13*(1+S14*'CALCULETTE CHRONOS'!$C$5)))</f>
        <v>81.437155497499091</v>
      </c>
      <c r="V14" s="171">
        <v>81.437155497499091</v>
      </c>
      <c r="W14" s="170">
        <f t="shared" si="11"/>
        <v>0</v>
      </c>
      <c r="X14" s="173">
        <f t="shared" si="12"/>
        <v>244.25260720417975</v>
      </c>
      <c r="Y14" s="451">
        <f t="shared" si="13"/>
        <v>3</v>
      </c>
      <c r="Z14" s="451">
        <f t="shared" si="14"/>
        <v>64</v>
      </c>
      <c r="AA14" s="170">
        <f t="shared" si="2"/>
        <v>11.130064072724153</v>
      </c>
      <c r="AB14" s="170">
        <f t="shared" si="15"/>
        <v>114.90552166018787</v>
      </c>
      <c r="AC14" s="171">
        <f>(IF(Y14=0,0,AC13*(1+AA14*'CALCULETTE CHRONOS'!$C$5)))</f>
        <v>81.968996036304233</v>
      </c>
      <c r="AD14" s="171">
        <v>81.968996036304233</v>
      </c>
      <c r="AE14" s="170">
        <f t="shared" si="16"/>
        <v>0</v>
      </c>
      <c r="AF14" s="173">
        <f t="shared" si="17"/>
        <v>245.84786107440306</v>
      </c>
    </row>
    <row r="15" spans="1:32">
      <c r="A15" s="451">
        <f t="shared" ref="A15:A78" si="19">IF(AND(A14&lt;&gt;$C$1,A14&lt;&gt;0),A14+1,0)</f>
        <v>4</v>
      </c>
      <c r="B15" s="451">
        <f t="shared" si="18"/>
        <v>63</v>
      </c>
      <c r="C15" s="170">
        <f t="shared" ref="C15:C78" si="20">VLOOKUP(B15,$A$12:$D$91,4,0)</f>
        <v>14.980369131033299</v>
      </c>
      <c r="D15" s="171">
        <f t="shared" ref="D15:D78" si="21">IF($A15&lt;&gt;0,IF(D14-$C$4+0.0001&gt;$C$4,D14-$C$4,IF($C$1-$A15&gt;A$10,ROUNDUP(A$10*$C$4,0),ROUNDUP(($C$1-$A14)*$C$4,0))),0)</f>
        <v>52.358282490281809</v>
      </c>
      <c r="E15" s="171">
        <f>IF(A15=0,0,E14*(1+C15*'CALCULETTE CHRONOS'!$C$5))</f>
        <v>80.404005320483662</v>
      </c>
      <c r="F15" s="171">
        <v>80.404005320483662</v>
      </c>
      <c r="G15" s="171">
        <f t="shared" ref="G15:G78" si="22">IF(AND($A15&lt;&gt;0,D15&gt;D14),$C$3+$C$2,0)</f>
        <v>0</v>
      </c>
      <c r="H15" s="172">
        <f t="shared" ref="H15:H78" si="23">F15+G15+H14</f>
        <v>321.46894183394647</v>
      </c>
      <c r="I15" s="451">
        <f t="shared" si="3"/>
        <v>4</v>
      </c>
      <c r="J15" s="451">
        <f t="shared" si="4"/>
        <v>63</v>
      </c>
      <c r="K15" s="170">
        <f t="shared" si="0"/>
        <v>14.696934111596917</v>
      </c>
      <c r="L15" s="170">
        <f t="shared" si="5"/>
        <v>71.358282490281809</v>
      </c>
      <c r="M15" s="171">
        <f>(IF(I15=0,0,M14*(1+K15*'CALCULETTE CHRONOS'!$C$5)))</f>
        <v>80.933948068670318</v>
      </c>
      <c r="N15" s="171">
        <v>80.933948068670318</v>
      </c>
      <c r="O15" s="170">
        <f t="shared" si="6"/>
        <v>0</v>
      </c>
      <c r="P15" s="173">
        <f t="shared" si="7"/>
        <v>323.59106803887164</v>
      </c>
      <c r="Q15" s="451">
        <f t="shared" si="8"/>
        <v>4</v>
      </c>
      <c r="R15" s="451">
        <f t="shared" si="9"/>
        <v>63</v>
      </c>
      <c r="S15" s="170">
        <f t="shared" si="1"/>
        <v>14.696934111596917</v>
      </c>
      <c r="T15" s="170">
        <f t="shared" si="10"/>
        <v>71.358282490281809</v>
      </c>
      <c r="U15" s="171">
        <f>(IF(Q15=0,0,U14*(1+S15*'CALCULETTE CHRONOS'!$C$5)))</f>
        <v>81.466094337260714</v>
      </c>
      <c r="V15" s="171">
        <v>81.466094337260714</v>
      </c>
      <c r="W15" s="170">
        <f t="shared" si="11"/>
        <v>0</v>
      </c>
      <c r="X15" s="173">
        <f t="shared" si="12"/>
        <v>325.71870154144045</v>
      </c>
      <c r="Y15" s="451">
        <f t="shared" si="13"/>
        <v>4</v>
      </c>
      <c r="Z15" s="451">
        <f t="shared" si="14"/>
        <v>63</v>
      </c>
      <c r="AA15" s="170">
        <f t="shared" si="2"/>
        <v>14.677303242630217</v>
      </c>
      <c r="AB15" s="170">
        <f t="shared" si="15"/>
        <v>111.35828249028181</v>
      </c>
      <c r="AC15" s="171">
        <f>(IF(Y15=0,0,AC14*(1+AA15*'CALCULETTE CHRONOS'!$C$5)))</f>
        <v>81.998084960170559</v>
      </c>
      <c r="AD15" s="171">
        <v>81.998084960170559</v>
      </c>
      <c r="AE15" s="170">
        <f t="shared" si="16"/>
        <v>0</v>
      </c>
      <c r="AF15" s="173">
        <f t="shared" si="17"/>
        <v>327.84594603457361</v>
      </c>
    </row>
    <row r="16" spans="1:32">
      <c r="A16" s="451">
        <f t="shared" si="19"/>
        <v>5</v>
      </c>
      <c r="B16" s="451">
        <f t="shared" si="18"/>
        <v>62</v>
      </c>
      <c r="C16" s="170">
        <f t="shared" si="20"/>
        <v>18.527608300939363</v>
      </c>
      <c r="D16" s="171">
        <f t="shared" si="21"/>
        <v>48.811043320375745</v>
      </c>
      <c r="E16" s="171">
        <f>IF(A16=0,0,E15*(1+C16*'CALCULETTE CHRONOS'!$C$5))</f>
        <v>80.440024085353343</v>
      </c>
      <c r="F16" s="171">
        <v>80.440024085353343</v>
      </c>
      <c r="G16" s="171">
        <f t="shared" si="22"/>
        <v>0</v>
      </c>
      <c r="H16" s="172">
        <f t="shared" si="23"/>
        <v>401.90896591929982</v>
      </c>
      <c r="I16" s="451">
        <f t="shared" si="3"/>
        <v>5</v>
      </c>
      <c r="J16" s="451">
        <f t="shared" si="4"/>
        <v>62</v>
      </c>
      <c r="K16" s="170">
        <f t="shared" si="0"/>
        <v>18.244173281502981</v>
      </c>
      <c r="L16" s="170">
        <f t="shared" si="5"/>
        <v>67.811043320375745</v>
      </c>
      <c r="M16" s="171">
        <f>(IF(I16=0,0,M15*(1+K16*'CALCULETTE CHRONOS'!$C$5)))</f>
        <v>80.969649587041914</v>
      </c>
      <c r="N16" s="171">
        <v>80.969649587041914</v>
      </c>
      <c r="O16" s="170">
        <f t="shared" si="6"/>
        <v>0</v>
      </c>
      <c r="P16" s="173">
        <f t="shared" si="7"/>
        <v>404.56071762591353</v>
      </c>
      <c r="Q16" s="451">
        <f t="shared" si="8"/>
        <v>5</v>
      </c>
      <c r="R16" s="451">
        <f t="shared" si="9"/>
        <v>62</v>
      </c>
      <c r="S16" s="170">
        <f t="shared" si="1"/>
        <v>18.244173281502981</v>
      </c>
      <c r="T16" s="170">
        <f t="shared" si="10"/>
        <v>67.811043320375745</v>
      </c>
      <c r="U16" s="171">
        <f>(IF(Q16=0,0,U15*(1+S16*'CALCULETTE CHRONOS'!$C$5)))</f>
        <v>81.502030595568243</v>
      </c>
      <c r="V16" s="171">
        <v>81.502030595568243</v>
      </c>
      <c r="W16" s="170">
        <f t="shared" si="11"/>
        <v>0</v>
      </c>
      <c r="X16" s="173">
        <f t="shared" si="12"/>
        <v>407.22073213700867</v>
      </c>
      <c r="Y16" s="451">
        <f t="shared" si="13"/>
        <v>5</v>
      </c>
      <c r="Z16" s="451">
        <f t="shared" si="14"/>
        <v>62</v>
      </c>
      <c r="AA16" s="170">
        <f t="shared" si="2"/>
        <v>18.22454241253628</v>
      </c>
      <c r="AB16" s="170">
        <f t="shared" si="15"/>
        <v>107.81104332037575</v>
      </c>
      <c r="AC16" s="171">
        <f>(IF(Y16=0,0,AC15*(1+AA16*'CALCULETTE CHRONOS'!$C$5)))</f>
        <v>82.034216969560859</v>
      </c>
      <c r="AD16" s="171">
        <v>82.034216969560859</v>
      </c>
      <c r="AE16" s="170">
        <f t="shared" si="16"/>
        <v>0</v>
      </c>
      <c r="AF16" s="173">
        <f t="shared" si="17"/>
        <v>409.88016300413449</v>
      </c>
    </row>
    <row r="17" spans="1:32">
      <c r="A17" s="451">
        <f t="shared" si="19"/>
        <v>6</v>
      </c>
      <c r="B17" s="451">
        <f t="shared" si="18"/>
        <v>61</v>
      </c>
      <c r="C17" s="170">
        <f t="shared" si="20"/>
        <v>22.074847470845427</v>
      </c>
      <c r="D17" s="171">
        <f t="shared" si="21"/>
        <v>45.263804150469682</v>
      </c>
      <c r="E17" s="171">
        <f>IF(A17=0,0,E16*(1+C17*'CALCULETTE CHRONOS'!$C$5))</f>
        <v>80.482958117330611</v>
      </c>
      <c r="F17" s="171">
        <v>80.482958117330611</v>
      </c>
      <c r="G17" s="171">
        <f t="shared" si="22"/>
        <v>0</v>
      </c>
      <c r="H17" s="172">
        <f t="shared" si="23"/>
        <v>482.39192403663043</v>
      </c>
      <c r="I17" s="451">
        <f t="shared" si="3"/>
        <v>6</v>
      </c>
      <c r="J17" s="451">
        <f t="shared" si="4"/>
        <v>61</v>
      </c>
      <c r="K17" s="170">
        <f t="shared" si="0"/>
        <v>21.791412451409045</v>
      </c>
      <c r="L17" s="170">
        <f t="shared" si="5"/>
        <v>64.263804150469682</v>
      </c>
      <c r="M17" s="171">
        <f>(IF(I17=0,0,M16*(1+K17*'CALCULETTE CHRONOS'!$C$5)))</f>
        <v>81.012311410340502</v>
      </c>
      <c r="N17" s="171">
        <v>81.012311410340502</v>
      </c>
      <c r="O17" s="170">
        <f t="shared" si="6"/>
        <v>0</v>
      </c>
      <c r="P17" s="173">
        <f t="shared" si="7"/>
        <v>485.57302903625401</v>
      </c>
      <c r="Q17" s="451">
        <f t="shared" si="8"/>
        <v>6</v>
      </c>
      <c r="R17" s="451">
        <f t="shared" si="9"/>
        <v>61</v>
      </c>
      <c r="S17" s="170">
        <f t="shared" si="1"/>
        <v>21.791412451409045</v>
      </c>
      <c r="T17" s="170">
        <f t="shared" si="10"/>
        <v>64.263804150469682</v>
      </c>
      <c r="U17" s="171">
        <f>(IF(Q17=0,0,U16*(1+S17*'CALCULETTE CHRONOS'!$C$5)))</f>
        <v>81.544972923285826</v>
      </c>
      <c r="V17" s="171">
        <v>81.544972923285826</v>
      </c>
      <c r="W17" s="170">
        <f t="shared" si="11"/>
        <v>0</v>
      </c>
      <c r="X17" s="173">
        <f t="shared" si="12"/>
        <v>488.76570506029452</v>
      </c>
      <c r="Y17" s="451">
        <f t="shared" si="13"/>
        <v>6</v>
      </c>
      <c r="Z17" s="451">
        <f t="shared" si="14"/>
        <v>61</v>
      </c>
      <c r="AA17" s="170">
        <f t="shared" si="2"/>
        <v>21.771781582442344</v>
      </c>
      <c r="AB17" s="170">
        <f t="shared" si="15"/>
        <v>104.26380415046968</v>
      </c>
      <c r="AC17" s="171">
        <f>(IF(Y17=0,0,AC16*(1+AA17*'CALCULETTE CHRONOS'!$C$5)))</f>
        <v>82.077400761802267</v>
      </c>
      <c r="AD17" s="171">
        <v>82.077400761802267</v>
      </c>
      <c r="AE17" s="170">
        <f t="shared" si="16"/>
        <v>0</v>
      </c>
      <c r="AF17" s="173">
        <f t="shared" si="17"/>
        <v>491.95756376593675</v>
      </c>
    </row>
    <row r="18" spans="1:32">
      <c r="A18" s="451">
        <f t="shared" si="19"/>
        <v>7</v>
      </c>
      <c r="B18" s="451">
        <f t="shared" si="18"/>
        <v>60</v>
      </c>
      <c r="C18" s="170">
        <f t="shared" si="20"/>
        <v>25.62208664075149</v>
      </c>
      <c r="D18" s="171">
        <f t="shared" si="21"/>
        <v>41.716564980563618</v>
      </c>
      <c r="E18" s="171">
        <f>IF(A18=0,0,E17*(1+C18*'CALCULETTE CHRONOS'!$C$5))</f>
        <v>80.532817878943945</v>
      </c>
      <c r="F18" s="171">
        <v>80.532817878943945</v>
      </c>
      <c r="G18" s="171">
        <f t="shared" si="22"/>
        <v>0</v>
      </c>
      <c r="H18" s="172">
        <f t="shared" si="23"/>
        <v>562.92474191557437</v>
      </c>
      <c r="I18" s="451">
        <f t="shared" si="3"/>
        <v>7</v>
      </c>
      <c r="J18" s="451">
        <f t="shared" si="4"/>
        <v>60</v>
      </c>
      <c r="K18" s="170">
        <f t="shared" si="0"/>
        <v>25.338651621315108</v>
      </c>
      <c r="L18" s="170">
        <f t="shared" si="5"/>
        <v>60.716564980563618</v>
      </c>
      <c r="M18" s="171">
        <f>(IF(I18=0,0,M17*(1+K18*'CALCULETTE CHRONOS'!$C$5)))</f>
        <v>81.061943926877518</v>
      </c>
      <c r="N18" s="171">
        <v>81.061943926877518</v>
      </c>
      <c r="O18" s="170">
        <f t="shared" si="6"/>
        <v>0</v>
      </c>
      <c r="P18" s="173">
        <f t="shared" si="7"/>
        <v>566.63497296313153</v>
      </c>
      <c r="Q18" s="451">
        <f t="shared" si="8"/>
        <v>7</v>
      </c>
      <c r="R18" s="451">
        <f t="shared" si="9"/>
        <v>60</v>
      </c>
      <c r="S18" s="170">
        <f t="shared" si="1"/>
        <v>25.338651621315108</v>
      </c>
      <c r="T18" s="170">
        <f t="shared" si="10"/>
        <v>60.716564980563618</v>
      </c>
      <c r="U18" s="171">
        <f>(IF(Q18=0,0,U17*(1+S18*'CALCULETTE CHRONOS'!$C$5)))</f>
        <v>81.594931777028762</v>
      </c>
      <c r="V18" s="171">
        <v>81.594931777028762</v>
      </c>
      <c r="W18" s="170">
        <f t="shared" si="11"/>
        <v>0</v>
      </c>
      <c r="X18" s="173">
        <f t="shared" si="12"/>
        <v>570.36063683732323</v>
      </c>
      <c r="Y18" s="451">
        <f t="shared" si="13"/>
        <v>7</v>
      </c>
      <c r="Z18" s="451">
        <f t="shared" si="14"/>
        <v>60</v>
      </c>
      <c r="AA18" s="170">
        <f t="shared" si="2"/>
        <v>25.319020752348408</v>
      </c>
      <c r="AB18" s="170">
        <f t="shared" si="15"/>
        <v>100.71656498056362</v>
      </c>
      <c r="AC18" s="171">
        <f>(IF(Y18=0,0,AC17*(1+AA18*'CALCULETTE CHRONOS'!$C$5)))</f>
        <v>82.127646851747613</v>
      </c>
      <c r="AD18" s="171">
        <v>82.127646851747613</v>
      </c>
      <c r="AE18" s="170">
        <f t="shared" si="16"/>
        <v>0</v>
      </c>
      <c r="AF18" s="173">
        <f t="shared" si="17"/>
        <v>574.08521061768442</v>
      </c>
    </row>
    <row r="19" spans="1:32">
      <c r="A19" s="451">
        <f t="shared" si="19"/>
        <v>8</v>
      </c>
      <c r="B19" s="451">
        <f t="shared" si="18"/>
        <v>59</v>
      </c>
      <c r="C19" s="170">
        <f t="shared" si="20"/>
        <v>29.169325810657554</v>
      </c>
      <c r="D19" s="171">
        <f t="shared" si="21"/>
        <v>38.169325810657554</v>
      </c>
      <c r="E19" s="171">
        <f>IF(A19=0,0,E18*(1+C19*'CALCULETTE CHRONOS'!$C$5))</f>
        <v>80.589615619414189</v>
      </c>
      <c r="F19" s="171">
        <v>80.589615619414189</v>
      </c>
      <c r="G19" s="171">
        <f t="shared" si="22"/>
        <v>0</v>
      </c>
      <c r="H19" s="172">
        <f t="shared" si="23"/>
        <v>643.51435753498856</v>
      </c>
      <c r="I19" s="451">
        <f t="shared" si="3"/>
        <v>8</v>
      </c>
      <c r="J19" s="451">
        <f t="shared" si="4"/>
        <v>59</v>
      </c>
      <c r="K19" s="170">
        <f t="shared" si="0"/>
        <v>28.885890791221172</v>
      </c>
      <c r="L19" s="170">
        <f t="shared" si="5"/>
        <v>57.169325810657554</v>
      </c>
      <c r="M19" s="171">
        <f>(IF(I19=0,0,M18*(1+K19*'CALCULETTE CHRONOS'!$C$5)))</f>
        <v>81.118559323121588</v>
      </c>
      <c r="N19" s="171">
        <v>81.118559323121588</v>
      </c>
      <c r="O19" s="170">
        <f t="shared" si="6"/>
        <v>0</v>
      </c>
      <c r="P19" s="173">
        <f t="shared" si="7"/>
        <v>647.75353228625318</v>
      </c>
      <c r="Q19" s="451">
        <f t="shared" si="8"/>
        <v>8</v>
      </c>
      <c r="R19" s="451">
        <f t="shared" si="9"/>
        <v>59</v>
      </c>
      <c r="S19" s="170">
        <f t="shared" si="1"/>
        <v>28.885890791221172</v>
      </c>
      <c r="T19" s="170">
        <f t="shared" si="10"/>
        <v>57.169325810657554</v>
      </c>
      <c r="U19" s="171">
        <f>(IF(Q19=0,0,U18*(1+S19*'CALCULETTE CHRONOS'!$C$5)))</f>
        <v>81.651919423392528</v>
      </c>
      <c r="V19" s="171">
        <v>81.651919423392528</v>
      </c>
      <c r="W19" s="170">
        <f t="shared" si="11"/>
        <v>0</v>
      </c>
      <c r="X19" s="173">
        <f t="shared" si="12"/>
        <v>652.01255626071577</v>
      </c>
      <c r="Y19" s="451">
        <f t="shared" si="13"/>
        <v>8</v>
      </c>
      <c r="Z19" s="451">
        <f t="shared" si="14"/>
        <v>59</v>
      </c>
      <c r="AA19" s="170">
        <f t="shared" si="2"/>
        <v>28.866259922254471</v>
      </c>
      <c r="AB19" s="170">
        <f t="shared" si="15"/>
        <v>97.169325810657554</v>
      </c>
      <c r="AC19" s="171">
        <f>(IF(Y19=0,0,AC18*(1+AA19*'CALCULETTE CHRONOS'!$C$5)))</f>
        <v>82.184967576027788</v>
      </c>
      <c r="AD19" s="171">
        <v>82.184967576027788</v>
      </c>
      <c r="AE19" s="170">
        <f t="shared" si="16"/>
        <v>0</v>
      </c>
      <c r="AF19" s="173">
        <f t="shared" si="17"/>
        <v>656.27017819371224</v>
      </c>
    </row>
    <row r="20" spans="1:32">
      <c r="A20" s="451">
        <f t="shared" si="19"/>
        <v>9</v>
      </c>
      <c r="B20" s="451">
        <f t="shared" si="18"/>
        <v>58</v>
      </c>
      <c r="C20" s="170">
        <f t="shared" si="20"/>
        <v>32.716564980563618</v>
      </c>
      <c r="D20" s="171">
        <f t="shared" si="21"/>
        <v>34.62208664075149</v>
      </c>
      <c r="E20" s="171">
        <f>IF(A20=0,0,E19*(1+C20*'CALCULETTE CHRONOS'!$C$5))</f>
        <v>80.653365379657345</v>
      </c>
      <c r="F20" s="171">
        <v>80.653365379657345</v>
      </c>
      <c r="G20" s="171">
        <f t="shared" si="22"/>
        <v>0</v>
      </c>
      <c r="H20" s="172">
        <f t="shared" si="23"/>
        <v>724.16772291464588</v>
      </c>
      <c r="I20" s="451">
        <f t="shared" si="3"/>
        <v>9</v>
      </c>
      <c r="J20" s="451">
        <f t="shared" si="4"/>
        <v>58</v>
      </c>
      <c r="K20" s="170">
        <f t="shared" si="0"/>
        <v>32.433129961127236</v>
      </c>
      <c r="L20" s="170">
        <f t="shared" si="5"/>
        <v>53.62208664075149</v>
      </c>
      <c r="M20" s="171">
        <f>(IF(I20=0,0,M19*(1+K20*'CALCULETTE CHRONOS'!$C$5)))</f>
        <v>81.182171588672531</v>
      </c>
      <c r="N20" s="171">
        <v>81.182171588672531</v>
      </c>
      <c r="O20" s="170">
        <f t="shared" si="6"/>
        <v>0</v>
      </c>
      <c r="P20" s="173">
        <f t="shared" si="7"/>
        <v>728.93570387492571</v>
      </c>
      <c r="Q20" s="451">
        <f t="shared" si="8"/>
        <v>9</v>
      </c>
      <c r="R20" s="451">
        <f t="shared" si="9"/>
        <v>58</v>
      </c>
      <c r="S20" s="170">
        <f t="shared" si="1"/>
        <v>32.433129961127236</v>
      </c>
      <c r="T20" s="170">
        <f t="shared" si="10"/>
        <v>53.62208664075149</v>
      </c>
      <c r="U20" s="171">
        <f>(IF(Q20=0,0,U19*(1+S20*'CALCULETTE CHRONOS'!$C$5)))</f>
        <v>81.715949943959529</v>
      </c>
      <c r="V20" s="171">
        <v>81.715949943959529</v>
      </c>
      <c r="W20" s="170">
        <f t="shared" si="11"/>
        <v>0</v>
      </c>
      <c r="X20" s="173">
        <f t="shared" si="12"/>
        <v>733.72850620467534</v>
      </c>
      <c r="Y20" s="451">
        <f t="shared" si="13"/>
        <v>9</v>
      </c>
      <c r="Z20" s="451">
        <f t="shared" si="14"/>
        <v>58</v>
      </c>
      <c r="AA20" s="170">
        <f t="shared" si="2"/>
        <v>32.413499092160535</v>
      </c>
      <c r="AB20" s="170">
        <f t="shared" si="15"/>
        <v>93.62208664075149</v>
      </c>
      <c r="AC20" s="171">
        <f>(IF(Y20=0,0,AC19*(1+AA20*'CALCULETTE CHRONOS'!$C$5)))</f>
        <v>82.249377098086768</v>
      </c>
      <c r="AD20" s="171">
        <v>82.249377098086768</v>
      </c>
      <c r="AE20" s="170">
        <f t="shared" si="16"/>
        <v>0</v>
      </c>
      <c r="AF20" s="173">
        <f t="shared" si="17"/>
        <v>738.51955529179895</v>
      </c>
    </row>
    <row r="21" spans="1:32">
      <c r="A21" s="451">
        <f t="shared" si="19"/>
        <v>10</v>
      </c>
      <c r="B21" s="451">
        <f t="shared" si="18"/>
        <v>57</v>
      </c>
      <c r="C21" s="170">
        <f t="shared" si="20"/>
        <v>36.263804150469682</v>
      </c>
      <c r="D21" s="171">
        <f t="shared" si="21"/>
        <v>31.074847470845427</v>
      </c>
      <c r="E21" s="171">
        <f>IF(A21=0,0,E20*(1+C21*'CALCULETTE CHRONOS'!$C$5))</f>
        <v>80.72408299805781</v>
      </c>
      <c r="F21" s="171">
        <v>80.72408299805781</v>
      </c>
      <c r="G21" s="171">
        <f t="shared" si="22"/>
        <v>0</v>
      </c>
      <c r="H21" s="172">
        <f t="shared" si="23"/>
        <v>804.89180591270372</v>
      </c>
      <c r="I21" s="451">
        <f t="shared" si="3"/>
        <v>10</v>
      </c>
      <c r="J21" s="451">
        <f t="shared" si="4"/>
        <v>57</v>
      </c>
      <c r="K21" s="170">
        <f t="shared" si="0"/>
        <v>35.980369131033299</v>
      </c>
      <c r="L21" s="170">
        <f t="shared" si="5"/>
        <v>50.074847470845427</v>
      </c>
      <c r="M21" s="171">
        <f>(IF(I21=0,0,M20*(1+K21*'CALCULETTE CHRONOS'!$C$5)))</f>
        <v>81.252796522010811</v>
      </c>
      <c r="N21" s="171">
        <v>81.252796522010811</v>
      </c>
      <c r="O21" s="170">
        <f t="shared" si="6"/>
        <v>0</v>
      </c>
      <c r="P21" s="173">
        <f t="shared" si="7"/>
        <v>810.18850039693655</v>
      </c>
      <c r="Q21" s="451">
        <f t="shared" si="8"/>
        <v>10</v>
      </c>
      <c r="R21" s="451">
        <f t="shared" si="9"/>
        <v>57</v>
      </c>
      <c r="S21" s="170">
        <f t="shared" si="1"/>
        <v>35.980369131033299</v>
      </c>
      <c r="T21" s="170">
        <f t="shared" si="10"/>
        <v>50.074847470845427</v>
      </c>
      <c r="U21" s="171">
        <f>(IF(Q21=0,0,U20*(1+S21*'CALCULETTE CHRONOS'!$C$5)))</f>
        <v>81.787039241086333</v>
      </c>
      <c r="V21" s="171">
        <v>81.787039241086333</v>
      </c>
      <c r="W21" s="170">
        <f t="shared" si="11"/>
        <v>0</v>
      </c>
      <c r="X21" s="173">
        <f t="shared" si="12"/>
        <v>815.51554544576163</v>
      </c>
      <c r="Y21" s="451">
        <f t="shared" si="13"/>
        <v>10</v>
      </c>
      <c r="Z21" s="451">
        <f t="shared" si="14"/>
        <v>57</v>
      </c>
      <c r="AA21" s="170">
        <f t="shared" si="2"/>
        <v>35.960738262066599</v>
      </c>
      <c r="AB21" s="170">
        <f t="shared" si="15"/>
        <v>90.074847470845427</v>
      </c>
      <c r="AC21" s="171">
        <f>(IF(Y21=0,0,AC20*(1+AA21*'CALCULETTE CHRONOS'!$C$5)))</f>
        <v>82.320891414002404</v>
      </c>
      <c r="AD21" s="171">
        <v>82.320891414002404</v>
      </c>
      <c r="AE21" s="170">
        <f t="shared" si="16"/>
        <v>0</v>
      </c>
      <c r="AF21" s="173">
        <f t="shared" si="17"/>
        <v>820.84044670580136</v>
      </c>
    </row>
    <row r="22" spans="1:32">
      <c r="A22" s="451">
        <f t="shared" si="19"/>
        <v>11</v>
      </c>
      <c r="B22" s="451">
        <f t="shared" si="18"/>
        <v>56</v>
      </c>
      <c r="C22" s="170">
        <f t="shared" si="20"/>
        <v>39.811043320375745</v>
      </c>
      <c r="D22" s="171">
        <f t="shared" si="21"/>
        <v>27.527608300939363</v>
      </c>
      <c r="E22" s="171">
        <f>IF(A22=0,0,E21*(1+C22*'CALCULETTE CHRONOS'!$C$5))</f>
        <v>80.801786117015624</v>
      </c>
      <c r="F22" s="171">
        <v>80.801786117015624</v>
      </c>
      <c r="G22" s="171">
        <f t="shared" si="22"/>
        <v>0</v>
      </c>
      <c r="H22" s="172">
        <f t="shared" si="23"/>
        <v>885.6935920297193</v>
      </c>
      <c r="I22" s="451">
        <f t="shared" si="3"/>
        <v>11</v>
      </c>
      <c r="J22" s="451">
        <f t="shared" si="4"/>
        <v>56</v>
      </c>
      <c r="K22" s="170">
        <f t="shared" si="0"/>
        <v>39.527608300939363</v>
      </c>
      <c r="L22" s="170">
        <f t="shared" si="5"/>
        <v>46.527608300939363</v>
      </c>
      <c r="M22" s="171">
        <f>(IF(I22=0,0,M21*(1+K22*'CALCULETTE CHRONOS'!$C$5)))</f>
        <v>81.330451737025712</v>
      </c>
      <c r="N22" s="171">
        <v>81.330451737025712</v>
      </c>
      <c r="O22" s="170">
        <f t="shared" si="6"/>
        <v>0</v>
      </c>
      <c r="P22" s="173">
        <f t="shared" si="7"/>
        <v>891.51895213396222</v>
      </c>
      <c r="Q22" s="451">
        <f t="shared" si="8"/>
        <v>11</v>
      </c>
      <c r="R22" s="451">
        <f t="shared" si="9"/>
        <v>56</v>
      </c>
      <c r="S22" s="170">
        <f t="shared" si="1"/>
        <v>39.527608300939363</v>
      </c>
      <c r="T22" s="170">
        <f t="shared" si="10"/>
        <v>46.527608300939363</v>
      </c>
      <c r="U22" s="171">
        <f>(IF(Q22=0,0,U21*(1+S22*'CALCULETTE CHRONOS'!$C$5)))</f>
        <v>81.865205044474749</v>
      </c>
      <c r="V22" s="171">
        <v>81.865205044474749</v>
      </c>
      <c r="W22" s="170">
        <f t="shared" si="11"/>
        <v>0</v>
      </c>
      <c r="X22" s="173">
        <f t="shared" si="12"/>
        <v>897.38075049023632</v>
      </c>
      <c r="Y22" s="451">
        <f t="shared" si="13"/>
        <v>11</v>
      </c>
      <c r="Z22" s="451">
        <f t="shared" si="14"/>
        <v>56</v>
      </c>
      <c r="AA22" s="170">
        <f t="shared" si="2"/>
        <v>39.507977431972662</v>
      </c>
      <c r="AB22" s="170">
        <f t="shared" si="15"/>
        <v>86.527608300939363</v>
      </c>
      <c r="AC22" s="171">
        <f>(IF(Y22=0,0,AC21*(1+AA22*'CALCULETTE CHRONOS'!$C$5)))</f>
        <v>82.39952835909601</v>
      </c>
      <c r="AD22" s="171">
        <v>82.39952835909601</v>
      </c>
      <c r="AE22" s="170">
        <f t="shared" si="16"/>
        <v>0</v>
      </c>
      <c r="AF22" s="173">
        <f t="shared" si="17"/>
        <v>903.23997506489741</v>
      </c>
    </row>
    <row r="23" spans="1:32">
      <c r="A23" s="451">
        <f t="shared" si="19"/>
        <v>12</v>
      </c>
      <c r="B23" s="451">
        <f t="shared" si="18"/>
        <v>55</v>
      </c>
      <c r="C23" s="170">
        <f t="shared" si="20"/>
        <v>43.358282490281809</v>
      </c>
      <c r="D23" s="171">
        <f t="shared" si="21"/>
        <v>23.980369131033299</v>
      </c>
      <c r="E23" s="171">
        <f>IF(A23=0,0,E22*(1+C23*'CALCULETTE CHRONOS'!$C$5))</f>
        <v>80.886494190271335</v>
      </c>
      <c r="F23" s="171">
        <v>80.886494190271335</v>
      </c>
      <c r="G23" s="171">
        <f t="shared" si="22"/>
        <v>0</v>
      </c>
      <c r="H23" s="172">
        <f t="shared" si="23"/>
        <v>966.58008621999068</v>
      </c>
      <c r="I23" s="451">
        <f t="shared" si="3"/>
        <v>12</v>
      </c>
      <c r="J23" s="451">
        <f t="shared" si="4"/>
        <v>55</v>
      </c>
      <c r="K23" s="170">
        <f t="shared" si="0"/>
        <v>43.074847470845427</v>
      </c>
      <c r="L23" s="170">
        <f t="shared" si="5"/>
        <v>42.980369131033299</v>
      </c>
      <c r="M23" s="171">
        <f>(IF(I23=0,0,M22*(1+K23*'CALCULETTE CHRONOS'!$C$5)))</f>
        <v>81.415156670326098</v>
      </c>
      <c r="N23" s="171">
        <v>81.415156670326098</v>
      </c>
      <c r="O23" s="170">
        <f t="shared" si="6"/>
        <v>0</v>
      </c>
      <c r="P23" s="173">
        <f t="shared" si="7"/>
        <v>972.93410880428837</v>
      </c>
      <c r="Q23" s="451">
        <f t="shared" si="8"/>
        <v>12</v>
      </c>
      <c r="R23" s="451">
        <f t="shared" si="9"/>
        <v>55</v>
      </c>
      <c r="S23" s="170">
        <f t="shared" si="1"/>
        <v>43.074847470845427</v>
      </c>
      <c r="T23" s="170">
        <f t="shared" si="10"/>
        <v>42.980369131033299</v>
      </c>
      <c r="U23" s="171">
        <f>(IF(Q23=0,0,U22*(1+S23*'CALCULETTE CHRONOS'!$C$5)))</f>
        <v>81.95046691853068</v>
      </c>
      <c r="V23" s="171">
        <v>81.95046691853068</v>
      </c>
      <c r="W23" s="170">
        <f t="shared" si="11"/>
        <v>0</v>
      </c>
      <c r="X23" s="173">
        <f t="shared" si="12"/>
        <v>979.33121740876697</v>
      </c>
      <c r="Y23" s="451">
        <f t="shared" si="13"/>
        <v>12</v>
      </c>
      <c r="Z23" s="451">
        <f t="shared" si="14"/>
        <v>55</v>
      </c>
      <c r="AA23" s="170">
        <f t="shared" si="2"/>
        <v>43.055216601878726</v>
      </c>
      <c r="AB23" s="170">
        <f t="shared" si="15"/>
        <v>82.980369131033299</v>
      </c>
      <c r="AC23" s="171">
        <f>(IF(Y23=0,0,AC22*(1+AA23*'CALCULETTE CHRONOS'!$C$5)))</f>
        <v>82.485307615334833</v>
      </c>
      <c r="AD23" s="171">
        <v>82.485307615334833</v>
      </c>
      <c r="AE23" s="170">
        <f t="shared" si="16"/>
        <v>0</v>
      </c>
      <c r="AF23" s="173">
        <f t="shared" si="17"/>
        <v>985.72528268023223</v>
      </c>
    </row>
    <row r="24" spans="1:32">
      <c r="A24" s="451">
        <f t="shared" si="19"/>
        <v>13</v>
      </c>
      <c r="B24" s="451">
        <f t="shared" si="18"/>
        <v>54</v>
      </c>
      <c r="C24" s="170">
        <f t="shared" si="20"/>
        <v>46.905521660187873</v>
      </c>
      <c r="D24" s="171">
        <f t="shared" si="21"/>
        <v>20.433129961127236</v>
      </c>
      <c r="E24" s="171">
        <f>IF(A24=0,0,E23*(1+C24*'CALCULETTE CHRONOS'!$C$5))</f>
        <v>80.978228491012899</v>
      </c>
      <c r="F24" s="171">
        <v>80.978228491012899</v>
      </c>
      <c r="G24" s="171">
        <f t="shared" si="22"/>
        <v>0</v>
      </c>
      <c r="H24" s="172">
        <f t="shared" si="23"/>
        <v>1047.5583147110035</v>
      </c>
      <c r="I24" s="451">
        <f t="shared" si="3"/>
        <v>13</v>
      </c>
      <c r="J24" s="451">
        <f t="shared" si="4"/>
        <v>54</v>
      </c>
      <c r="K24" s="170">
        <f t="shared" si="0"/>
        <v>46.62208664075149</v>
      </c>
      <c r="L24" s="170">
        <f t="shared" si="5"/>
        <v>39.433129961127236</v>
      </c>
      <c r="M24" s="171">
        <f>(IF(I24=0,0,M23*(1+K24*'CALCULETTE CHRONOS'!$C$5)))</f>
        <v>81.50693258933785</v>
      </c>
      <c r="N24" s="171">
        <v>81.50693258933785</v>
      </c>
      <c r="O24" s="170">
        <f t="shared" si="6"/>
        <v>0</v>
      </c>
      <c r="P24" s="173">
        <f t="shared" si="7"/>
        <v>1054.4410413936262</v>
      </c>
      <c r="Q24" s="451">
        <f t="shared" si="8"/>
        <v>13</v>
      </c>
      <c r="R24" s="451">
        <f t="shared" si="9"/>
        <v>54</v>
      </c>
      <c r="S24" s="170">
        <f t="shared" si="1"/>
        <v>46.62208664075149</v>
      </c>
      <c r="T24" s="170">
        <f t="shared" si="10"/>
        <v>39.433129961127236</v>
      </c>
      <c r="U24" s="171">
        <f>(IF(Q24=0,0,U23*(1+S24*'CALCULETTE CHRONOS'!$C$5)))</f>
        <v>82.042846270514787</v>
      </c>
      <c r="V24" s="171">
        <v>82.042846270514787</v>
      </c>
      <c r="W24" s="170">
        <f t="shared" si="11"/>
        <v>0</v>
      </c>
      <c r="X24" s="173">
        <f t="shared" si="12"/>
        <v>1061.3740636792818</v>
      </c>
      <c r="Y24" s="451">
        <f t="shared" si="13"/>
        <v>13</v>
      </c>
      <c r="Z24" s="451">
        <f t="shared" si="14"/>
        <v>54</v>
      </c>
      <c r="AA24" s="170">
        <f t="shared" si="2"/>
        <v>46.60245577178479</v>
      </c>
      <c r="AB24" s="170">
        <f t="shared" si="15"/>
        <v>79.433129961127236</v>
      </c>
      <c r="AC24" s="171">
        <f>(IF(Y24=0,0,AC23*(1+AA24*'CALCULETTE CHRONOS'!$C$5)))</f>
        <v>82.578250719531624</v>
      </c>
      <c r="AD24" s="171">
        <v>82.578250719531624</v>
      </c>
      <c r="AE24" s="170">
        <f t="shared" si="16"/>
        <v>0</v>
      </c>
      <c r="AF24" s="173">
        <f t="shared" si="17"/>
        <v>1068.3035333997639</v>
      </c>
    </row>
    <row r="25" spans="1:32">
      <c r="A25" s="451">
        <f t="shared" si="19"/>
        <v>14</v>
      </c>
      <c r="B25" s="451">
        <f t="shared" si="18"/>
        <v>53</v>
      </c>
      <c r="C25" s="170">
        <f t="shared" si="20"/>
        <v>50.452760830093936</v>
      </c>
      <c r="D25" s="171">
        <f t="shared" si="21"/>
        <v>16.885890791221172</v>
      </c>
      <c r="E25" s="171">
        <f>IF(A25=0,0,E24*(1+C25*'CALCULETTE CHRONOS'!$C$5))</f>
        <v>81.077012120769112</v>
      </c>
      <c r="F25" s="171">
        <v>81.077012120769112</v>
      </c>
      <c r="G25" s="171">
        <f t="shared" si="22"/>
        <v>0</v>
      </c>
      <c r="H25" s="172">
        <f t="shared" si="23"/>
        <v>1128.6353268317725</v>
      </c>
      <c r="I25" s="451">
        <f t="shared" si="3"/>
        <v>14</v>
      </c>
      <c r="J25" s="451">
        <f t="shared" si="4"/>
        <v>53</v>
      </c>
      <c r="K25" s="170">
        <f t="shared" si="0"/>
        <v>50.169325810657554</v>
      </c>
      <c r="L25" s="170">
        <f t="shared" si="5"/>
        <v>35.885890791221172</v>
      </c>
      <c r="M25" s="171">
        <f>(IF(I25=0,0,M24*(1+K25*'CALCULETTE CHRONOS'!$C$5)))</f>
        <v>81.605802601192778</v>
      </c>
      <c r="N25" s="171">
        <v>81.605802601192778</v>
      </c>
      <c r="O25" s="170">
        <f t="shared" si="6"/>
        <v>0</v>
      </c>
      <c r="P25" s="173">
        <f t="shared" si="7"/>
        <v>1136.046843994819</v>
      </c>
      <c r="Q25" s="451">
        <f t="shared" si="8"/>
        <v>14</v>
      </c>
      <c r="R25" s="451">
        <f t="shared" si="9"/>
        <v>53</v>
      </c>
      <c r="S25" s="170">
        <f t="shared" si="1"/>
        <v>50.169325810657554</v>
      </c>
      <c r="T25" s="170">
        <f t="shared" si="10"/>
        <v>35.885890791221172</v>
      </c>
      <c r="U25" s="171">
        <f>(IF(Q25=0,0,U24*(1+S25*'CALCULETTE CHRONOS'!$C$5)))</f>
        <v>82.142366359489884</v>
      </c>
      <c r="V25" s="171">
        <v>82.142366359489884</v>
      </c>
      <c r="W25" s="170">
        <f t="shared" si="11"/>
        <v>0</v>
      </c>
      <c r="X25" s="173">
        <f t="shared" si="12"/>
        <v>1143.5164300387717</v>
      </c>
      <c r="Y25" s="451">
        <f t="shared" si="13"/>
        <v>14</v>
      </c>
      <c r="Z25" s="451">
        <f t="shared" si="14"/>
        <v>53</v>
      </c>
      <c r="AA25" s="170">
        <f t="shared" si="2"/>
        <v>50.149694941690854</v>
      </c>
      <c r="AB25" s="170">
        <f t="shared" si="15"/>
        <v>75.885890791221172</v>
      </c>
      <c r="AC25" s="171">
        <f>(IF(Y25=0,0,AC24*(1+AA25*'CALCULETTE CHRONOS'!$C$5)))</f>
        <v>82.678381072345985</v>
      </c>
      <c r="AD25" s="171">
        <v>82.678381072345985</v>
      </c>
      <c r="AE25" s="170">
        <f t="shared" si="16"/>
        <v>0</v>
      </c>
      <c r="AF25" s="173">
        <f t="shared" si="17"/>
        <v>1150.9819144721098</v>
      </c>
    </row>
    <row r="26" spans="1:32">
      <c r="A26" s="451">
        <f t="shared" si="19"/>
        <v>15</v>
      </c>
      <c r="B26" s="451">
        <f t="shared" si="18"/>
        <v>52</v>
      </c>
      <c r="C26" s="170">
        <f t="shared" si="20"/>
        <v>54</v>
      </c>
      <c r="D26" s="171">
        <f t="shared" si="21"/>
        <v>13.338651621315108</v>
      </c>
      <c r="E26" s="171">
        <f>IF(A26=0,0,E25*(1+C26*'CALCULETTE CHRONOS'!$C$5))</f>
        <v>81.182870019094949</v>
      </c>
      <c r="F26" s="171">
        <v>81.182870019094949</v>
      </c>
      <c r="G26" s="171">
        <f t="shared" si="22"/>
        <v>0</v>
      </c>
      <c r="H26" s="172">
        <f t="shared" si="23"/>
        <v>1209.8181968508675</v>
      </c>
      <c r="I26" s="451">
        <f t="shared" si="3"/>
        <v>15</v>
      </c>
      <c r="J26" s="451">
        <f t="shared" si="4"/>
        <v>52</v>
      </c>
      <c r="K26" s="170">
        <f t="shared" si="0"/>
        <v>53.716564980563618</v>
      </c>
      <c r="L26" s="170">
        <f t="shared" si="5"/>
        <v>32.338651621315108</v>
      </c>
      <c r="M26" s="171">
        <f>(IF(I26=0,0,M25*(1+K26*'CALCULETTE CHRONOS'!$C$5)))</f>
        <v>81.711791662414257</v>
      </c>
      <c r="N26" s="171">
        <v>81.711791662414257</v>
      </c>
      <c r="O26" s="170">
        <f t="shared" si="6"/>
        <v>0</v>
      </c>
      <c r="P26" s="173">
        <f t="shared" si="7"/>
        <v>1217.7586356572333</v>
      </c>
      <c r="Q26" s="451">
        <f t="shared" si="8"/>
        <v>15</v>
      </c>
      <c r="R26" s="451">
        <f t="shared" si="9"/>
        <v>52</v>
      </c>
      <c r="S26" s="170">
        <f t="shared" si="1"/>
        <v>53.716564980563618</v>
      </c>
      <c r="T26" s="170">
        <f t="shared" si="10"/>
        <v>32.338651621315108</v>
      </c>
      <c r="U26" s="171">
        <f>(IF(Q26=0,0,U25*(1+S26*'CALCULETTE CHRONOS'!$C$5)))</f>
        <v>82.249052306070169</v>
      </c>
      <c r="V26" s="171">
        <v>82.249052306070169</v>
      </c>
      <c r="W26" s="170">
        <f t="shared" si="11"/>
        <v>0</v>
      </c>
      <c r="X26" s="173">
        <f t="shared" si="12"/>
        <v>1225.7654823448418</v>
      </c>
      <c r="Y26" s="451">
        <f t="shared" si="13"/>
        <v>15</v>
      </c>
      <c r="Z26" s="451">
        <f t="shared" si="14"/>
        <v>52</v>
      </c>
      <c r="AA26" s="170">
        <f t="shared" si="2"/>
        <v>53.696934111596917</v>
      </c>
      <c r="AB26" s="170">
        <f t="shared" si="15"/>
        <v>72.338651621315108</v>
      </c>
      <c r="AC26" s="171">
        <f>(IF(Y26=0,0,AC25*(1+AA26*'CALCULETTE CHRONOS'!$C$5)))</f>
        <v>82.785723948092851</v>
      </c>
      <c r="AD26" s="171">
        <v>82.785723948092851</v>
      </c>
      <c r="AE26" s="170">
        <f t="shared" si="16"/>
        <v>0</v>
      </c>
      <c r="AF26" s="173">
        <f t="shared" si="17"/>
        <v>1233.7676384202027</v>
      </c>
    </row>
    <row r="27" spans="1:32">
      <c r="A27" s="451">
        <f t="shared" si="19"/>
        <v>16</v>
      </c>
      <c r="B27" s="451">
        <f t="shared" si="18"/>
        <v>51</v>
      </c>
      <c r="C27" s="170">
        <f t="shared" si="20"/>
        <v>4.2441732815029791</v>
      </c>
      <c r="D27" s="171">
        <f t="shared" si="21"/>
        <v>9.7914124514090446</v>
      </c>
      <c r="E27" s="171">
        <f>IF(A27=0,0,E26*(1+C27*'CALCULETTE CHRONOS'!$C$5))</f>
        <v>81.191200868419116</v>
      </c>
      <c r="F27" s="171">
        <v>81.191200868419116</v>
      </c>
      <c r="G27" s="171">
        <f t="shared" si="22"/>
        <v>0</v>
      </c>
      <c r="H27" s="172">
        <f t="shared" si="23"/>
        <v>1291.0093977192867</v>
      </c>
      <c r="I27" s="451">
        <f t="shared" si="3"/>
        <v>16</v>
      </c>
      <c r="J27" s="451">
        <f t="shared" si="4"/>
        <v>51</v>
      </c>
      <c r="K27" s="170">
        <f t="shared" si="0"/>
        <v>57.263804150469682</v>
      </c>
      <c r="L27" s="170">
        <f t="shared" si="5"/>
        <v>28.791412451409045</v>
      </c>
      <c r="M27" s="171">
        <f>(IF(I27=0,0,M26*(1+K27*'CALCULETTE CHRONOS'!$C$5)))</f>
        <v>81.82492658940518</v>
      </c>
      <c r="N27" s="171">
        <v>81.82492658940518</v>
      </c>
      <c r="O27" s="170">
        <f t="shared" si="6"/>
        <v>0</v>
      </c>
      <c r="P27" s="173">
        <f t="shared" si="7"/>
        <v>1299.5835622466384</v>
      </c>
      <c r="Q27" s="451">
        <f t="shared" si="8"/>
        <v>16</v>
      </c>
      <c r="R27" s="451">
        <f t="shared" si="9"/>
        <v>51</v>
      </c>
      <c r="S27" s="170">
        <f t="shared" si="1"/>
        <v>57.263804150469682</v>
      </c>
      <c r="T27" s="170">
        <f t="shared" si="10"/>
        <v>28.791412451409045</v>
      </c>
      <c r="U27" s="171">
        <f>(IF(Q27=0,0,U26*(1+S27*'CALCULETTE CHRONOS'!$C$5)))</f>
        <v>82.362931102978266</v>
      </c>
      <c r="V27" s="171">
        <v>82.362931102978266</v>
      </c>
      <c r="W27" s="170">
        <f t="shared" si="11"/>
        <v>0</v>
      </c>
      <c r="X27" s="173">
        <f t="shared" si="12"/>
        <v>1308.1284134478201</v>
      </c>
      <c r="Y27" s="451">
        <f t="shared" si="13"/>
        <v>16</v>
      </c>
      <c r="Z27" s="451">
        <f t="shared" si="14"/>
        <v>51</v>
      </c>
      <c r="AA27" s="170">
        <f t="shared" si="2"/>
        <v>57.244173281502981</v>
      </c>
      <c r="AB27" s="170">
        <f t="shared" si="15"/>
        <v>68.791412451409045</v>
      </c>
      <c r="AC27" s="171">
        <f>(IF(Y27=0,0,AC26*(1+AA27*'CALCULETTE CHRONOS'!$C$5)))</f>
        <v>82.90030650536383</v>
      </c>
      <c r="AD27" s="171">
        <v>82.90030650536383</v>
      </c>
      <c r="AE27" s="170">
        <f t="shared" si="16"/>
        <v>0</v>
      </c>
      <c r="AF27" s="173">
        <f t="shared" si="17"/>
        <v>1316.6679449255666</v>
      </c>
    </row>
    <row r="28" spans="1:32">
      <c r="A28" s="451">
        <f t="shared" si="19"/>
        <v>17</v>
      </c>
      <c r="B28" s="451">
        <f t="shared" si="18"/>
        <v>50</v>
      </c>
      <c r="C28" s="170">
        <f t="shared" si="20"/>
        <v>7.7914124514090437</v>
      </c>
      <c r="D28" s="171">
        <f t="shared" si="21"/>
        <v>6.24417328150298</v>
      </c>
      <c r="E28" s="171">
        <f>IF(A28=0,0,E27*(1+C28*'CALCULETTE CHRONOS'!$C$5))</f>
        <v>81.206496130820099</v>
      </c>
      <c r="F28" s="171">
        <v>81.206496130820099</v>
      </c>
      <c r="G28" s="171">
        <f t="shared" si="22"/>
        <v>0</v>
      </c>
      <c r="H28" s="172">
        <f t="shared" si="23"/>
        <v>1372.2158938501068</v>
      </c>
      <c r="I28" s="451">
        <f t="shared" si="3"/>
        <v>17</v>
      </c>
      <c r="J28" s="451">
        <f t="shared" si="4"/>
        <v>50</v>
      </c>
      <c r="K28" s="170">
        <f t="shared" si="0"/>
        <v>60.811043320375745</v>
      </c>
      <c r="L28" s="170">
        <f t="shared" si="5"/>
        <v>25.244173281502981</v>
      </c>
      <c r="M28" s="171">
        <f>(IF(I28=0,0,M27*(1+K28*'CALCULETTE CHRONOS'!$C$5)))</f>
        <v>81.945236069744425</v>
      </c>
      <c r="N28" s="171">
        <v>81.945236069744425</v>
      </c>
      <c r="O28" s="170">
        <f t="shared" si="6"/>
        <v>0</v>
      </c>
      <c r="P28" s="173">
        <f t="shared" si="7"/>
        <v>1381.5287983163828</v>
      </c>
      <c r="Q28" s="451">
        <f t="shared" si="8"/>
        <v>17</v>
      </c>
      <c r="R28" s="451">
        <f t="shared" si="9"/>
        <v>50</v>
      </c>
      <c r="S28" s="170">
        <f t="shared" si="1"/>
        <v>60.811043320375745</v>
      </c>
      <c r="T28" s="170">
        <f t="shared" si="10"/>
        <v>25.244173281502981</v>
      </c>
      <c r="U28" s="171">
        <f>(IF(Q28=0,0,U27*(1+S28*'CALCULETTE CHRONOS'!$C$5)))</f>
        <v>82.484031626415813</v>
      </c>
      <c r="V28" s="171">
        <v>82.484031626415813</v>
      </c>
      <c r="W28" s="170">
        <f t="shared" si="11"/>
        <v>0</v>
      </c>
      <c r="X28" s="173">
        <f t="shared" si="12"/>
        <v>1390.6124450742359</v>
      </c>
      <c r="Y28" s="451">
        <f t="shared" si="13"/>
        <v>17</v>
      </c>
      <c r="Z28" s="451">
        <f t="shared" si="14"/>
        <v>50</v>
      </c>
      <c r="AA28" s="170">
        <f t="shared" si="2"/>
        <v>60.791412451409045</v>
      </c>
      <c r="AB28" s="170">
        <f t="shared" si="15"/>
        <v>65.244173281502981</v>
      </c>
      <c r="AC28" s="171">
        <f>(IF(Y28=0,0,AC27*(1+AA28*'CALCULETTE CHRONOS'!$C$5)))</f>
        <v>83.022157798467745</v>
      </c>
      <c r="AD28" s="171">
        <v>83.022157798467745</v>
      </c>
      <c r="AE28" s="170">
        <f t="shared" si="16"/>
        <v>0</v>
      </c>
      <c r="AF28" s="173">
        <f t="shared" si="17"/>
        <v>1399.6901027240344</v>
      </c>
    </row>
    <row r="29" spans="1:32">
      <c r="A29" s="451">
        <f t="shared" si="19"/>
        <v>18</v>
      </c>
      <c r="B29" s="451">
        <f t="shared" si="18"/>
        <v>49</v>
      </c>
      <c r="C29" s="170">
        <f t="shared" si="20"/>
        <v>11.338651621315108</v>
      </c>
      <c r="D29" s="171">
        <f t="shared" si="21"/>
        <v>61</v>
      </c>
      <c r="E29" s="171">
        <f>IF(A29=0,0,E28*(1+C29*'CALCULETTE CHRONOS'!$C$5))</f>
        <v>81.228759144644002</v>
      </c>
      <c r="F29" s="171">
        <v>81.228759144644002</v>
      </c>
      <c r="G29" s="171">
        <f t="shared" si="22"/>
        <v>40.5</v>
      </c>
      <c r="H29" s="172">
        <f t="shared" si="23"/>
        <v>1493.9446529947509</v>
      </c>
      <c r="I29" s="451">
        <f t="shared" si="3"/>
        <v>18</v>
      </c>
      <c r="J29" s="451">
        <f t="shared" si="4"/>
        <v>49</v>
      </c>
      <c r="K29" s="170">
        <f t="shared" si="0"/>
        <v>64.358282490281809</v>
      </c>
      <c r="L29" s="170">
        <f t="shared" si="5"/>
        <v>21.696934111596917</v>
      </c>
      <c r="M29" s="171">
        <f>(IF(I29=0,0,M28*(1+K29*'CALCULETTE CHRONOS'!$C$5)))</f>
        <v>82.072750674298405</v>
      </c>
      <c r="N29" s="171">
        <v>82.072750674298405</v>
      </c>
      <c r="O29" s="170">
        <f t="shared" si="6"/>
        <v>0</v>
      </c>
      <c r="P29" s="173">
        <f t="shared" si="7"/>
        <v>1463.6015489906813</v>
      </c>
      <c r="Q29" s="451">
        <f t="shared" si="8"/>
        <v>18</v>
      </c>
      <c r="R29" s="451">
        <f t="shared" si="9"/>
        <v>49</v>
      </c>
      <c r="S29" s="170">
        <f t="shared" si="1"/>
        <v>64.358282490281809</v>
      </c>
      <c r="T29" s="170">
        <f t="shared" si="10"/>
        <v>21.696934111596917</v>
      </c>
      <c r="U29" s="171">
        <f>(IF(Q29=0,0,U28*(1+S29*'CALCULETTE CHRONOS'!$C$5)))</f>
        <v>82.612384648254803</v>
      </c>
      <c r="V29" s="171">
        <v>82.612384648254803</v>
      </c>
      <c r="W29" s="170">
        <f t="shared" si="11"/>
        <v>0</v>
      </c>
      <c r="X29" s="173">
        <f t="shared" si="12"/>
        <v>1473.2248297224908</v>
      </c>
      <c r="Y29" s="451">
        <f t="shared" si="13"/>
        <v>18</v>
      </c>
      <c r="Z29" s="451">
        <f t="shared" si="14"/>
        <v>49</v>
      </c>
      <c r="AA29" s="170">
        <f t="shared" si="2"/>
        <v>64.338651621315108</v>
      </c>
      <c r="AB29" s="170">
        <f t="shared" si="15"/>
        <v>61.696934111596917</v>
      </c>
      <c r="AC29" s="171">
        <f>(IF(Y29=0,0,AC28*(1+AA29*'CALCULETTE CHRONOS'!$C$5)))</f>
        <v>83.151308789696841</v>
      </c>
      <c r="AD29" s="171">
        <v>83.151308789696841</v>
      </c>
      <c r="AE29" s="170">
        <f t="shared" si="16"/>
        <v>0</v>
      </c>
      <c r="AF29" s="173">
        <f t="shared" si="17"/>
        <v>1482.8414115137314</v>
      </c>
    </row>
    <row r="30" spans="1:32">
      <c r="A30" s="451">
        <f t="shared" si="19"/>
        <v>19</v>
      </c>
      <c r="B30" s="451">
        <f t="shared" si="18"/>
        <v>48</v>
      </c>
      <c r="C30" s="170">
        <f t="shared" si="20"/>
        <v>14.885890791221172</v>
      </c>
      <c r="D30" s="171">
        <f t="shared" si="21"/>
        <v>57.452760830093936</v>
      </c>
      <c r="E30" s="171">
        <f>IF(A30=0,0,E29*(1+C30*'CALCULETTE CHRONOS'!$C$5))</f>
        <v>81.257995041397265</v>
      </c>
      <c r="F30" s="171">
        <v>81.257995041397265</v>
      </c>
      <c r="G30" s="171">
        <f t="shared" si="22"/>
        <v>0</v>
      </c>
      <c r="H30" s="172">
        <f t="shared" si="23"/>
        <v>1575.202648036148</v>
      </c>
      <c r="I30" s="451">
        <f t="shared" si="3"/>
        <v>19</v>
      </c>
      <c r="J30" s="451">
        <f t="shared" si="4"/>
        <v>48</v>
      </c>
      <c r="K30" s="170">
        <f t="shared" si="0"/>
        <v>67.905521660187873</v>
      </c>
      <c r="L30" s="170">
        <f t="shared" si="5"/>
        <v>18.149694941690854</v>
      </c>
      <c r="M30" s="171">
        <f>(IF(I30=0,0,M29*(1+K30*'CALCULETTE CHRONOS'!$C$5)))</f>
        <v>82.20750287015511</v>
      </c>
      <c r="N30" s="171">
        <v>82.20750287015511</v>
      </c>
      <c r="O30" s="170">
        <f t="shared" si="6"/>
        <v>0</v>
      </c>
      <c r="P30" s="173">
        <f t="shared" si="7"/>
        <v>1545.8090518608365</v>
      </c>
      <c r="Q30" s="451">
        <f t="shared" si="8"/>
        <v>19</v>
      </c>
      <c r="R30" s="451">
        <f t="shared" si="9"/>
        <v>48</v>
      </c>
      <c r="S30" s="170">
        <f t="shared" si="1"/>
        <v>67.905521660187873</v>
      </c>
      <c r="T30" s="170">
        <f t="shared" si="10"/>
        <v>18.149694941690854</v>
      </c>
      <c r="U30" s="171">
        <f>(IF(Q30=0,0,U29*(1+S30*'CALCULETTE CHRONOS'!$C$5)))</f>
        <v>82.748022849056539</v>
      </c>
      <c r="V30" s="171">
        <v>82.748022849056539</v>
      </c>
      <c r="W30" s="170">
        <f t="shared" si="11"/>
        <v>0</v>
      </c>
      <c r="X30" s="173">
        <f t="shared" si="12"/>
        <v>1555.9728525715473</v>
      </c>
      <c r="Y30" s="451">
        <f t="shared" si="13"/>
        <v>19</v>
      </c>
      <c r="Z30" s="451">
        <f t="shared" si="14"/>
        <v>48</v>
      </c>
      <c r="AA30" s="170">
        <f t="shared" si="2"/>
        <v>67.885890791221172</v>
      </c>
      <c r="AB30" s="170">
        <f t="shared" si="15"/>
        <v>58.149694941690854</v>
      </c>
      <c r="AC30" s="171">
        <f>(IF(Y30=0,0,AC29*(1+AA30*'CALCULETTE CHRONOS'!$C$5)))</f>
        <v>83.287792362426217</v>
      </c>
      <c r="AD30" s="171">
        <v>83.287792362426217</v>
      </c>
      <c r="AE30" s="170">
        <f t="shared" si="16"/>
        <v>0</v>
      </c>
      <c r="AF30" s="173">
        <f t="shared" si="17"/>
        <v>1566.1292038761576</v>
      </c>
    </row>
    <row r="31" spans="1:32">
      <c r="A31" s="451">
        <f t="shared" si="19"/>
        <v>20</v>
      </c>
      <c r="B31" s="451">
        <f t="shared" si="18"/>
        <v>47</v>
      </c>
      <c r="C31" s="170">
        <f t="shared" si="20"/>
        <v>18.433129961127236</v>
      </c>
      <c r="D31" s="171">
        <f t="shared" si="21"/>
        <v>53.905521660187873</v>
      </c>
      <c r="E31" s="171">
        <f>IF(A31=0,0,E30*(1+C31*'CALCULETTE CHRONOS'!$C$5))</f>
        <v>81.294210747691167</v>
      </c>
      <c r="F31" s="171">
        <v>81.294210747691167</v>
      </c>
      <c r="G31" s="171">
        <f t="shared" si="22"/>
        <v>0</v>
      </c>
      <c r="H31" s="172">
        <f t="shared" si="23"/>
        <v>1656.4968587838391</v>
      </c>
      <c r="I31" s="451">
        <f t="shared" si="3"/>
        <v>20</v>
      </c>
      <c r="J31" s="451">
        <f t="shared" si="4"/>
        <v>47</v>
      </c>
      <c r="K31" s="170">
        <f t="shared" si="0"/>
        <v>71.452760830093936</v>
      </c>
      <c r="L31" s="170">
        <f t="shared" si="5"/>
        <v>14.60245577178479</v>
      </c>
      <c r="M31" s="171">
        <f>(IF(I31=0,0,M30*(1+K31*'CALCULETTE CHRONOS'!$C$5)))</f>
        <v>82.349527034387947</v>
      </c>
      <c r="N31" s="171">
        <v>82.349527034387947</v>
      </c>
      <c r="O31" s="170">
        <f t="shared" si="6"/>
        <v>0</v>
      </c>
      <c r="P31" s="173">
        <f t="shared" si="7"/>
        <v>1628.1585788952243</v>
      </c>
      <c r="Q31" s="451">
        <f t="shared" si="8"/>
        <v>20</v>
      </c>
      <c r="R31" s="451">
        <f t="shared" si="9"/>
        <v>47</v>
      </c>
      <c r="S31" s="170">
        <f t="shared" si="1"/>
        <v>71.452760830093936</v>
      </c>
      <c r="T31" s="170">
        <f t="shared" si="10"/>
        <v>14.60245577178479</v>
      </c>
      <c r="U31" s="171">
        <f>(IF(Q31=0,0,U30*(1+S31*'CALCULETTE CHRONOS'!$C$5)))</f>
        <v>82.890980831926043</v>
      </c>
      <c r="V31" s="171">
        <v>82.890980831926043</v>
      </c>
      <c r="W31" s="170">
        <f t="shared" si="11"/>
        <v>0</v>
      </c>
      <c r="X31" s="173">
        <f t="shared" si="12"/>
        <v>1638.8638334034733</v>
      </c>
      <c r="Y31" s="451">
        <f t="shared" si="13"/>
        <v>20</v>
      </c>
      <c r="Z31" s="451">
        <f t="shared" si="14"/>
        <v>47</v>
      </c>
      <c r="AA31" s="170">
        <f t="shared" si="2"/>
        <v>71.433129961127236</v>
      </c>
      <c r="AB31" s="170">
        <f t="shared" si="15"/>
        <v>54.60245577178479</v>
      </c>
      <c r="AC31" s="171">
        <f>(IF(Y31=0,0,AC30*(1+AA31*'CALCULETTE CHRONOS'!$C$5)))</f>
        <v>83.43164333505409</v>
      </c>
      <c r="AD31" s="171">
        <v>83.43164333505409</v>
      </c>
      <c r="AE31" s="170">
        <f t="shared" si="16"/>
        <v>0</v>
      </c>
      <c r="AF31" s="173">
        <f t="shared" si="17"/>
        <v>1649.5608472112117</v>
      </c>
    </row>
    <row r="32" spans="1:32">
      <c r="A32" s="451">
        <f t="shared" si="19"/>
        <v>21</v>
      </c>
      <c r="B32" s="451">
        <f t="shared" si="18"/>
        <v>46</v>
      </c>
      <c r="C32" s="170">
        <f t="shared" si="20"/>
        <v>21.980369131033299</v>
      </c>
      <c r="D32" s="171">
        <f t="shared" si="21"/>
        <v>50.358282490281809</v>
      </c>
      <c r="E32" s="171">
        <f>IF(A32=0,0,E31*(1+C32*'CALCULETTE CHRONOS'!$C$5))</f>
        <v>81.337414987956251</v>
      </c>
      <c r="F32" s="171">
        <v>81.337414987956251</v>
      </c>
      <c r="G32" s="171">
        <f t="shared" si="22"/>
        <v>0</v>
      </c>
      <c r="H32" s="172">
        <f t="shared" si="23"/>
        <v>1737.8342737717953</v>
      </c>
      <c r="I32" s="451">
        <f t="shared" si="3"/>
        <v>21</v>
      </c>
      <c r="J32" s="451">
        <f t="shared" si="4"/>
        <v>46</v>
      </c>
      <c r="K32" s="170">
        <f t="shared" si="0"/>
        <v>75</v>
      </c>
      <c r="L32" s="170">
        <f t="shared" si="5"/>
        <v>11.055216601878726</v>
      </c>
      <c r="M32" s="171">
        <f>(IF(I32=0,0,M31*(1+K32*'CALCULETTE CHRONOS'!$C$5)))</f>
        <v>82.498859468657756</v>
      </c>
      <c r="N32" s="171">
        <v>82.498859468657756</v>
      </c>
      <c r="O32" s="170">
        <f t="shared" si="6"/>
        <v>0</v>
      </c>
      <c r="P32" s="173">
        <f t="shared" si="7"/>
        <v>1710.657438363882</v>
      </c>
      <c r="Q32" s="451">
        <f t="shared" si="8"/>
        <v>21</v>
      </c>
      <c r="R32" s="451">
        <f t="shared" si="9"/>
        <v>46</v>
      </c>
      <c r="S32" s="170">
        <f t="shared" si="1"/>
        <v>75</v>
      </c>
      <c r="T32" s="170">
        <f t="shared" si="10"/>
        <v>11.055216601878726</v>
      </c>
      <c r="U32" s="171">
        <f>(IF(Q32=0,0,U31*(1+S32*'CALCULETTE CHRONOS'!$C$5)))</f>
        <v>83.041295137210085</v>
      </c>
      <c r="V32" s="171">
        <v>83.041295137210085</v>
      </c>
      <c r="W32" s="170">
        <f t="shared" si="11"/>
        <v>0</v>
      </c>
      <c r="X32" s="173">
        <f t="shared" si="12"/>
        <v>1721.9051285406833</v>
      </c>
      <c r="Y32" s="451">
        <f t="shared" si="13"/>
        <v>21</v>
      </c>
      <c r="Z32" s="451">
        <f t="shared" si="14"/>
        <v>46</v>
      </c>
      <c r="AA32" s="170">
        <f t="shared" si="2"/>
        <v>74.980369131033299</v>
      </c>
      <c r="AB32" s="170">
        <f t="shared" si="15"/>
        <v>51.055216601878726</v>
      </c>
      <c r="AC32" s="171">
        <f>(IF(Y32=0,0,AC31*(1+AA32*'CALCULETTE CHRONOS'!$C$5)))</f>
        <v>83.582898475791069</v>
      </c>
      <c r="AD32" s="171">
        <v>83.582898475791069</v>
      </c>
      <c r="AE32" s="170">
        <f t="shared" si="16"/>
        <v>0</v>
      </c>
      <c r="AF32" s="173">
        <f t="shared" si="17"/>
        <v>1733.1437456870028</v>
      </c>
    </row>
    <row r="33" spans="1:32">
      <c r="A33" s="451">
        <f t="shared" si="19"/>
        <v>22</v>
      </c>
      <c r="B33" s="451">
        <f t="shared" si="18"/>
        <v>45</v>
      </c>
      <c r="C33" s="170">
        <f t="shared" si="20"/>
        <v>25.527608300939363</v>
      </c>
      <c r="D33" s="171">
        <f t="shared" si="21"/>
        <v>46.811043320375745</v>
      </c>
      <c r="E33" s="171">
        <f>IF(A33=0,0,E32*(1+C33*'CALCULETTE CHRONOS'!$C$5))</f>
        <v>81.387618287928319</v>
      </c>
      <c r="F33" s="171">
        <v>81.387618287928319</v>
      </c>
      <c r="G33" s="171">
        <f t="shared" si="22"/>
        <v>0</v>
      </c>
      <c r="H33" s="172">
        <f t="shared" si="23"/>
        <v>1819.2218920597236</v>
      </c>
      <c r="I33" s="451">
        <f t="shared" si="3"/>
        <v>22</v>
      </c>
      <c r="J33" s="451">
        <f t="shared" si="4"/>
        <v>45</v>
      </c>
      <c r="K33" s="170">
        <f t="shared" si="0"/>
        <v>4.5079774319726615</v>
      </c>
      <c r="L33" s="170">
        <f t="shared" si="5"/>
        <v>7.5079774319726615</v>
      </c>
      <c r="M33" s="171">
        <f>(IF(I33=0,0,M32*(1+K33*'CALCULETTE CHRONOS'!$C$5)))</f>
        <v>82.507851575320132</v>
      </c>
      <c r="N33" s="171">
        <v>82.507851575320132</v>
      </c>
      <c r="O33" s="170">
        <f t="shared" si="6"/>
        <v>0</v>
      </c>
      <c r="P33" s="173">
        <f t="shared" si="7"/>
        <v>1793.165289939202</v>
      </c>
      <c r="Q33" s="451">
        <f t="shared" si="8"/>
        <v>22</v>
      </c>
      <c r="R33" s="451">
        <f t="shared" si="9"/>
        <v>45</v>
      </c>
      <c r="S33" s="170">
        <f t="shared" si="1"/>
        <v>4.5079774319726615</v>
      </c>
      <c r="T33" s="170">
        <f t="shared" si="10"/>
        <v>7.5079774319726615</v>
      </c>
      <c r="U33" s="171">
        <f>(IF(Q33=0,0,U32*(1+S33*'CALCULETTE CHRONOS'!$C$5)))</f>
        <v>83.050346367591501</v>
      </c>
      <c r="V33" s="171">
        <v>83.050346367591501</v>
      </c>
      <c r="W33" s="170">
        <f t="shared" si="11"/>
        <v>0</v>
      </c>
      <c r="X33" s="173">
        <f t="shared" si="12"/>
        <v>1804.9554749082749</v>
      </c>
      <c r="Y33" s="451">
        <f t="shared" si="13"/>
        <v>22</v>
      </c>
      <c r="Z33" s="451">
        <f t="shared" si="14"/>
        <v>45</v>
      </c>
      <c r="AA33" s="170">
        <f t="shared" si="2"/>
        <v>78.527608300939363</v>
      </c>
      <c r="AB33" s="170">
        <f t="shared" si="15"/>
        <v>47.507977431972662</v>
      </c>
      <c r="AC33" s="171">
        <f>(IF(Y33=0,0,AC32*(1+AA33*'CALCULETTE CHRONOS'!$C$5)))</f>
        <v>83.741596518307418</v>
      </c>
      <c r="AD33" s="171">
        <v>83.741596518307418</v>
      </c>
      <c r="AE33" s="170">
        <f t="shared" si="16"/>
        <v>0</v>
      </c>
      <c r="AF33" s="173">
        <f t="shared" si="17"/>
        <v>1816.8853422053103</v>
      </c>
    </row>
    <row r="34" spans="1:32">
      <c r="A34" s="451">
        <f t="shared" si="19"/>
        <v>23</v>
      </c>
      <c r="B34" s="451">
        <f t="shared" si="18"/>
        <v>44</v>
      </c>
      <c r="C34" s="170">
        <f t="shared" si="20"/>
        <v>29.074847470845427</v>
      </c>
      <c r="D34" s="171">
        <f t="shared" si="21"/>
        <v>43.263804150469682</v>
      </c>
      <c r="E34" s="171">
        <f>IF(A34=0,0,E33*(1+C34*'CALCULETTE CHRONOS'!$C$5))</f>
        <v>81.44483297890784</v>
      </c>
      <c r="F34" s="171">
        <v>81.44483297890784</v>
      </c>
      <c r="G34" s="171">
        <f t="shared" si="22"/>
        <v>0</v>
      </c>
      <c r="H34" s="172">
        <f t="shared" si="23"/>
        <v>1900.6667250386315</v>
      </c>
      <c r="I34" s="451">
        <f t="shared" si="3"/>
        <v>23</v>
      </c>
      <c r="J34" s="451">
        <f t="shared" si="4"/>
        <v>44</v>
      </c>
      <c r="K34" s="170">
        <f t="shared" si="0"/>
        <v>8.0552166018787261</v>
      </c>
      <c r="L34" s="170">
        <f t="shared" si="5"/>
        <v>3.960738262066597</v>
      </c>
      <c r="M34" s="171">
        <f>(IF(I34=0,0,M33*(1+K34*'CALCULETTE CHRONOS'!$C$5)))</f>
        <v>82.523921145979386</v>
      </c>
      <c r="N34" s="171">
        <v>82.523921145979386</v>
      </c>
      <c r="O34" s="170">
        <f t="shared" si="6"/>
        <v>0</v>
      </c>
      <c r="P34" s="173">
        <f t="shared" si="7"/>
        <v>1875.6892110851813</v>
      </c>
      <c r="Q34" s="451">
        <f t="shared" si="8"/>
        <v>23</v>
      </c>
      <c r="R34" s="451">
        <f t="shared" si="9"/>
        <v>44</v>
      </c>
      <c r="S34" s="170">
        <f t="shared" si="1"/>
        <v>8.0552166018787261</v>
      </c>
      <c r="T34" s="170">
        <f t="shared" si="10"/>
        <v>3.960738262066597</v>
      </c>
      <c r="U34" s="171">
        <f>(IF(Q34=0,0,U33*(1+S34*'CALCULETTE CHRONOS'!$C$5)))</f>
        <v>83.066521596781797</v>
      </c>
      <c r="V34" s="171">
        <v>83.066521596781797</v>
      </c>
      <c r="W34" s="170">
        <f t="shared" si="11"/>
        <v>0</v>
      </c>
      <c r="X34" s="173">
        <f t="shared" si="12"/>
        <v>1888.0219965050567</v>
      </c>
      <c r="Y34" s="451">
        <f t="shared" si="13"/>
        <v>23</v>
      </c>
      <c r="Z34" s="451">
        <f t="shared" si="14"/>
        <v>44</v>
      </c>
      <c r="AA34" s="170">
        <f t="shared" si="2"/>
        <v>82.074847470845427</v>
      </c>
      <c r="AB34" s="170">
        <f t="shared" si="15"/>
        <v>43.960738262066599</v>
      </c>
      <c r="AC34" s="171">
        <f>(IF(Y34=0,0,AC33*(1+AA34*'CALCULETTE CHRONOS'!$C$5)))</f>
        <v>83.90777817824744</v>
      </c>
      <c r="AD34" s="171">
        <v>83.90777817824744</v>
      </c>
      <c r="AE34" s="170">
        <f t="shared" si="16"/>
        <v>0</v>
      </c>
      <c r="AF34" s="173">
        <f t="shared" si="17"/>
        <v>1900.7931203835578</v>
      </c>
    </row>
    <row r="35" spans="1:32">
      <c r="A35" s="451">
        <f t="shared" si="19"/>
        <v>24</v>
      </c>
      <c r="B35" s="451">
        <f t="shared" si="18"/>
        <v>43</v>
      </c>
      <c r="C35" s="170">
        <f t="shared" si="20"/>
        <v>32.62208664075149</v>
      </c>
      <c r="D35" s="171">
        <f t="shared" si="21"/>
        <v>39.716564980563618</v>
      </c>
      <c r="E35" s="171">
        <f>IF(A35=0,0,E34*(1+C35*'CALCULETTE CHRONOS'!$C$5))</f>
        <v>81.50907320279515</v>
      </c>
      <c r="F35" s="171">
        <v>81.50907320279515</v>
      </c>
      <c r="G35" s="171">
        <f t="shared" si="22"/>
        <v>0</v>
      </c>
      <c r="H35" s="172">
        <f t="shared" si="23"/>
        <v>1982.1757982414267</v>
      </c>
      <c r="I35" s="451">
        <f t="shared" si="3"/>
        <v>24</v>
      </c>
      <c r="J35" s="451">
        <f t="shared" si="4"/>
        <v>43</v>
      </c>
      <c r="K35" s="170">
        <f t="shared" si="0"/>
        <v>11.60245577178479</v>
      </c>
      <c r="L35" s="170">
        <f t="shared" si="5"/>
        <v>79</v>
      </c>
      <c r="M35" s="171">
        <f>(IF(I35=0,0,M34*(1+K35*'CALCULETTE CHRONOS'!$C$5)))</f>
        <v>82.547071708546611</v>
      </c>
      <c r="N35" s="171">
        <v>82.547071708546611</v>
      </c>
      <c r="O35" s="170">
        <f t="shared" si="6"/>
        <v>40.5</v>
      </c>
      <c r="P35" s="173">
        <f t="shared" si="7"/>
        <v>1998.7362827937279</v>
      </c>
      <c r="Q35" s="451">
        <f t="shared" si="8"/>
        <v>24</v>
      </c>
      <c r="R35" s="451">
        <f t="shared" si="9"/>
        <v>43</v>
      </c>
      <c r="S35" s="170">
        <f t="shared" si="1"/>
        <v>11.60245577178479</v>
      </c>
      <c r="T35" s="170">
        <f t="shared" si="10"/>
        <v>79</v>
      </c>
      <c r="U35" s="171">
        <f>(IF(Q35=0,0,U34*(1+S35*'CALCULETTE CHRONOS'!$C$5)))</f>
        <v>83.089824375888313</v>
      </c>
      <c r="V35" s="171">
        <v>83.089824375888313</v>
      </c>
      <c r="W35" s="170">
        <f t="shared" si="11"/>
        <v>40.5</v>
      </c>
      <c r="X35" s="173">
        <f t="shared" si="12"/>
        <v>2011.6118208809451</v>
      </c>
      <c r="Y35" s="451">
        <f t="shared" si="13"/>
        <v>24</v>
      </c>
      <c r="Z35" s="451">
        <f t="shared" si="14"/>
        <v>43</v>
      </c>
      <c r="AA35" s="170">
        <f t="shared" si="2"/>
        <v>85.62208664075149</v>
      </c>
      <c r="AB35" s="170">
        <f t="shared" si="15"/>
        <v>40.413499092160535</v>
      </c>
      <c r="AC35" s="171">
        <f>(IF(Y35=0,0,AC34*(1+AA35*'CALCULETTE CHRONOS'!$C$5)))</f>
        <v>84.081486170621034</v>
      </c>
      <c r="AD35" s="171">
        <v>84.081486170621034</v>
      </c>
      <c r="AE35" s="170">
        <f t="shared" si="16"/>
        <v>0</v>
      </c>
      <c r="AF35" s="173">
        <f t="shared" si="17"/>
        <v>1984.8746065541789</v>
      </c>
    </row>
    <row r="36" spans="1:32">
      <c r="A36" s="451">
        <f t="shared" si="19"/>
        <v>25</v>
      </c>
      <c r="B36" s="451">
        <f t="shared" si="18"/>
        <v>42</v>
      </c>
      <c r="C36" s="170">
        <f t="shared" si="20"/>
        <v>36.169325810657554</v>
      </c>
      <c r="D36" s="171">
        <f t="shared" si="21"/>
        <v>36.169325810657554</v>
      </c>
      <c r="E36" s="171">
        <f>IF(A36=0,0,E35*(1+C36*'CALCULETTE CHRONOS'!$C$5))</f>
        <v>81.58035491790433</v>
      </c>
      <c r="F36" s="171">
        <v>81.58035491790433</v>
      </c>
      <c r="G36" s="171">
        <f t="shared" si="22"/>
        <v>0</v>
      </c>
      <c r="H36" s="172">
        <f t="shared" si="23"/>
        <v>2063.756153159331</v>
      </c>
      <c r="I36" s="451">
        <f t="shared" si="3"/>
        <v>25</v>
      </c>
      <c r="J36" s="451">
        <f t="shared" si="4"/>
        <v>42</v>
      </c>
      <c r="K36" s="170">
        <f t="shared" si="0"/>
        <v>15.149694941690854</v>
      </c>
      <c r="L36" s="170">
        <f t="shared" si="5"/>
        <v>75.452760830093936</v>
      </c>
      <c r="M36" s="171">
        <f>(IF(I36=0,0,M35*(1+K36*'CALCULETTE CHRONOS'!$C$5)))</f>
        <v>82.57730861327218</v>
      </c>
      <c r="N36" s="171">
        <v>82.57730861327218</v>
      </c>
      <c r="O36" s="170">
        <f t="shared" si="6"/>
        <v>0</v>
      </c>
      <c r="P36" s="173">
        <f t="shared" si="7"/>
        <v>2081.3135914069999</v>
      </c>
      <c r="Q36" s="451">
        <f t="shared" si="8"/>
        <v>25</v>
      </c>
      <c r="R36" s="451">
        <f t="shared" si="9"/>
        <v>42</v>
      </c>
      <c r="S36" s="170">
        <f t="shared" si="1"/>
        <v>15.149694941690854</v>
      </c>
      <c r="T36" s="170">
        <f t="shared" si="10"/>
        <v>75.452760830093936</v>
      </c>
      <c r="U36" s="171">
        <f>(IF(Q36=0,0,U35*(1+S36*'CALCULETTE CHRONOS'!$C$5)))</f>
        <v>83.120260090339684</v>
      </c>
      <c r="V36" s="171">
        <v>83.120260090339684</v>
      </c>
      <c r="W36" s="170">
        <f t="shared" si="11"/>
        <v>0</v>
      </c>
      <c r="X36" s="173">
        <f t="shared" si="12"/>
        <v>2094.7320809712846</v>
      </c>
      <c r="Y36" s="451">
        <f t="shared" si="13"/>
        <v>25</v>
      </c>
      <c r="Z36" s="451">
        <f t="shared" si="14"/>
        <v>42</v>
      </c>
      <c r="AA36" s="170">
        <f t="shared" si="2"/>
        <v>89.169325810657554</v>
      </c>
      <c r="AB36" s="170">
        <f t="shared" si="15"/>
        <v>36.866259922254471</v>
      </c>
      <c r="AC36" s="171">
        <f>(IF(Y36=0,0,AC35*(1+AA36*'CALCULETTE CHRONOS'!$C$5)))</f>
        <v>84.262765228082529</v>
      </c>
      <c r="AD36" s="171">
        <v>84.262765228082529</v>
      </c>
      <c r="AE36" s="170">
        <f t="shared" si="16"/>
        <v>0</v>
      </c>
      <c r="AF36" s="173">
        <f t="shared" si="17"/>
        <v>2069.1373717822612</v>
      </c>
    </row>
    <row r="37" spans="1:32">
      <c r="A37" s="451">
        <f t="shared" si="19"/>
        <v>26</v>
      </c>
      <c r="B37" s="451">
        <f t="shared" si="18"/>
        <v>41</v>
      </c>
      <c r="C37" s="170">
        <f t="shared" si="20"/>
        <v>39.716564980563618</v>
      </c>
      <c r="D37" s="171">
        <f t="shared" si="21"/>
        <v>32.62208664075149</v>
      </c>
      <c r="E37" s="171">
        <f>IF(A37=0,0,E36*(1+C37*'CALCULETTE CHRONOS'!$C$5))</f>
        <v>81.658695905559199</v>
      </c>
      <c r="F37" s="171">
        <v>81.658695905559199</v>
      </c>
      <c r="G37" s="171">
        <f t="shared" si="22"/>
        <v>0</v>
      </c>
      <c r="H37" s="172">
        <f t="shared" si="23"/>
        <v>2145.4148490648904</v>
      </c>
      <c r="I37" s="451">
        <f t="shared" si="3"/>
        <v>26</v>
      </c>
      <c r="J37" s="451">
        <f t="shared" si="4"/>
        <v>41</v>
      </c>
      <c r="K37" s="170">
        <f t="shared" si="0"/>
        <v>18.696934111596917</v>
      </c>
      <c r="L37" s="170">
        <f t="shared" si="5"/>
        <v>71.905521660187873</v>
      </c>
      <c r="M37" s="171">
        <f>(IF(I37=0,0,M36*(1+K37*'CALCULETTE CHRONOS'!$C$5)))</f>
        <v>82.61463903477997</v>
      </c>
      <c r="N37" s="171">
        <v>82.61463903477997</v>
      </c>
      <c r="O37" s="170">
        <f t="shared" si="6"/>
        <v>0</v>
      </c>
      <c r="P37" s="173">
        <f t="shared" si="7"/>
        <v>2163.9282304417798</v>
      </c>
      <c r="Q37" s="451">
        <f t="shared" si="8"/>
        <v>26</v>
      </c>
      <c r="R37" s="451">
        <f t="shared" si="9"/>
        <v>41</v>
      </c>
      <c r="S37" s="170">
        <f t="shared" si="1"/>
        <v>18.696934111596917</v>
      </c>
      <c r="T37" s="170">
        <f t="shared" si="10"/>
        <v>71.905521660187873</v>
      </c>
      <c r="U37" s="171">
        <f>(IF(Q37=0,0,U36*(1+S37*'CALCULETTE CHRONOS'!$C$5)))</f>
        <v>83.157835961933429</v>
      </c>
      <c r="V37" s="171">
        <v>83.157835961933429</v>
      </c>
      <c r="W37" s="170">
        <f t="shared" si="11"/>
        <v>0</v>
      </c>
      <c r="X37" s="173">
        <f t="shared" si="12"/>
        <v>2177.889916933218</v>
      </c>
      <c r="Y37" s="451">
        <f t="shared" si="13"/>
        <v>26</v>
      </c>
      <c r="Z37" s="451">
        <f t="shared" si="14"/>
        <v>41</v>
      </c>
      <c r="AA37" s="170">
        <f t="shared" si="2"/>
        <v>92.716564980563618</v>
      </c>
      <c r="AB37" s="170">
        <f t="shared" si="15"/>
        <v>33.319020752348408</v>
      </c>
      <c r="AC37" s="171">
        <f>(IF(Y37=0,0,AC36*(1+AA37*'CALCULETTE CHRONOS'!$C$5)))</f>
        <v>84.451662120108011</v>
      </c>
      <c r="AD37" s="171">
        <v>84.451662120108011</v>
      </c>
      <c r="AE37" s="170">
        <f t="shared" si="16"/>
        <v>0</v>
      </c>
      <c r="AF37" s="173">
        <f t="shared" si="17"/>
        <v>2153.589033902369</v>
      </c>
    </row>
    <row r="38" spans="1:32">
      <c r="A38" s="451">
        <f t="shared" si="19"/>
        <v>27</v>
      </c>
      <c r="B38" s="451">
        <f t="shared" si="18"/>
        <v>40</v>
      </c>
      <c r="C38" s="170">
        <f t="shared" si="20"/>
        <v>43.263804150469682</v>
      </c>
      <c r="D38" s="171">
        <f t="shared" si="21"/>
        <v>29.074847470845427</v>
      </c>
      <c r="E38" s="171">
        <f>IF(A38=0,0,E37*(1+C38*'CALCULETTE CHRONOS'!$C$5))</f>
        <v>81.744115777475074</v>
      </c>
      <c r="F38" s="171">
        <v>81.744115777475074</v>
      </c>
      <c r="G38" s="171">
        <f t="shared" si="22"/>
        <v>0</v>
      </c>
      <c r="H38" s="172">
        <f t="shared" si="23"/>
        <v>2227.1589648423655</v>
      </c>
      <c r="I38" s="451">
        <f t="shared" si="3"/>
        <v>27</v>
      </c>
      <c r="J38" s="451">
        <f t="shared" si="4"/>
        <v>40</v>
      </c>
      <c r="K38" s="170">
        <f t="shared" si="0"/>
        <v>22.244173281502981</v>
      </c>
      <c r="L38" s="170">
        <f t="shared" si="5"/>
        <v>68.358282490281809</v>
      </c>
      <c r="M38" s="171">
        <f>(IF(I38=0,0,M37*(1+K38*'CALCULETTE CHRONOS'!$C$5)))</f>
        <v>82.659071974884014</v>
      </c>
      <c r="N38" s="171">
        <v>82.659071974884014</v>
      </c>
      <c r="O38" s="170">
        <f t="shared" si="6"/>
        <v>0</v>
      </c>
      <c r="P38" s="173">
        <f t="shared" si="7"/>
        <v>2246.587302416664</v>
      </c>
      <c r="Q38" s="451">
        <f t="shared" si="8"/>
        <v>27</v>
      </c>
      <c r="R38" s="451">
        <f t="shared" si="9"/>
        <v>40</v>
      </c>
      <c r="S38" s="170">
        <f t="shared" si="1"/>
        <v>22.244173281502981</v>
      </c>
      <c r="T38" s="170">
        <f t="shared" si="10"/>
        <v>68.358282490281809</v>
      </c>
      <c r="U38" s="171">
        <f>(IF(Q38=0,0,U37*(1+S38*'CALCULETTE CHRONOS'!$C$5)))</f>
        <v>83.202561051671125</v>
      </c>
      <c r="V38" s="171">
        <v>83.202561051671125</v>
      </c>
      <c r="W38" s="170">
        <f t="shared" si="11"/>
        <v>0</v>
      </c>
      <c r="X38" s="173">
        <f t="shared" si="12"/>
        <v>2261.0924779848892</v>
      </c>
      <c r="Y38" s="451">
        <f t="shared" si="13"/>
        <v>27</v>
      </c>
      <c r="Z38" s="451">
        <f t="shared" si="14"/>
        <v>40</v>
      </c>
      <c r="AA38" s="170">
        <f t="shared" si="2"/>
        <v>96.263804150469682</v>
      </c>
      <c r="AB38" s="170">
        <f t="shared" si="15"/>
        <v>29.771781582442344</v>
      </c>
      <c r="AC38" s="171">
        <f>(IF(Y38=0,0,AC37*(1+AA38*'CALCULETTE CHRONOS'!$C$5)))</f>
        <v>84.648225673082521</v>
      </c>
      <c r="AD38" s="171">
        <v>84.648225673082521</v>
      </c>
      <c r="AE38" s="170">
        <f t="shared" si="16"/>
        <v>0</v>
      </c>
      <c r="AF38" s="173">
        <f t="shared" si="17"/>
        <v>2238.2372595754514</v>
      </c>
    </row>
    <row r="39" spans="1:32">
      <c r="A39" s="451">
        <f t="shared" si="19"/>
        <v>28</v>
      </c>
      <c r="B39" s="451">
        <f t="shared" si="18"/>
        <v>39</v>
      </c>
      <c r="C39" s="170">
        <f t="shared" si="20"/>
        <v>46.811043320375745</v>
      </c>
      <c r="D39" s="171">
        <f t="shared" si="21"/>
        <v>25.527608300939363</v>
      </c>
      <c r="E39" s="171">
        <f>IF(A39=0,0,E38*(1+C39*'CALCULETTE CHRONOS'!$C$5))</f>
        <v>81.836635983930677</v>
      </c>
      <c r="F39" s="171">
        <v>81.836635983930677</v>
      </c>
      <c r="G39" s="171">
        <f t="shared" si="22"/>
        <v>0</v>
      </c>
      <c r="H39" s="172">
        <f t="shared" si="23"/>
        <v>2308.9956008262961</v>
      </c>
      <c r="I39" s="451">
        <f t="shared" si="3"/>
        <v>28</v>
      </c>
      <c r="J39" s="451">
        <f t="shared" si="4"/>
        <v>39</v>
      </c>
      <c r="K39" s="170">
        <f t="shared" si="0"/>
        <v>25.791412451409045</v>
      </c>
      <c r="L39" s="170">
        <f t="shared" si="5"/>
        <v>64.811043320375745</v>
      </c>
      <c r="M39" s="171">
        <f>(IF(I39=0,0,M38*(1+K39*'CALCULETTE CHRONOS'!$C$5)))</f>
        <v>82.710618266189343</v>
      </c>
      <c r="N39" s="171">
        <v>82.710618266189343</v>
      </c>
      <c r="O39" s="170">
        <f t="shared" si="6"/>
        <v>0</v>
      </c>
      <c r="P39" s="173">
        <f t="shared" si="7"/>
        <v>2329.2979206828531</v>
      </c>
      <c r="Q39" s="451">
        <f t="shared" si="8"/>
        <v>28</v>
      </c>
      <c r="R39" s="451">
        <f t="shared" si="9"/>
        <v>39</v>
      </c>
      <c r="S39" s="170">
        <f t="shared" si="1"/>
        <v>25.791412451409045</v>
      </c>
      <c r="T39" s="170">
        <f t="shared" si="10"/>
        <v>64.811043320375745</v>
      </c>
      <c r="U39" s="171">
        <f>(IF(Q39=0,0,U38*(1+S39*'CALCULETTE CHRONOS'!$C$5)))</f>
        <v>83.254446263382945</v>
      </c>
      <c r="V39" s="171">
        <v>83.254446263382945</v>
      </c>
      <c r="W39" s="170">
        <f t="shared" si="11"/>
        <v>0</v>
      </c>
      <c r="X39" s="173">
        <f t="shared" si="12"/>
        <v>2344.346924248272</v>
      </c>
      <c r="Y39" s="451">
        <f t="shared" si="13"/>
        <v>28</v>
      </c>
      <c r="Z39" s="451">
        <f t="shared" si="14"/>
        <v>39</v>
      </c>
      <c r="AA39" s="170">
        <f t="shared" si="2"/>
        <v>99.811043320375745</v>
      </c>
      <c r="AB39" s="170">
        <f t="shared" si="15"/>
        <v>26.22454241253628</v>
      </c>
      <c r="AC39" s="171">
        <f>(IF(Y39=0,0,AC38*(1+AA39*'CALCULETTE CHRONOS'!$C$5)))</f>
        <v>84.852506791309139</v>
      </c>
      <c r="AD39" s="171">
        <v>84.852506791309139</v>
      </c>
      <c r="AE39" s="170">
        <f t="shared" si="16"/>
        <v>0</v>
      </c>
      <c r="AF39" s="173">
        <f t="shared" si="17"/>
        <v>2323.0897663667606</v>
      </c>
    </row>
    <row r="40" spans="1:32">
      <c r="A40" s="451">
        <f t="shared" si="19"/>
        <v>29</v>
      </c>
      <c r="B40" s="451">
        <f t="shared" si="18"/>
        <v>38</v>
      </c>
      <c r="C40" s="170">
        <f t="shared" si="20"/>
        <v>50.358282490281809</v>
      </c>
      <c r="D40" s="171">
        <f t="shared" si="21"/>
        <v>21.980369131033299</v>
      </c>
      <c r="E40" s="171">
        <f>IF(A40=0,0,E39*(1+C40*'CALCULETTE CHRONOS'!$C$5))</f>
        <v>81.93627982273496</v>
      </c>
      <c r="F40" s="171">
        <v>81.93627982273496</v>
      </c>
      <c r="G40" s="171">
        <f t="shared" si="22"/>
        <v>0</v>
      </c>
      <c r="H40" s="172">
        <f t="shared" si="23"/>
        <v>2390.931880649031</v>
      </c>
      <c r="I40" s="451">
        <f t="shared" si="3"/>
        <v>29</v>
      </c>
      <c r="J40" s="451">
        <f t="shared" si="4"/>
        <v>38</v>
      </c>
      <c r="K40" s="170">
        <f t="shared" si="0"/>
        <v>29.338651621315108</v>
      </c>
      <c r="L40" s="170">
        <f t="shared" si="5"/>
        <v>61.263804150469682</v>
      </c>
      <c r="M40" s="171">
        <f>(IF(I40=0,0,M39*(1+K40*'CALCULETTE CHRONOS'!$C$5)))</f>
        <v>82.769290576478966</v>
      </c>
      <c r="N40" s="171">
        <v>82.769290576478966</v>
      </c>
      <c r="O40" s="170">
        <f t="shared" si="6"/>
        <v>0</v>
      </c>
      <c r="P40" s="173">
        <f t="shared" si="7"/>
        <v>2412.067211259332</v>
      </c>
      <c r="Q40" s="451">
        <f t="shared" si="8"/>
        <v>29</v>
      </c>
      <c r="R40" s="451">
        <f t="shared" si="9"/>
        <v>38</v>
      </c>
      <c r="S40" s="170">
        <f t="shared" si="1"/>
        <v>29.338651621315108</v>
      </c>
      <c r="T40" s="170">
        <f t="shared" si="10"/>
        <v>61.263804150469682</v>
      </c>
      <c r="U40" s="171">
        <f>(IF(Q40=0,0,U39*(1+S40*'CALCULETTE CHRONOS'!$C$5)))</f>
        <v>83.313504348143411</v>
      </c>
      <c r="V40" s="171">
        <v>83.313504348143411</v>
      </c>
      <c r="W40" s="170">
        <f t="shared" si="11"/>
        <v>0</v>
      </c>
      <c r="X40" s="173">
        <f t="shared" si="12"/>
        <v>2427.6604285964154</v>
      </c>
      <c r="Y40" s="451">
        <f t="shared" si="13"/>
        <v>29</v>
      </c>
      <c r="Z40" s="451">
        <f t="shared" si="14"/>
        <v>38</v>
      </c>
      <c r="AA40" s="170">
        <f t="shared" si="2"/>
        <v>103.35828249028181</v>
      </c>
      <c r="AB40" s="170">
        <f t="shared" si="15"/>
        <v>22.677303242630217</v>
      </c>
      <c r="AC40" s="171">
        <f>(IF(Y40=0,0,AC39*(1+AA40*'CALCULETTE CHRONOS'!$C$5)))</f>
        <v>85.064558478952662</v>
      </c>
      <c r="AD40" s="171">
        <v>85.064558478952662</v>
      </c>
      <c r="AE40" s="170">
        <f t="shared" si="16"/>
        <v>0</v>
      </c>
      <c r="AF40" s="173">
        <f t="shared" si="17"/>
        <v>2408.1543248457133</v>
      </c>
    </row>
    <row r="41" spans="1:32">
      <c r="A41" s="451">
        <f t="shared" si="19"/>
        <v>30</v>
      </c>
      <c r="B41" s="451">
        <f t="shared" si="18"/>
        <v>37</v>
      </c>
      <c r="C41" s="170">
        <f t="shared" si="20"/>
        <v>53.905521660187873</v>
      </c>
      <c r="D41" s="171">
        <f t="shared" si="21"/>
        <v>18.433129961127236</v>
      </c>
      <c r="E41" s="171">
        <f>IF(A41=0,0,E40*(1+C41*'CALCULETTE CHRONOS'!$C$5))</f>
        <v>82.043072448994081</v>
      </c>
      <c r="F41" s="171">
        <v>82.043072448994081</v>
      </c>
      <c r="G41" s="171">
        <f t="shared" si="22"/>
        <v>0</v>
      </c>
      <c r="H41" s="172">
        <f t="shared" si="23"/>
        <v>2472.9749530980253</v>
      </c>
      <c r="I41" s="451">
        <f t="shared" si="3"/>
        <v>30</v>
      </c>
      <c r="J41" s="451">
        <f t="shared" si="4"/>
        <v>37</v>
      </c>
      <c r="K41" s="170">
        <f t="shared" si="0"/>
        <v>32.885890791221172</v>
      </c>
      <c r="L41" s="170">
        <f t="shared" si="5"/>
        <v>57.716564980563618</v>
      </c>
      <c r="M41" s="171">
        <f>(IF(I41=0,0,M40*(1+K41*'CALCULETTE CHRONOS'!$C$5)))</f>
        <v>82.835103413889414</v>
      </c>
      <c r="N41" s="171">
        <v>82.835103413889414</v>
      </c>
      <c r="O41" s="170">
        <f t="shared" si="6"/>
        <v>0</v>
      </c>
      <c r="P41" s="173">
        <f t="shared" si="7"/>
        <v>2494.9023146732216</v>
      </c>
      <c r="Q41" s="451">
        <f t="shared" si="8"/>
        <v>30</v>
      </c>
      <c r="R41" s="451">
        <f t="shared" si="9"/>
        <v>37</v>
      </c>
      <c r="S41" s="170">
        <f t="shared" si="1"/>
        <v>32.885890791221172</v>
      </c>
      <c r="T41" s="170">
        <f t="shared" si="10"/>
        <v>57.716564980563618</v>
      </c>
      <c r="U41" s="171">
        <f>(IF(Q41=0,0,U40*(1+S41*'CALCULETTE CHRONOS'!$C$5)))</f>
        <v>83.379749909481063</v>
      </c>
      <c r="V41" s="171">
        <v>83.379749909481063</v>
      </c>
      <c r="W41" s="170">
        <f t="shared" si="11"/>
        <v>0</v>
      </c>
      <c r="X41" s="173">
        <f t="shared" si="12"/>
        <v>2511.0401785058966</v>
      </c>
      <c r="Y41" s="451">
        <f t="shared" si="13"/>
        <v>30</v>
      </c>
      <c r="Z41" s="451">
        <f t="shared" si="14"/>
        <v>37</v>
      </c>
      <c r="AA41" s="170">
        <f t="shared" si="2"/>
        <v>106.90552166018787</v>
      </c>
      <c r="AB41" s="170">
        <f t="shared" si="15"/>
        <v>19.130064072724153</v>
      </c>
      <c r="AC41" s="171">
        <f>(IF(Y41=0,0,AC40*(1+AA41*'CALCULETTE CHRONOS'!$C$5)))</f>
        <v>85.284435862931161</v>
      </c>
      <c r="AD41" s="171">
        <v>85.284435862931161</v>
      </c>
      <c r="AE41" s="170">
        <f t="shared" si="16"/>
        <v>0</v>
      </c>
      <c r="AF41" s="173">
        <f t="shared" si="17"/>
        <v>2493.4387607086446</v>
      </c>
    </row>
    <row r="42" spans="1:32">
      <c r="A42" s="451">
        <f t="shared" si="19"/>
        <v>31</v>
      </c>
      <c r="B42" s="451">
        <f t="shared" si="18"/>
        <v>36</v>
      </c>
      <c r="C42" s="170">
        <f t="shared" si="20"/>
        <v>57.452760830093936</v>
      </c>
      <c r="D42" s="171">
        <f t="shared" si="21"/>
        <v>14.885890791221172</v>
      </c>
      <c r="E42" s="171">
        <f>IF(A42=0,0,E41*(1+C42*'CALCULETTE CHRONOS'!$C$5))</f>
        <v>82.157040885684125</v>
      </c>
      <c r="F42" s="171">
        <v>82.157040885684125</v>
      </c>
      <c r="G42" s="171">
        <f t="shared" si="22"/>
        <v>0</v>
      </c>
      <c r="H42" s="172">
        <f t="shared" si="23"/>
        <v>2555.1319939837094</v>
      </c>
      <c r="I42" s="451">
        <f t="shared" si="3"/>
        <v>31</v>
      </c>
      <c r="J42" s="451">
        <f t="shared" si="4"/>
        <v>36</v>
      </c>
      <c r="K42" s="170">
        <f t="shared" si="0"/>
        <v>36.433129961127236</v>
      </c>
      <c r="L42" s="170">
        <f t="shared" si="5"/>
        <v>54.169325810657554</v>
      </c>
      <c r="M42" s="171">
        <f>(IF(I42=0,0,M41*(1+K42*'CALCULETTE CHRONOS'!$C$5)))</f>
        <v>82.908073132877831</v>
      </c>
      <c r="N42" s="171">
        <v>82.908073132877831</v>
      </c>
      <c r="O42" s="170">
        <f t="shared" si="6"/>
        <v>0</v>
      </c>
      <c r="P42" s="173">
        <f t="shared" si="7"/>
        <v>2577.8103878060992</v>
      </c>
      <c r="Q42" s="451">
        <f t="shared" si="8"/>
        <v>31</v>
      </c>
      <c r="R42" s="451">
        <f t="shared" si="9"/>
        <v>36</v>
      </c>
      <c r="S42" s="170">
        <f t="shared" si="1"/>
        <v>36.433129961127236</v>
      </c>
      <c r="T42" s="170">
        <f t="shared" si="10"/>
        <v>54.169325810657554</v>
      </c>
      <c r="U42" s="171">
        <f>(IF(Q42=0,0,U41*(1+S42*'CALCULETTE CHRONOS'!$C$5)))</f>
        <v>83.453199409384737</v>
      </c>
      <c r="V42" s="171">
        <v>83.453199409384737</v>
      </c>
      <c r="W42" s="170">
        <f t="shared" si="11"/>
        <v>0</v>
      </c>
      <c r="X42" s="173">
        <f t="shared" si="12"/>
        <v>2594.4933779152811</v>
      </c>
      <c r="Y42" s="451">
        <f t="shared" si="13"/>
        <v>31</v>
      </c>
      <c r="Z42" s="451">
        <f t="shared" si="14"/>
        <v>36</v>
      </c>
      <c r="AA42" s="170">
        <f t="shared" si="2"/>
        <v>110.45276083009394</v>
      </c>
      <c r="AB42" s="170">
        <f t="shared" si="15"/>
        <v>15.582824902818089</v>
      </c>
      <c r="AC42" s="171">
        <f>(IF(Y42=0,0,AC41*(1+AA42*'CALCULETTE CHRONOS'!$C$5)))</f>
        <v>85.51219621676907</v>
      </c>
      <c r="AD42" s="171">
        <v>85.51219621676907</v>
      </c>
      <c r="AE42" s="170">
        <f t="shared" si="16"/>
        <v>0</v>
      </c>
      <c r="AF42" s="173">
        <f t="shared" si="17"/>
        <v>2578.9509569254137</v>
      </c>
    </row>
    <row r="43" spans="1:32">
      <c r="A43" s="451">
        <f t="shared" si="19"/>
        <v>32</v>
      </c>
      <c r="B43" s="451">
        <f t="shared" si="18"/>
        <v>35</v>
      </c>
      <c r="C43" s="170">
        <f t="shared" si="20"/>
        <v>61</v>
      </c>
      <c r="D43" s="171">
        <f t="shared" si="21"/>
        <v>11.338651621315108</v>
      </c>
      <c r="E43" s="171">
        <f>IF(A43=0,0,E42*(1+C43*'CALCULETTE CHRONOS'!$C$5))</f>
        <v>82.278214035036001</v>
      </c>
      <c r="F43" s="171">
        <v>82.278214035036001</v>
      </c>
      <c r="G43" s="171">
        <f t="shared" si="22"/>
        <v>0</v>
      </c>
      <c r="H43" s="172">
        <f t="shared" si="23"/>
        <v>2637.4102080187454</v>
      </c>
      <c r="I43" s="451">
        <f t="shared" si="3"/>
        <v>32</v>
      </c>
      <c r="J43" s="451">
        <f t="shared" si="4"/>
        <v>35</v>
      </c>
      <c r="K43" s="170">
        <f t="shared" si="0"/>
        <v>39.980369131033299</v>
      </c>
      <c r="L43" s="170">
        <f t="shared" si="5"/>
        <v>50.62208664075149</v>
      </c>
      <c r="M43" s="171">
        <f>(IF(I43=0,0,M42*(1+K43*'CALCULETTE CHRONOS'!$C$5)))</f>
        <v>82.988217940984043</v>
      </c>
      <c r="N43" s="171">
        <v>82.988217940984043</v>
      </c>
      <c r="O43" s="170">
        <f t="shared" si="6"/>
        <v>0</v>
      </c>
      <c r="P43" s="173">
        <f t="shared" si="7"/>
        <v>2660.7986057470835</v>
      </c>
      <c r="Q43" s="451">
        <f t="shared" si="8"/>
        <v>32</v>
      </c>
      <c r="R43" s="451">
        <f t="shared" si="9"/>
        <v>35</v>
      </c>
      <c r="S43" s="170">
        <f t="shared" si="1"/>
        <v>39.980369131033299</v>
      </c>
      <c r="T43" s="170">
        <f t="shared" si="10"/>
        <v>50.62208664075149</v>
      </c>
      <c r="U43" s="171">
        <f>(IF(Q43=0,0,U42*(1+S43*'CALCULETTE CHRONOS'!$C$5)))</f>
        <v>83.533871175110079</v>
      </c>
      <c r="V43" s="171">
        <v>83.533871175110079</v>
      </c>
      <c r="W43" s="170">
        <f t="shared" si="11"/>
        <v>0</v>
      </c>
      <c r="X43" s="173">
        <f t="shared" si="12"/>
        <v>2678.0272490903913</v>
      </c>
      <c r="Y43" s="451">
        <f t="shared" si="13"/>
        <v>32</v>
      </c>
      <c r="Z43" s="451">
        <f t="shared" si="14"/>
        <v>35</v>
      </c>
      <c r="AA43" s="170">
        <f t="shared" si="2"/>
        <v>114</v>
      </c>
      <c r="AB43" s="170">
        <f t="shared" si="15"/>
        <v>12.035585732912025</v>
      </c>
      <c r="AC43" s="171">
        <f>(IF(Y43=0,0,AC42*(1+AA43*'CALCULETTE CHRONOS'!$C$5)))</f>
        <v>85.747898985426403</v>
      </c>
      <c r="AD43" s="171">
        <v>85.747898985426403</v>
      </c>
      <c r="AE43" s="170">
        <f t="shared" si="16"/>
        <v>0</v>
      </c>
      <c r="AF43" s="173">
        <f t="shared" si="17"/>
        <v>2664.6988559108399</v>
      </c>
    </row>
    <row r="44" spans="1:32">
      <c r="A44" s="451">
        <f t="shared" si="19"/>
        <v>33</v>
      </c>
      <c r="B44" s="451">
        <f t="shared" si="18"/>
        <v>34</v>
      </c>
      <c r="C44" s="170">
        <f t="shared" si="20"/>
        <v>4.2441732815029791</v>
      </c>
      <c r="D44" s="171">
        <f t="shared" si="21"/>
        <v>7.7914124514090437</v>
      </c>
      <c r="E44" s="171">
        <f>IF(A44=0,0,E43*(1+C44*'CALCULETTE CHRONOS'!$C$5))</f>
        <v>82.286657286717372</v>
      </c>
      <c r="F44" s="171">
        <v>82.286657286717372</v>
      </c>
      <c r="G44" s="171">
        <f t="shared" si="22"/>
        <v>0</v>
      </c>
      <c r="H44" s="172">
        <f t="shared" si="23"/>
        <v>2719.6968653054628</v>
      </c>
      <c r="I44" s="451">
        <f t="shared" si="3"/>
        <v>33</v>
      </c>
      <c r="J44" s="451">
        <f t="shared" si="4"/>
        <v>34</v>
      </c>
      <c r="K44" s="170">
        <f t="shared" si="0"/>
        <v>43.527608300939363</v>
      </c>
      <c r="L44" s="170">
        <f t="shared" si="5"/>
        <v>47.074847470845427</v>
      </c>
      <c r="M44" s="171">
        <f>(IF(I44=0,0,M43*(1+K44*'CALCULETTE CHRONOS'!$C$5)))</f>
        <v>83.075557906391609</v>
      </c>
      <c r="N44" s="171">
        <v>83.075557906391609</v>
      </c>
      <c r="O44" s="170">
        <f t="shared" si="6"/>
        <v>0</v>
      </c>
      <c r="P44" s="173">
        <f t="shared" si="7"/>
        <v>2743.8741636534751</v>
      </c>
      <c r="Q44" s="451">
        <f t="shared" si="8"/>
        <v>33</v>
      </c>
      <c r="R44" s="451">
        <f t="shared" si="9"/>
        <v>34</v>
      </c>
      <c r="S44" s="170">
        <f t="shared" si="1"/>
        <v>43.527608300939363</v>
      </c>
      <c r="T44" s="170">
        <f t="shared" si="10"/>
        <v>47.074847470845427</v>
      </c>
      <c r="U44" s="171">
        <f>(IF(Q44=0,0,U43*(1+S44*'CALCULETTE CHRONOS'!$C$5)))</f>
        <v>83.621785406790323</v>
      </c>
      <c r="V44" s="171">
        <v>83.621785406790323</v>
      </c>
      <c r="W44" s="170">
        <f t="shared" si="11"/>
        <v>0</v>
      </c>
      <c r="X44" s="173">
        <f t="shared" si="12"/>
        <v>2761.6490344971817</v>
      </c>
      <c r="Y44" s="451">
        <f t="shared" si="13"/>
        <v>33</v>
      </c>
      <c r="Z44" s="451">
        <f t="shared" si="14"/>
        <v>34</v>
      </c>
      <c r="AA44" s="170">
        <f t="shared" si="2"/>
        <v>4.9411073930998972</v>
      </c>
      <c r="AB44" s="170">
        <f t="shared" si="15"/>
        <v>8.4883465630059618</v>
      </c>
      <c r="AC44" s="171">
        <f>(IF(Y44=0,0,AC43*(1+AA44*'CALCULETTE CHRONOS'!$C$5)))</f>
        <v>85.758143220907229</v>
      </c>
      <c r="AD44" s="171">
        <v>85.758143220907229</v>
      </c>
      <c r="AE44" s="170">
        <f t="shared" si="16"/>
        <v>0</v>
      </c>
      <c r="AF44" s="173">
        <f t="shared" si="17"/>
        <v>2750.4569991317471</v>
      </c>
    </row>
    <row r="45" spans="1:32">
      <c r="A45" s="451">
        <f t="shared" si="19"/>
        <v>34</v>
      </c>
      <c r="B45" s="451">
        <f t="shared" si="18"/>
        <v>33</v>
      </c>
      <c r="C45" s="170">
        <f t="shared" si="20"/>
        <v>7.7914124514090437</v>
      </c>
      <c r="D45" s="171">
        <f t="shared" si="21"/>
        <v>4.2441732815029791</v>
      </c>
      <c r="E45" s="171">
        <f>IF(A45=0,0,E44*(1+C45*'CALCULETTE CHRONOS'!$C$5))</f>
        <v>82.302158917458613</v>
      </c>
      <c r="F45" s="171">
        <v>82.302158917458613</v>
      </c>
      <c r="G45" s="171">
        <f t="shared" si="22"/>
        <v>0</v>
      </c>
      <c r="H45" s="172">
        <f t="shared" si="23"/>
        <v>2801.9990242229214</v>
      </c>
      <c r="I45" s="451">
        <f t="shared" si="3"/>
        <v>34</v>
      </c>
      <c r="J45" s="451">
        <f t="shared" si="4"/>
        <v>33</v>
      </c>
      <c r="K45" s="170">
        <f t="shared" si="0"/>
        <v>47.074847470845427</v>
      </c>
      <c r="L45" s="170">
        <f t="shared" si="5"/>
        <v>43.527608300939363</v>
      </c>
      <c r="M45" s="171">
        <f>(IF(I45=0,0,M44*(1+K45*'CALCULETTE CHRONOS'!$C$5)))</f>
        <v>83.170114966291976</v>
      </c>
      <c r="N45" s="171">
        <v>83.170114966291976</v>
      </c>
      <c r="O45" s="170">
        <f t="shared" si="6"/>
        <v>0</v>
      </c>
      <c r="P45" s="173">
        <f t="shared" si="7"/>
        <v>2827.0442786197673</v>
      </c>
      <c r="Q45" s="451">
        <f t="shared" si="8"/>
        <v>34</v>
      </c>
      <c r="R45" s="451">
        <f t="shared" si="9"/>
        <v>33</v>
      </c>
      <c r="S45" s="170">
        <f t="shared" si="1"/>
        <v>47.074847470845427</v>
      </c>
      <c r="T45" s="170">
        <f t="shared" si="10"/>
        <v>43.527608300939363</v>
      </c>
      <c r="U45" s="171">
        <f>(IF(Q45=0,0,U44*(1+S45*'CALCULETTE CHRONOS'!$C$5)))</f>
        <v>83.71696418585546</v>
      </c>
      <c r="V45" s="171">
        <v>83.71696418585546</v>
      </c>
      <c r="W45" s="170">
        <f t="shared" si="11"/>
        <v>0</v>
      </c>
      <c r="X45" s="173">
        <f t="shared" si="12"/>
        <v>2845.3659986830371</v>
      </c>
      <c r="Y45" s="451">
        <f t="shared" si="13"/>
        <v>34</v>
      </c>
      <c r="Z45" s="451">
        <f t="shared" si="14"/>
        <v>33</v>
      </c>
      <c r="AA45" s="170">
        <f t="shared" si="2"/>
        <v>8.4883465630059618</v>
      </c>
      <c r="AB45" s="170">
        <f t="shared" si="15"/>
        <v>4.9411073930998972</v>
      </c>
      <c r="AC45" s="171">
        <f>(IF(Y45=0,0,AC44*(1+AA45*'CALCULETTE CHRONOS'!$C$5)))</f>
        <v>85.775743933208361</v>
      </c>
      <c r="AD45" s="171">
        <v>85.775743933208361</v>
      </c>
      <c r="AE45" s="170">
        <f t="shared" si="16"/>
        <v>0</v>
      </c>
      <c r="AF45" s="173">
        <f t="shared" si="17"/>
        <v>2836.2327430649557</v>
      </c>
    </row>
    <row r="46" spans="1:32">
      <c r="A46" s="451">
        <f t="shared" si="19"/>
        <v>35</v>
      </c>
      <c r="B46" s="451">
        <f t="shared" si="18"/>
        <v>32</v>
      </c>
      <c r="C46" s="170">
        <f t="shared" si="20"/>
        <v>11.338651621315108</v>
      </c>
      <c r="D46" s="171">
        <f t="shared" si="21"/>
        <v>61</v>
      </c>
      <c r="E46" s="171">
        <f>IF(A46=0,0,E45*(1+C46*'CALCULETTE CHRONOS'!$C$5))</f>
        <v>82.3247223106478</v>
      </c>
      <c r="F46" s="171">
        <v>82.3247223106478</v>
      </c>
      <c r="G46" s="171">
        <f t="shared" si="22"/>
        <v>40.5</v>
      </c>
      <c r="H46" s="172">
        <f t="shared" si="23"/>
        <v>2924.8237465335692</v>
      </c>
      <c r="I46" s="451">
        <f t="shared" si="3"/>
        <v>35</v>
      </c>
      <c r="J46" s="451">
        <f t="shared" si="4"/>
        <v>32</v>
      </c>
      <c r="K46" s="170">
        <f t="shared" si="0"/>
        <v>50.62208664075149</v>
      </c>
      <c r="L46" s="170">
        <f t="shared" si="5"/>
        <v>39.980369131033299</v>
      </c>
      <c r="M46" s="171">
        <f>(IF(I46=0,0,M45*(1+K46*'CALCULETTE CHRONOS'!$C$5)))</f>
        <v>83.271912936056935</v>
      </c>
      <c r="N46" s="171">
        <v>83.271912936056935</v>
      </c>
      <c r="O46" s="170">
        <f t="shared" si="6"/>
        <v>0</v>
      </c>
      <c r="P46" s="173">
        <f t="shared" si="7"/>
        <v>2910.3161915558244</v>
      </c>
      <c r="Q46" s="451">
        <f t="shared" si="8"/>
        <v>35</v>
      </c>
      <c r="R46" s="451">
        <f t="shared" si="9"/>
        <v>32</v>
      </c>
      <c r="S46" s="170">
        <f t="shared" si="1"/>
        <v>50.62208664075149</v>
      </c>
      <c r="T46" s="170">
        <f t="shared" si="10"/>
        <v>39.980369131033299</v>
      </c>
      <c r="U46" s="171">
        <f>(IF(Q46=0,0,U45*(1+S46*'CALCULETTE CHRONOS'!$C$5)))</f>
        <v>83.819431484264996</v>
      </c>
      <c r="V46" s="171">
        <v>83.819431484264996</v>
      </c>
      <c r="W46" s="170">
        <f t="shared" si="11"/>
        <v>0</v>
      </c>
      <c r="X46" s="173">
        <f t="shared" si="12"/>
        <v>2929.185430167302</v>
      </c>
      <c r="Y46" s="451">
        <f t="shared" si="13"/>
        <v>35</v>
      </c>
      <c r="Z46" s="451">
        <f t="shared" si="14"/>
        <v>32</v>
      </c>
      <c r="AA46" s="170">
        <f t="shared" si="2"/>
        <v>12.035585732912025</v>
      </c>
      <c r="AB46" s="170">
        <f t="shared" si="15"/>
        <v>114</v>
      </c>
      <c r="AC46" s="171">
        <f>(IF(Y46=0,0,AC45*(1+AA46*'CALCULETTE CHRONOS'!$C$5)))</f>
        <v>85.800705020337077</v>
      </c>
      <c r="AD46" s="171">
        <v>85.800705020337077</v>
      </c>
      <c r="AE46" s="170">
        <f t="shared" si="16"/>
        <v>40.5</v>
      </c>
      <c r="AF46" s="173">
        <f t="shared" si="17"/>
        <v>2962.5334480852925</v>
      </c>
    </row>
    <row r="47" spans="1:32">
      <c r="A47" s="451">
        <f t="shared" si="19"/>
        <v>36</v>
      </c>
      <c r="B47" s="451">
        <f t="shared" si="18"/>
        <v>31</v>
      </c>
      <c r="C47" s="170">
        <f t="shared" si="20"/>
        <v>14.885890791221172</v>
      </c>
      <c r="D47" s="171">
        <f t="shared" si="21"/>
        <v>57.452760830093936</v>
      </c>
      <c r="E47" s="171">
        <f>IF(A47=0,0,E46*(1+C47*'CALCULETTE CHRONOS'!$C$5))</f>
        <v>82.354352667027243</v>
      </c>
      <c r="F47" s="171">
        <v>82.354352667027243</v>
      </c>
      <c r="G47" s="171">
        <f t="shared" si="22"/>
        <v>0</v>
      </c>
      <c r="H47" s="172">
        <f t="shared" si="23"/>
        <v>3007.1780992005965</v>
      </c>
      <c r="I47" s="451">
        <f t="shared" si="3"/>
        <v>36</v>
      </c>
      <c r="J47" s="451">
        <f t="shared" si="4"/>
        <v>31</v>
      </c>
      <c r="K47" s="170">
        <f t="shared" si="0"/>
        <v>54.169325810657554</v>
      </c>
      <c r="L47" s="170">
        <f t="shared" si="5"/>
        <v>36.433129961127236</v>
      </c>
      <c r="M47" s="171">
        <f>(IF(I47=0,0,M46*(1+K47*'CALCULETTE CHRONOS'!$C$5)))</f>
        <v>83.380977519224487</v>
      </c>
      <c r="N47" s="171">
        <v>83.380977519224487</v>
      </c>
      <c r="O47" s="170">
        <f t="shared" si="6"/>
        <v>0</v>
      </c>
      <c r="P47" s="173">
        <f t="shared" si="7"/>
        <v>2993.6971690750488</v>
      </c>
      <c r="Q47" s="451">
        <f t="shared" si="8"/>
        <v>36</v>
      </c>
      <c r="R47" s="451">
        <f t="shared" si="9"/>
        <v>31</v>
      </c>
      <c r="S47" s="170">
        <f t="shared" si="1"/>
        <v>54.169325810657554</v>
      </c>
      <c r="T47" s="170">
        <f t="shared" si="10"/>
        <v>36.433129961127236</v>
      </c>
      <c r="U47" s="171">
        <f>(IF(Q47=0,0,U46*(1+S47*'CALCULETTE CHRONOS'!$C$5)))</f>
        <v>83.92921317455945</v>
      </c>
      <c r="V47" s="171">
        <v>83.92921317455945</v>
      </c>
      <c r="W47" s="170">
        <f t="shared" si="11"/>
        <v>0</v>
      </c>
      <c r="X47" s="173">
        <f t="shared" si="12"/>
        <v>3013.1146433418617</v>
      </c>
      <c r="Y47" s="451">
        <f t="shared" si="13"/>
        <v>36</v>
      </c>
      <c r="Z47" s="451">
        <f t="shared" si="14"/>
        <v>31</v>
      </c>
      <c r="AA47" s="170">
        <f t="shared" si="2"/>
        <v>15.582824902818089</v>
      </c>
      <c r="AB47" s="170">
        <f t="shared" si="15"/>
        <v>110.45276083009394</v>
      </c>
      <c r="AC47" s="171">
        <f>(IF(Y47=0,0,AC46*(1+AA47*'CALCULETTE CHRONOS'!$C$5)))</f>
        <v>85.833032274606964</v>
      </c>
      <c r="AD47" s="171">
        <v>85.833032274606964</v>
      </c>
      <c r="AE47" s="170">
        <f t="shared" si="16"/>
        <v>0</v>
      </c>
      <c r="AF47" s="173">
        <f t="shared" si="17"/>
        <v>3048.3664803598995</v>
      </c>
    </row>
    <row r="48" spans="1:32">
      <c r="A48" s="451">
        <f t="shared" si="19"/>
        <v>37</v>
      </c>
      <c r="B48" s="451">
        <f t="shared" si="18"/>
        <v>30</v>
      </c>
      <c r="C48" s="170">
        <f t="shared" si="20"/>
        <v>18.433129961127236</v>
      </c>
      <c r="D48" s="171">
        <f t="shared" si="21"/>
        <v>53.905521660187873</v>
      </c>
      <c r="E48" s="171">
        <f>IF(A48=0,0,E47*(1+C48*'CALCULETTE CHRONOS'!$C$5))</f>
        <v>82.391057006664141</v>
      </c>
      <c r="F48" s="171">
        <v>82.391057006664141</v>
      </c>
      <c r="G48" s="171">
        <f t="shared" si="22"/>
        <v>0</v>
      </c>
      <c r="H48" s="172">
        <f t="shared" si="23"/>
        <v>3089.5691562072607</v>
      </c>
      <c r="I48" s="451">
        <f t="shared" si="3"/>
        <v>37</v>
      </c>
      <c r="J48" s="451">
        <f t="shared" si="4"/>
        <v>30</v>
      </c>
      <c r="K48" s="170">
        <f t="shared" si="0"/>
        <v>57.716564980563618</v>
      </c>
      <c r="L48" s="170">
        <f t="shared" si="5"/>
        <v>32.885890791221172</v>
      </c>
      <c r="M48" s="171">
        <f>(IF(I48=0,0,M47*(1+K48*'CALCULETTE CHRONOS'!$C$5)))</f>
        <v>83.497336318304193</v>
      </c>
      <c r="N48" s="171">
        <v>83.497336318304193</v>
      </c>
      <c r="O48" s="170">
        <f t="shared" si="6"/>
        <v>0</v>
      </c>
      <c r="P48" s="173">
        <f t="shared" si="7"/>
        <v>3077.1945053933532</v>
      </c>
      <c r="Q48" s="451">
        <f t="shared" si="8"/>
        <v>37</v>
      </c>
      <c r="R48" s="451">
        <f t="shared" si="9"/>
        <v>30</v>
      </c>
      <c r="S48" s="170">
        <f t="shared" si="1"/>
        <v>57.716564980563618</v>
      </c>
      <c r="T48" s="170">
        <f t="shared" si="10"/>
        <v>32.885890791221172</v>
      </c>
      <c r="U48" s="171">
        <f>(IF(Q48=0,0,U47*(1+S48*'CALCULETTE CHRONOS'!$C$5)))</f>
        <v>84.046337040736773</v>
      </c>
      <c r="V48" s="171">
        <v>84.046337040736773</v>
      </c>
      <c r="W48" s="170">
        <f t="shared" si="11"/>
        <v>0</v>
      </c>
      <c r="X48" s="173">
        <f t="shared" si="12"/>
        <v>3097.1609803825986</v>
      </c>
      <c r="Y48" s="451">
        <f t="shared" si="13"/>
        <v>37</v>
      </c>
      <c r="Z48" s="451">
        <f t="shared" si="14"/>
        <v>30</v>
      </c>
      <c r="AA48" s="170">
        <f t="shared" si="2"/>
        <v>19.130064072724153</v>
      </c>
      <c r="AB48" s="170">
        <f t="shared" si="15"/>
        <v>106.90552166018787</v>
      </c>
      <c r="AC48" s="171">
        <f>(IF(Y48=0,0,AC47*(1+AA48*'CALCULETTE CHRONOS'!$C$5)))</f>
        <v>85.872733384851415</v>
      </c>
      <c r="AD48" s="171">
        <v>85.872733384851415</v>
      </c>
      <c r="AE48" s="170">
        <f t="shared" si="16"/>
        <v>0</v>
      </c>
      <c r="AF48" s="173">
        <f t="shared" si="17"/>
        <v>3134.2392137447509</v>
      </c>
    </row>
    <row r="49" spans="1:32">
      <c r="A49" s="451">
        <f t="shared" si="19"/>
        <v>38</v>
      </c>
      <c r="B49" s="451">
        <f t="shared" si="18"/>
        <v>29</v>
      </c>
      <c r="C49" s="170">
        <f t="shared" si="20"/>
        <v>21.980369131033299</v>
      </c>
      <c r="D49" s="171">
        <f t="shared" si="21"/>
        <v>50.358282490281809</v>
      </c>
      <c r="E49" s="171">
        <f>IF(A49=0,0,E48*(1+C49*'CALCULETTE CHRONOS'!$C$5))</f>
        <v>82.434844171701727</v>
      </c>
      <c r="F49" s="171">
        <v>82.434844171701727</v>
      </c>
      <c r="G49" s="171">
        <f t="shared" si="22"/>
        <v>0</v>
      </c>
      <c r="H49" s="172">
        <f t="shared" si="23"/>
        <v>3172.0040003789622</v>
      </c>
      <c r="I49" s="451">
        <f t="shared" si="3"/>
        <v>38</v>
      </c>
      <c r="J49" s="451">
        <f t="shared" si="4"/>
        <v>29</v>
      </c>
      <c r="K49" s="170">
        <f t="shared" si="0"/>
        <v>61.263804150469682</v>
      </c>
      <c r="L49" s="170">
        <f t="shared" si="5"/>
        <v>29.338651621315108</v>
      </c>
      <c r="M49" s="171">
        <f>(IF(I49=0,0,M48*(1+K49*'CALCULETTE CHRONOS'!$C$5)))</f>
        <v>83.621018846408106</v>
      </c>
      <c r="N49" s="171">
        <v>83.621018846408106</v>
      </c>
      <c r="O49" s="170">
        <f t="shared" si="6"/>
        <v>0</v>
      </c>
      <c r="P49" s="173">
        <f t="shared" si="7"/>
        <v>3160.8155242397615</v>
      </c>
      <c r="Q49" s="451">
        <f t="shared" si="8"/>
        <v>38</v>
      </c>
      <c r="R49" s="451">
        <f t="shared" si="9"/>
        <v>29</v>
      </c>
      <c r="S49" s="170">
        <f t="shared" si="1"/>
        <v>61.263804150469682</v>
      </c>
      <c r="T49" s="170">
        <f t="shared" si="10"/>
        <v>29.338651621315108</v>
      </c>
      <c r="U49" s="171">
        <f>(IF(Q49=0,0,U48*(1+S49*'CALCULETTE CHRONOS'!$C$5)))</f>
        <v>84.170832789959775</v>
      </c>
      <c r="V49" s="171">
        <v>84.170832789959775</v>
      </c>
      <c r="W49" s="170">
        <f t="shared" si="11"/>
        <v>0</v>
      </c>
      <c r="X49" s="173">
        <f t="shared" si="12"/>
        <v>3181.3318131725582</v>
      </c>
      <c r="Y49" s="451">
        <f t="shared" si="13"/>
        <v>38</v>
      </c>
      <c r="Z49" s="451">
        <f t="shared" si="14"/>
        <v>29</v>
      </c>
      <c r="AA49" s="170">
        <f t="shared" si="2"/>
        <v>22.677303242630217</v>
      </c>
      <c r="AB49" s="170">
        <f t="shared" si="15"/>
        <v>103.35828249028181</v>
      </c>
      <c r="AC49" s="171">
        <f>(IF(Y49=0,0,AC48*(1+AA49*'CALCULETTE CHRONOS'!$C$5)))</f>
        <v>85.919817939450681</v>
      </c>
      <c r="AD49" s="171">
        <v>85.919817939450681</v>
      </c>
      <c r="AE49" s="170">
        <f t="shared" si="16"/>
        <v>0</v>
      </c>
      <c r="AF49" s="173">
        <f t="shared" si="17"/>
        <v>3220.1590316842016</v>
      </c>
    </row>
    <row r="50" spans="1:32">
      <c r="A50" s="451">
        <f t="shared" si="19"/>
        <v>39</v>
      </c>
      <c r="B50" s="451">
        <f t="shared" si="18"/>
        <v>28</v>
      </c>
      <c r="C50" s="170">
        <f t="shared" si="20"/>
        <v>25.527608300939363</v>
      </c>
      <c r="D50" s="171">
        <f t="shared" si="21"/>
        <v>46.811043320375745</v>
      </c>
      <c r="E50" s="171">
        <f>IF(A50=0,0,E49*(1+C50*'CALCULETTE CHRONOS'!$C$5))</f>
        <v>82.485724829892234</v>
      </c>
      <c r="F50" s="171">
        <v>82.485724829892234</v>
      </c>
      <c r="G50" s="171">
        <f t="shared" si="22"/>
        <v>0</v>
      </c>
      <c r="H50" s="172">
        <f t="shared" si="23"/>
        <v>3254.4897252088545</v>
      </c>
      <c r="I50" s="451">
        <f t="shared" si="3"/>
        <v>39</v>
      </c>
      <c r="J50" s="451">
        <f t="shared" si="4"/>
        <v>28</v>
      </c>
      <c r="K50" s="170">
        <f t="shared" si="0"/>
        <v>64.811043320375745</v>
      </c>
      <c r="L50" s="170">
        <f t="shared" si="5"/>
        <v>25.791412451409045</v>
      </c>
      <c r="M50" s="171">
        <f>(IF(I50=0,0,M49*(1+K50*'CALCULETTE CHRONOS'!$C$5)))</f>
        <v>83.75205653971436</v>
      </c>
      <c r="N50" s="171">
        <v>83.75205653971436</v>
      </c>
      <c r="O50" s="170">
        <f t="shared" si="6"/>
        <v>0</v>
      </c>
      <c r="P50" s="173">
        <f t="shared" si="7"/>
        <v>3244.567580779476</v>
      </c>
      <c r="Q50" s="451">
        <f t="shared" si="8"/>
        <v>39</v>
      </c>
      <c r="R50" s="451">
        <f t="shared" si="9"/>
        <v>28</v>
      </c>
      <c r="S50" s="170">
        <f t="shared" si="1"/>
        <v>64.811043320375745</v>
      </c>
      <c r="T50" s="170">
        <f t="shared" si="10"/>
        <v>25.791412451409045</v>
      </c>
      <c r="U50" s="171">
        <f>(IF(Q50=0,0,U49*(1+S50*'CALCULETTE CHRONOS'!$C$5)))</f>
        <v>84.302732065101608</v>
      </c>
      <c r="V50" s="171">
        <v>84.302732065101608</v>
      </c>
      <c r="W50" s="170">
        <f t="shared" si="11"/>
        <v>0</v>
      </c>
      <c r="X50" s="173">
        <f t="shared" si="12"/>
        <v>3265.6345452376599</v>
      </c>
      <c r="Y50" s="451">
        <f t="shared" si="13"/>
        <v>39</v>
      </c>
      <c r="Z50" s="451">
        <f t="shared" si="14"/>
        <v>28</v>
      </c>
      <c r="AA50" s="170">
        <f t="shared" si="2"/>
        <v>26.22454241253628</v>
      </c>
      <c r="AB50" s="170">
        <f t="shared" si="15"/>
        <v>99.811043320375745</v>
      </c>
      <c r="AC50" s="171">
        <f>(IF(Y50=0,0,AC49*(1+AA50*'CALCULETTE CHRONOS'!$C$5)))</f>
        <v>85.974297430174104</v>
      </c>
      <c r="AD50" s="171">
        <v>85.974297430174104</v>
      </c>
      <c r="AE50" s="170">
        <f t="shared" si="16"/>
        <v>0</v>
      </c>
      <c r="AF50" s="173">
        <f t="shared" si="17"/>
        <v>3306.1333291143756</v>
      </c>
    </row>
    <row r="51" spans="1:32">
      <c r="A51" s="451">
        <f t="shared" si="19"/>
        <v>40</v>
      </c>
      <c r="B51" s="451">
        <f t="shared" si="18"/>
        <v>27</v>
      </c>
      <c r="C51" s="170">
        <f t="shared" si="20"/>
        <v>29.074847470845427</v>
      </c>
      <c r="D51" s="171">
        <f t="shared" si="21"/>
        <v>43.263804150469682</v>
      </c>
      <c r="E51" s="171">
        <f>IF(A51=0,0,E50*(1+C51*'CALCULETTE CHRONOS'!$C$5))</f>
        <v>82.543711478913821</v>
      </c>
      <c r="F51" s="171">
        <v>82.543711478913821</v>
      </c>
      <c r="G51" s="171">
        <f t="shared" si="22"/>
        <v>0</v>
      </c>
      <c r="H51" s="172">
        <f t="shared" si="23"/>
        <v>3337.0334366877682</v>
      </c>
      <c r="I51" s="451">
        <f t="shared" si="3"/>
        <v>40</v>
      </c>
      <c r="J51" s="451">
        <f t="shared" si="4"/>
        <v>27</v>
      </c>
      <c r="K51" s="170">
        <f t="shared" si="0"/>
        <v>68.358282490281809</v>
      </c>
      <c r="L51" s="170">
        <f t="shared" si="5"/>
        <v>22.244173281502981</v>
      </c>
      <c r="M51" s="171">
        <f>(IF(I51=0,0,M50*(1+K51*'CALCULETTE CHRONOS'!$C$5)))</f>
        <v>83.89048277077076</v>
      </c>
      <c r="N51" s="171">
        <v>83.89048277077076</v>
      </c>
      <c r="O51" s="170">
        <f t="shared" si="6"/>
        <v>0</v>
      </c>
      <c r="P51" s="173">
        <f t="shared" si="7"/>
        <v>3328.4580635502466</v>
      </c>
      <c r="Q51" s="451">
        <f t="shared" si="8"/>
        <v>40</v>
      </c>
      <c r="R51" s="451">
        <f t="shared" si="9"/>
        <v>27</v>
      </c>
      <c r="S51" s="170">
        <f t="shared" si="1"/>
        <v>68.358282490281809</v>
      </c>
      <c r="T51" s="170">
        <f t="shared" si="10"/>
        <v>22.244173281502981</v>
      </c>
      <c r="U51" s="171">
        <f>(IF(Q51=0,0,U50*(1+S51*'CALCULETTE CHRONOS'!$C$5)))</f>
        <v>84.442068458136873</v>
      </c>
      <c r="V51" s="171">
        <v>84.442068458136873</v>
      </c>
      <c r="W51" s="170">
        <f t="shared" si="11"/>
        <v>0</v>
      </c>
      <c r="X51" s="173">
        <f t="shared" si="12"/>
        <v>3350.0766136957968</v>
      </c>
      <c r="Y51" s="451">
        <f t="shared" si="13"/>
        <v>40</v>
      </c>
      <c r="Z51" s="451">
        <f t="shared" si="14"/>
        <v>27</v>
      </c>
      <c r="AA51" s="170">
        <f t="shared" si="2"/>
        <v>29.771781582442344</v>
      </c>
      <c r="AB51" s="170">
        <f t="shared" si="15"/>
        <v>96.263804150469682</v>
      </c>
      <c r="AC51" s="171">
        <f>(IF(Y51=0,0,AC50*(1+AA51*'CALCULETTE CHRONOS'!$C$5)))</f>
        <v>86.036185256839715</v>
      </c>
      <c r="AD51" s="171">
        <v>86.036185256839715</v>
      </c>
      <c r="AE51" s="170">
        <f t="shared" si="16"/>
        <v>0</v>
      </c>
      <c r="AF51" s="173">
        <f t="shared" si="17"/>
        <v>3392.1695143712154</v>
      </c>
    </row>
    <row r="52" spans="1:32">
      <c r="A52" s="451">
        <f t="shared" si="19"/>
        <v>41</v>
      </c>
      <c r="B52" s="451">
        <f t="shared" si="18"/>
        <v>26</v>
      </c>
      <c r="C52" s="170">
        <f t="shared" si="20"/>
        <v>32.62208664075149</v>
      </c>
      <c r="D52" s="171">
        <f t="shared" si="21"/>
        <v>39.716564980563618</v>
      </c>
      <c r="E52" s="171">
        <f>IF(A52=0,0,E51*(1+C52*'CALCULETTE CHRONOS'!$C$5))</f>
        <v>82.608818451473624</v>
      </c>
      <c r="F52" s="171">
        <v>82.608818451473624</v>
      </c>
      <c r="G52" s="171">
        <f t="shared" si="22"/>
        <v>0</v>
      </c>
      <c r="H52" s="172">
        <f t="shared" si="23"/>
        <v>3419.642255139242</v>
      </c>
      <c r="I52" s="451">
        <f t="shared" si="3"/>
        <v>41</v>
      </c>
      <c r="J52" s="451">
        <f t="shared" si="4"/>
        <v>26</v>
      </c>
      <c r="K52" s="170">
        <f t="shared" si="0"/>
        <v>71.905521660187873</v>
      </c>
      <c r="L52" s="170">
        <f t="shared" si="5"/>
        <v>18.696934111596917</v>
      </c>
      <c r="M52" s="171">
        <f>(IF(I52=0,0,M51*(1+K52*'CALCULETTE CHRONOS'!$C$5)))</f>
        <v>84.036332862645992</v>
      </c>
      <c r="N52" s="171">
        <v>84.036332862645992</v>
      </c>
      <c r="O52" s="170">
        <f t="shared" si="6"/>
        <v>0</v>
      </c>
      <c r="P52" s="173">
        <f t="shared" si="7"/>
        <v>3412.4943964128925</v>
      </c>
      <c r="Q52" s="451">
        <f t="shared" si="8"/>
        <v>41</v>
      </c>
      <c r="R52" s="451">
        <f t="shared" si="9"/>
        <v>26</v>
      </c>
      <c r="S52" s="170">
        <f t="shared" si="1"/>
        <v>71.905521660187873</v>
      </c>
      <c r="T52" s="170">
        <f t="shared" si="10"/>
        <v>18.696934111596917</v>
      </c>
      <c r="U52" s="171">
        <f>(IF(Q52=0,0,U51*(1+S52*'CALCULETTE CHRONOS'!$C$5)))</f>
        <v>84.588877524385865</v>
      </c>
      <c r="V52" s="171">
        <v>84.588877524385865</v>
      </c>
      <c r="W52" s="170">
        <f t="shared" si="11"/>
        <v>0</v>
      </c>
      <c r="X52" s="173">
        <f t="shared" si="12"/>
        <v>3434.6654912201825</v>
      </c>
      <c r="Y52" s="451">
        <f t="shared" si="13"/>
        <v>41</v>
      </c>
      <c r="Z52" s="451">
        <f t="shared" si="14"/>
        <v>26</v>
      </c>
      <c r="AA52" s="170">
        <f t="shared" si="2"/>
        <v>33.319020752348408</v>
      </c>
      <c r="AB52" s="170">
        <f t="shared" si="15"/>
        <v>92.716564980563618</v>
      </c>
      <c r="AC52" s="171">
        <f>(IF(Y52=0,0,AC51*(1+AA52*'CALCULETTE CHRONOS'!$C$5)))</f>
        <v>86.105496732793924</v>
      </c>
      <c r="AD52" s="171">
        <v>86.105496732793924</v>
      </c>
      <c r="AE52" s="170">
        <f t="shared" si="16"/>
        <v>0</v>
      </c>
      <c r="AF52" s="173">
        <f t="shared" si="17"/>
        <v>3478.2750111040095</v>
      </c>
    </row>
    <row r="53" spans="1:32">
      <c r="A53" s="451">
        <f t="shared" si="19"/>
        <v>42</v>
      </c>
      <c r="B53" s="451">
        <f t="shared" si="18"/>
        <v>25</v>
      </c>
      <c r="C53" s="170">
        <f t="shared" si="20"/>
        <v>36.169325810657554</v>
      </c>
      <c r="D53" s="171">
        <f t="shared" si="21"/>
        <v>36.169325810657554</v>
      </c>
      <c r="E53" s="171">
        <f>IF(A53=0,0,E52*(1+C53*'CALCULETTE CHRONOS'!$C$5))</f>
        <v>82.681061921200154</v>
      </c>
      <c r="F53" s="171">
        <v>82.681061921200154</v>
      </c>
      <c r="G53" s="171">
        <f t="shared" si="22"/>
        <v>0</v>
      </c>
      <c r="H53" s="172">
        <f t="shared" si="23"/>
        <v>3502.3233170604422</v>
      </c>
      <c r="I53" s="451">
        <f t="shared" si="3"/>
        <v>42</v>
      </c>
      <c r="J53" s="451">
        <f t="shared" si="4"/>
        <v>25</v>
      </c>
      <c r="K53" s="170">
        <f t="shared" si="0"/>
        <v>75.452760830093936</v>
      </c>
      <c r="L53" s="170">
        <f t="shared" si="5"/>
        <v>15.149694941690854</v>
      </c>
      <c r="M53" s="171">
        <f>(IF(I53=0,0,M52*(1+K53*'CALCULETTE CHRONOS'!$C$5)))</f>
        <v>84.189644103937226</v>
      </c>
      <c r="N53" s="171">
        <v>84.189644103937226</v>
      </c>
      <c r="O53" s="170">
        <f t="shared" si="6"/>
        <v>0</v>
      </c>
      <c r="P53" s="173">
        <f t="shared" si="7"/>
        <v>3496.6840405168296</v>
      </c>
      <c r="Q53" s="451">
        <f t="shared" si="8"/>
        <v>42</v>
      </c>
      <c r="R53" s="451">
        <f t="shared" si="9"/>
        <v>25</v>
      </c>
      <c r="S53" s="170">
        <f t="shared" si="1"/>
        <v>75.452760830093936</v>
      </c>
      <c r="T53" s="170">
        <f t="shared" si="10"/>
        <v>15.149694941690854</v>
      </c>
      <c r="U53" s="171">
        <f>(IF(Q53=0,0,U52*(1+S53*'CALCULETTE CHRONOS'!$C$5)))</f>
        <v>84.74319679762084</v>
      </c>
      <c r="V53" s="171">
        <v>84.74319679762084</v>
      </c>
      <c r="W53" s="170">
        <f t="shared" si="11"/>
        <v>0</v>
      </c>
      <c r="X53" s="173">
        <f t="shared" si="12"/>
        <v>3519.4086880178033</v>
      </c>
      <c r="Y53" s="451">
        <f t="shared" si="13"/>
        <v>42</v>
      </c>
      <c r="Z53" s="451">
        <f t="shared" si="14"/>
        <v>25</v>
      </c>
      <c r="AA53" s="170">
        <f t="shared" si="2"/>
        <v>36.866259922254471</v>
      </c>
      <c r="AB53" s="170">
        <f t="shared" si="15"/>
        <v>89.169325810657554</v>
      </c>
      <c r="AC53" s="171">
        <f>(IF(Y53=0,0,AC52*(1+AA53*'CALCULETTE CHRONOS'!$C$5)))</f>
        <v>86.182249091214203</v>
      </c>
      <c r="AD53" s="171">
        <v>86.182249091214203</v>
      </c>
      <c r="AE53" s="170">
        <f t="shared" si="16"/>
        <v>0</v>
      </c>
      <c r="AF53" s="173">
        <f t="shared" si="17"/>
        <v>3564.4572601952236</v>
      </c>
    </row>
    <row r="54" spans="1:32">
      <c r="A54" s="451">
        <f t="shared" si="19"/>
        <v>43</v>
      </c>
      <c r="B54" s="451">
        <f t="shared" si="18"/>
        <v>24</v>
      </c>
      <c r="C54" s="170">
        <f t="shared" si="20"/>
        <v>39.716564980563618</v>
      </c>
      <c r="D54" s="171">
        <f t="shared" si="21"/>
        <v>32.62208664075149</v>
      </c>
      <c r="E54" s="171">
        <f>IF(A54=0,0,E53*(1+C54*'CALCULETTE CHRONOS'!$C$5))</f>
        <v>82.760459909328276</v>
      </c>
      <c r="F54" s="171">
        <v>82.760459909328276</v>
      </c>
      <c r="G54" s="171">
        <f t="shared" si="22"/>
        <v>0</v>
      </c>
      <c r="H54" s="172">
        <f t="shared" si="23"/>
        <v>3585.0837769697705</v>
      </c>
      <c r="I54" s="451">
        <f t="shared" si="3"/>
        <v>43</v>
      </c>
      <c r="J54" s="451">
        <f t="shared" si="4"/>
        <v>24</v>
      </c>
      <c r="K54" s="170">
        <f t="shared" si="0"/>
        <v>79</v>
      </c>
      <c r="L54" s="170">
        <f t="shared" si="5"/>
        <v>11.60245577178479</v>
      </c>
      <c r="M54" s="171">
        <f>(IF(I54=0,0,M53*(1+K54*'CALCULETTE CHRONOS'!$C$5)))</f>
        <v>84.350455764642746</v>
      </c>
      <c r="N54" s="171">
        <v>84.350455764642746</v>
      </c>
      <c r="O54" s="170">
        <f t="shared" si="6"/>
        <v>0</v>
      </c>
      <c r="P54" s="173">
        <f t="shared" si="7"/>
        <v>3581.0344962814725</v>
      </c>
      <c r="Q54" s="451">
        <f t="shared" si="8"/>
        <v>43</v>
      </c>
      <c r="R54" s="451">
        <f t="shared" si="9"/>
        <v>24</v>
      </c>
      <c r="S54" s="170">
        <f t="shared" si="1"/>
        <v>79</v>
      </c>
      <c r="T54" s="170">
        <f t="shared" si="10"/>
        <v>11.60245577178479</v>
      </c>
      <c r="U54" s="171">
        <f>(IF(Q54=0,0,U53*(1+S54*'CALCULETTE CHRONOS'!$C$5)))</f>
        <v>84.905065806043012</v>
      </c>
      <c r="V54" s="171">
        <v>84.905065806043012</v>
      </c>
      <c r="W54" s="170">
        <f t="shared" si="11"/>
        <v>0</v>
      </c>
      <c r="X54" s="173">
        <f t="shared" si="12"/>
        <v>3604.3137538238461</v>
      </c>
      <c r="Y54" s="451">
        <f t="shared" si="13"/>
        <v>43</v>
      </c>
      <c r="Z54" s="451">
        <f t="shared" si="14"/>
        <v>24</v>
      </c>
      <c r="AA54" s="170">
        <f t="shared" si="2"/>
        <v>40.413499092160535</v>
      </c>
      <c r="AB54" s="170">
        <f t="shared" si="15"/>
        <v>85.62208664075149</v>
      </c>
      <c r="AC54" s="171">
        <f>(IF(Y54=0,0,AC53*(1+AA54*'CALCULETTE CHRONOS'!$C$5)))</f>
        <v>86.266461492238577</v>
      </c>
      <c r="AD54" s="171">
        <v>86.266461492238577</v>
      </c>
      <c r="AE54" s="170">
        <f t="shared" si="16"/>
        <v>0</v>
      </c>
      <c r="AF54" s="173">
        <f t="shared" si="17"/>
        <v>3650.7237216874623</v>
      </c>
    </row>
    <row r="55" spans="1:32">
      <c r="A55" s="451">
        <f t="shared" si="19"/>
        <v>44</v>
      </c>
      <c r="B55" s="451">
        <f t="shared" si="18"/>
        <v>23</v>
      </c>
      <c r="C55" s="170">
        <f t="shared" si="20"/>
        <v>43.263804150469682</v>
      </c>
      <c r="D55" s="171">
        <f t="shared" si="21"/>
        <v>29.074847470845427</v>
      </c>
      <c r="E55" s="171">
        <f>IF(A55=0,0,E54*(1+C55*'CALCULETTE CHRONOS'!$C$5))</f>
        <v>82.847032292180543</v>
      </c>
      <c r="F55" s="171">
        <v>82.847032292180543</v>
      </c>
      <c r="G55" s="171">
        <f t="shared" si="22"/>
        <v>0</v>
      </c>
      <c r="H55" s="172">
        <f t="shared" si="23"/>
        <v>3667.9308092619513</v>
      </c>
      <c r="I55" s="451">
        <f t="shared" si="3"/>
        <v>44</v>
      </c>
      <c r="J55" s="451">
        <f t="shared" si="4"/>
        <v>23</v>
      </c>
      <c r="K55" s="170">
        <f t="shared" si="0"/>
        <v>3.960738262066597</v>
      </c>
      <c r="L55" s="170">
        <f t="shared" si="5"/>
        <v>8.0552166018787261</v>
      </c>
      <c r="M55" s="171">
        <f>(IF(I55=0,0,M54*(1+K55*'CALCULETTE CHRONOS'!$C$5)))</f>
        <v>84.358533606551589</v>
      </c>
      <c r="N55" s="171">
        <v>84.358533606551589</v>
      </c>
      <c r="O55" s="170">
        <f t="shared" si="6"/>
        <v>0</v>
      </c>
      <c r="P55" s="173">
        <f t="shared" si="7"/>
        <v>3665.3930298880241</v>
      </c>
      <c r="Q55" s="451">
        <f t="shared" si="8"/>
        <v>44</v>
      </c>
      <c r="R55" s="451">
        <f t="shared" si="9"/>
        <v>23</v>
      </c>
      <c r="S55" s="170">
        <f t="shared" si="1"/>
        <v>3.960738262066597</v>
      </c>
      <c r="T55" s="170">
        <f t="shared" si="10"/>
        <v>8.0552166018787261</v>
      </c>
      <c r="U55" s="171">
        <f>(IF(Q55=0,0,U54*(1+S55*'CALCULETTE CHRONOS'!$C$5)))</f>
        <v>84.913196760317334</v>
      </c>
      <c r="V55" s="171">
        <v>84.913196760317334</v>
      </c>
      <c r="W55" s="170">
        <f t="shared" si="11"/>
        <v>0</v>
      </c>
      <c r="X55" s="173">
        <f t="shared" si="12"/>
        <v>3689.2269505841637</v>
      </c>
      <c r="Y55" s="451">
        <f t="shared" si="13"/>
        <v>44</v>
      </c>
      <c r="Z55" s="451">
        <f t="shared" si="14"/>
        <v>23</v>
      </c>
      <c r="AA55" s="170">
        <f t="shared" si="2"/>
        <v>43.960738262066599</v>
      </c>
      <c r="AB55" s="170">
        <f t="shared" si="15"/>
        <v>82.074847470845427</v>
      </c>
      <c r="AC55" s="171">
        <f>(IF(Y55=0,0,AC54*(1+AA55*'CALCULETTE CHRONOS'!$C$5)))</f>
        <v>86.358155030926</v>
      </c>
      <c r="AD55" s="171">
        <v>86.358155030926</v>
      </c>
      <c r="AE55" s="170">
        <f t="shared" si="16"/>
        <v>0</v>
      </c>
      <c r="AF55" s="173">
        <f t="shared" si="17"/>
        <v>3737.0818767183882</v>
      </c>
    </row>
    <row r="56" spans="1:32">
      <c r="A56" s="451">
        <f t="shared" si="19"/>
        <v>45</v>
      </c>
      <c r="B56" s="451">
        <f t="shared" si="18"/>
        <v>22</v>
      </c>
      <c r="C56" s="170">
        <f t="shared" si="20"/>
        <v>46.811043320375745</v>
      </c>
      <c r="D56" s="171">
        <f t="shared" si="21"/>
        <v>25.527608300939363</v>
      </c>
      <c r="E56" s="171">
        <f>IF(A56=0,0,E55*(1+C56*'CALCULETTE CHRONOS'!$C$5))</f>
        <v>82.940800809449385</v>
      </c>
      <c r="F56" s="171">
        <v>82.940800809449385</v>
      </c>
      <c r="G56" s="171">
        <f t="shared" si="22"/>
        <v>0</v>
      </c>
      <c r="H56" s="172">
        <f t="shared" si="23"/>
        <v>3750.8716100714005</v>
      </c>
      <c r="I56" s="451">
        <f t="shared" si="3"/>
        <v>45</v>
      </c>
      <c r="J56" s="451">
        <f t="shared" si="4"/>
        <v>22</v>
      </c>
      <c r="K56" s="170">
        <f t="shared" si="0"/>
        <v>7.5079774319726615</v>
      </c>
      <c r="L56" s="170">
        <f t="shared" si="5"/>
        <v>4.5079774319726615</v>
      </c>
      <c r="M56" s="171">
        <f>(IF(I56=0,0,M55*(1+K56*'CALCULETTE CHRONOS'!$C$5)))</f>
        <v>84.373847434109052</v>
      </c>
      <c r="N56" s="171">
        <v>84.373847434109052</v>
      </c>
      <c r="O56" s="170">
        <f t="shared" si="6"/>
        <v>0</v>
      </c>
      <c r="P56" s="173">
        <f t="shared" si="7"/>
        <v>3749.766877322133</v>
      </c>
      <c r="Q56" s="451">
        <f t="shared" si="8"/>
        <v>45</v>
      </c>
      <c r="R56" s="451">
        <f t="shared" si="9"/>
        <v>22</v>
      </c>
      <c r="S56" s="170">
        <f t="shared" si="1"/>
        <v>7.5079774319726615</v>
      </c>
      <c r="T56" s="170">
        <f t="shared" si="10"/>
        <v>4.5079774319726615</v>
      </c>
      <c r="U56" s="171">
        <f>(IF(Q56=0,0,U55*(1+S56*'CALCULETTE CHRONOS'!$C$5)))</f>
        <v>84.928611277343023</v>
      </c>
      <c r="V56" s="171">
        <v>84.928611277343023</v>
      </c>
      <c r="W56" s="170">
        <f t="shared" si="11"/>
        <v>0</v>
      </c>
      <c r="X56" s="173">
        <f t="shared" si="12"/>
        <v>3774.1555618615066</v>
      </c>
      <c r="Y56" s="451">
        <f t="shared" si="13"/>
        <v>45</v>
      </c>
      <c r="Z56" s="451">
        <f t="shared" si="14"/>
        <v>22</v>
      </c>
      <c r="AA56" s="170">
        <f t="shared" si="2"/>
        <v>47.507977431972662</v>
      </c>
      <c r="AB56" s="170">
        <f t="shared" si="15"/>
        <v>78.527608300939363</v>
      </c>
      <c r="AC56" s="171">
        <f>(IF(Y56=0,0,AC55*(1+AA56*'CALCULETTE CHRONOS'!$C$5)))</f>
        <v>86.457352746052251</v>
      </c>
      <c r="AD56" s="171">
        <v>86.457352746052251</v>
      </c>
      <c r="AE56" s="170">
        <f t="shared" si="16"/>
        <v>0</v>
      </c>
      <c r="AF56" s="173">
        <f t="shared" si="17"/>
        <v>3823.5392294644403</v>
      </c>
    </row>
    <row r="57" spans="1:32">
      <c r="A57" s="451">
        <f t="shared" si="19"/>
        <v>46</v>
      </c>
      <c r="B57" s="451">
        <f t="shared" si="18"/>
        <v>21</v>
      </c>
      <c r="C57" s="170">
        <f t="shared" si="20"/>
        <v>50.358282490281809</v>
      </c>
      <c r="D57" s="171">
        <f t="shared" si="21"/>
        <v>21.980369131033299</v>
      </c>
      <c r="E57" s="171">
        <f>IF(A57=0,0,E56*(1+C57*'CALCULETTE CHRONOS'!$C$5))</f>
        <v>83.041789073284889</v>
      </c>
      <c r="F57" s="171">
        <v>83.041789073284889</v>
      </c>
      <c r="G57" s="171">
        <f t="shared" si="22"/>
        <v>0</v>
      </c>
      <c r="H57" s="172">
        <f t="shared" si="23"/>
        <v>3833.9133991446852</v>
      </c>
      <c r="I57" s="451">
        <f t="shared" si="3"/>
        <v>46</v>
      </c>
      <c r="J57" s="451">
        <f t="shared" si="4"/>
        <v>21</v>
      </c>
      <c r="K57" s="170">
        <f t="shared" si="0"/>
        <v>11.055216601878726</v>
      </c>
      <c r="L57" s="170">
        <f t="shared" si="5"/>
        <v>75</v>
      </c>
      <c r="M57" s="171">
        <f>(IF(I57=0,0,M56*(1+K57*'CALCULETTE CHRONOS'!$C$5)))</f>
        <v>84.396400567125369</v>
      </c>
      <c r="N57" s="171">
        <v>84.396400567125369</v>
      </c>
      <c r="O57" s="170">
        <f t="shared" si="6"/>
        <v>40.5</v>
      </c>
      <c r="P57" s="173">
        <f t="shared" si="7"/>
        <v>3874.6632778892586</v>
      </c>
      <c r="Q57" s="451">
        <f t="shared" si="8"/>
        <v>46</v>
      </c>
      <c r="R57" s="451">
        <f t="shared" si="9"/>
        <v>21</v>
      </c>
      <c r="S57" s="170">
        <f t="shared" si="1"/>
        <v>11.055216601878726</v>
      </c>
      <c r="T57" s="170">
        <f t="shared" si="10"/>
        <v>75</v>
      </c>
      <c r="U57" s="171">
        <f>(IF(Q57=0,0,U56*(1+S57*'CALCULETTE CHRONOS'!$C$5)))</f>
        <v>84.951312698758287</v>
      </c>
      <c r="V57" s="171">
        <v>84.951312698758287</v>
      </c>
      <c r="W57" s="170">
        <f t="shared" si="11"/>
        <v>40.5</v>
      </c>
      <c r="X57" s="173">
        <f t="shared" si="12"/>
        <v>3899.6068745602647</v>
      </c>
      <c r="Y57" s="451">
        <f t="shared" si="13"/>
        <v>46</v>
      </c>
      <c r="Z57" s="451">
        <f t="shared" si="14"/>
        <v>21</v>
      </c>
      <c r="AA57" s="170">
        <f t="shared" si="2"/>
        <v>51.055216601878726</v>
      </c>
      <c r="AB57" s="170">
        <f t="shared" si="15"/>
        <v>74.980369131033299</v>
      </c>
      <c r="AC57" s="171">
        <f>(IF(Y57=0,0,AC56*(1+AA57*'CALCULETTE CHRONOS'!$C$5)))</f>
        <v>86.564079629746402</v>
      </c>
      <c r="AD57" s="171">
        <v>86.564079629746402</v>
      </c>
      <c r="AE57" s="170">
        <f t="shared" si="16"/>
        <v>0</v>
      </c>
      <c r="AF57" s="173">
        <f t="shared" si="17"/>
        <v>3910.1033090941864</v>
      </c>
    </row>
    <row r="58" spans="1:32">
      <c r="A58" s="451">
        <f t="shared" si="19"/>
        <v>47</v>
      </c>
      <c r="B58" s="451">
        <f t="shared" si="18"/>
        <v>20</v>
      </c>
      <c r="C58" s="170">
        <f t="shared" si="20"/>
        <v>53.905521660187873</v>
      </c>
      <c r="D58" s="171">
        <f t="shared" si="21"/>
        <v>18.433129961127236</v>
      </c>
      <c r="E58" s="171">
        <f>IF(A58=0,0,E57*(1+C58*'CALCULETTE CHRONOS'!$C$5))</f>
        <v>83.150022578193557</v>
      </c>
      <c r="F58" s="171">
        <v>83.150022578193557</v>
      </c>
      <c r="G58" s="171">
        <f t="shared" si="22"/>
        <v>0</v>
      </c>
      <c r="H58" s="172">
        <f t="shared" si="23"/>
        <v>3917.063421722879</v>
      </c>
      <c r="I58" s="451">
        <f t="shared" si="3"/>
        <v>47</v>
      </c>
      <c r="J58" s="451">
        <f t="shared" si="4"/>
        <v>20</v>
      </c>
      <c r="K58" s="170">
        <f t="shared" si="0"/>
        <v>14.60245577178479</v>
      </c>
      <c r="L58" s="170">
        <f t="shared" si="5"/>
        <v>71.452760830093936</v>
      </c>
      <c r="M58" s="171">
        <f>(IF(I58=0,0,M57*(1+K58*'CALCULETTE CHRONOS'!$C$5)))</f>
        <v>84.42619818841797</v>
      </c>
      <c r="N58" s="171">
        <v>84.42619818841797</v>
      </c>
      <c r="O58" s="170">
        <f t="shared" si="6"/>
        <v>0</v>
      </c>
      <c r="P58" s="173">
        <f t="shared" si="7"/>
        <v>3959.0894760776764</v>
      </c>
      <c r="Q58" s="451">
        <f t="shared" si="8"/>
        <v>47</v>
      </c>
      <c r="R58" s="451">
        <f t="shared" si="9"/>
        <v>20</v>
      </c>
      <c r="S58" s="170">
        <f t="shared" si="1"/>
        <v>14.60245577178479</v>
      </c>
      <c r="T58" s="170">
        <f t="shared" si="10"/>
        <v>71.452760830093936</v>
      </c>
      <c r="U58" s="171">
        <f>(IF(Q58=0,0,U57*(1+S58*'CALCULETTE CHRONOS'!$C$5)))</f>
        <v>84.981306241457943</v>
      </c>
      <c r="V58" s="171">
        <v>84.981306241457943</v>
      </c>
      <c r="W58" s="170">
        <f t="shared" si="11"/>
        <v>0</v>
      </c>
      <c r="X58" s="173">
        <f t="shared" si="12"/>
        <v>3984.5881808017225</v>
      </c>
      <c r="Y58" s="451">
        <f t="shared" si="13"/>
        <v>47</v>
      </c>
      <c r="Z58" s="451">
        <f t="shared" si="14"/>
        <v>20</v>
      </c>
      <c r="AA58" s="170">
        <f t="shared" si="2"/>
        <v>54.60245577178479</v>
      </c>
      <c r="AB58" s="170">
        <f t="shared" si="15"/>
        <v>71.433129961127236</v>
      </c>
      <c r="AC58" s="171">
        <f>(IF(Y58=0,0,AC57*(1+AA58*'CALCULETTE CHRONOS'!$C$5)))</f>
        <v>86.678362637973521</v>
      </c>
      <c r="AD58" s="171">
        <v>86.678362637973521</v>
      </c>
      <c r="AE58" s="170">
        <f t="shared" si="16"/>
        <v>0</v>
      </c>
      <c r="AF58" s="173">
        <f t="shared" si="17"/>
        <v>3996.7816717321598</v>
      </c>
    </row>
    <row r="59" spans="1:32">
      <c r="A59" s="451">
        <f t="shared" si="19"/>
        <v>48</v>
      </c>
      <c r="B59" s="451">
        <f t="shared" si="18"/>
        <v>19</v>
      </c>
      <c r="C59" s="170">
        <f t="shared" si="20"/>
        <v>57.452760830093936</v>
      </c>
      <c r="D59" s="171">
        <f t="shared" si="21"/>
        <v>14.885890791221172</v>
      </c>
      <c r="E59" s="171">
        <f>IF(A59=0,0,E58*(1+C59*'CALCULETTE CHRONOS'!$C$5))</f>
        <v>83.265528711753703</v>
      </c>
      <c r="F59" s="171">
        <v>83.265528711753703</v>
      </c>
      <c r="G59" s="171">
        <f t="shared" si="22"/>
        <v>0</v>
      </c>
      <c r="H59" s="172">
        <f t="shared" si="23"/>
        <v>4000.3289504346326</v>
      </c>
      <c r="I59" s="451">
        <f t="shared" si="3"/>
        <v>48</v>
      </c>
      <c r="J59" s="451">
        <f t="shared" si="4"/>
        <v>19</v>
      </c>
      <c r="K59" s="170">
        <f t="shared" si="0"/>
        <v>18.149694941690854</v>
      </c>
      <c r="L59" s="170">
        <f t="shared" si="5"/>
        <v>67.905521660187873</v>
      </c>
      <c r="M59" s="171">
        <f>(IF(I59=0,0,M58*(1+K59*'CALCULETTE CHRONOS'!$C$5)))</f>
        <v>84.463247345767869</v>
      </c>
      <c r="N59" s="171">
        <v>84.463247345767869</v>
      </c>
      <c r="O59" s="170">
        <f t="shared" si="6"/>
        <v>0</v>
      </c>
      <c r="P59" s="173">
        <f t="shared" si="7"/>
        <v>4043.5527234234441</v>
      </c>
      <c r="Q59" s="451">
        <f t="shared" si="8"/>
        <v>48</v>
      </c>
      <c r="R59" s="451">
        <f t="shared" si="9"/>
        <v>19</v>
      </c>
      <c r="S59" s="170">
        <f t="shared" si="1"/>
        <v>18.149694941690854</v>
      </c>
      <c r="T59" s="170">
        <f t="shared" si="10"/>
        <v>67.905521660187873</v>
      </c>
      <c r="U59" s="171">
        <f>(IF(Q59=0,0,U58*(1+S59*'CALCULETTE CHRONOS'!$C$5)))</f>
        <v>85.018598999562641</v>
      </c>
      <c r="V59" s="171">
        <v>85.018598999562641</v>
      </c>
      <c r="W59" s="170">
        <f t="shared" si="11"/>
        <v>0</v>
      </c>
      <c r="X59" s="173">
        <f t="shared" si="12"/>
        <v>4069.606779801285</v>
      </c>
      <c r="Y59" s="451">
        <f t="shared" si="13"/>
        <v>48</v>
      </c>
      <c r="Z59" s="451">
        <f t="shared" si="14"/>
        <v>19</v>
      </c>
      <c r="AA59" s="170">
        <f t="shared" si="2"/>
        <v>58.149694941690854</v>
      </c>
      <c r="AB59" s="170">
        <f t="shared" si="15"/>
        <v>67.885890791221172</v>
      </c>
      <c r="AC59" s="171">
        <f>(IF(Y59=0,0,AC58*(1+AA59*'CALCULETTE CHRONOS'!$C$5)))</f>
        <v>86.800230701869879</v>
      </c>
      <c r="AD59" s="171">
        <v>86.800230701869879</v>
      </c>
      <c r="AE59" s="170">
        <f t="shared" si="16"/>
        <v>0</v>
      </c>
      <c r="AF59" s="173">
        <f t="shared" si="17"/>
        <v>4083.5819024340299</v>
      </c>
    </row>
    <row r="60" spans="1:32">
      <c r="A60" s="451">
        <f t="shared" si="19"/>
        <v>49</v>
      </c>
      <c r="B60" s="451">
        <f t="shared" si="18"/>
        <v>18</v>
      </c>
      <c r="C60" s="170">
        <f t="shared" si="20"/>
        <v>61</v>
      </c>
      <c r="D60" s="171">
        <f t="shared" si="21"/>
        <v>11.338651621315108</v>
      </c>
      <c r="E60" s="171">
        <f>IF(A60=0,0,E59*(1+C60*'CALCULETTE CHRONOS'!$C$5))</f>
        <v>83.388336766153955</v>
      </c>
      <c r="F60" s="171">
        <v>83.388336766153955</v>
      </c>
      <c r="G60" s="171">
        <f t="shared" si="22"/>
        <v>0</v>
      </c>
      <c r="H60" s="172">
        <f t="shared" si="23"/>
        <v>4083.7172872007864</v>
      </c>
      <c r="I60" s="451">
        <f t="shared" si="3"/>
        <v>49</v>
      </c>
      <c r="J60" s="451">
        <f t="shared" si="4"/>
        <v>18</v>
      </c>
      <c r="K60" s="170">
        <f t="shared" si="0"/>
        <v>21.696934111596917</v>
      </c>
      <c r="L60" s="170">
        <f t="shared" si="5"/>
        <v>64.358282490281809</v>
      </c>
      <c r="M60" s="171">
        <f>(IF(I60=0,0,M59*(1+K60*'CALCULETTE CHRONOS'!$C$5)))</f>
        <v>84.507556954676133</v>
      </c>
      <c r="N60" s="171">
        <v>84.507556954676133</v>
      </c>
      <c r="O60" s="170">
        <f t="shared" si="6"/>
        <v>0</v>
      </c>
      <c r="P60" s="173">
        <f t="shared" si="7"/>
        <v>4128.0602803781203</v>
      </c>
      <c r="Q60" s="451">
        <f t="shared" si="8"/>
        <v>49</v>
      </c>
      <c r="R60" s="451">
        <f t="shared" si="9"/>
        <v>18</v>
      </c>
      <c r="S60" s="170">
        <f t="shared" si="1"/>
        <v>21.696934111596917</v>
      </c>
      <c r="T60" s="170">
        <f t="shared" si="10"/>
        <v>64.358282490281809</v>
      </c>
      <c r="U60" s="171">
        <f>(IF(Q60=0,0,U59*(1+S60*'CALCULETTE CHRONOS'!$C$5)))</f>
        <v>85.063199947193482</v>
      </c>
      <c r="V60" s="171">
        <v>85.063199947193482</v>
      </c>
      <c r="W60" s="170">
        <f t="shared" si="11"/>
        <v>0</v>
      </c>
      <c r="X60" s="173">
        <f t="shared" si="12"/>
        <v>4154.6699797484789</v>
      </c>
      <c r="Y60" s="451">
        <f t="shared" si="13"/>
        <v>49</v>
      </c>
      <c r="Z60" s="451">
        <f t="shared" si="14"/>
        <v>18</v>
      </c>
      <c r="AA60" s="170">
        <f t="shared" si="2"/>
        <v>61.696934111596917</v>
      </c>
      <c r="AB60" s="170">
        <f t="shared" si="15"/>
        <v>64.338651621315108</v>
      </c>
      <c r="AC60" s="171">
        <f>(IF(Y60=0,0,AC59*(1+AA60*'CALCULETTE CHRONOS'!$C$5)))</f>
        <v>86.929714739937168</v>
      </c>
      <c r="AD60" s="171">
        <v>86.929714739937168</v>
      </c>
      <c r="AE60" s="170">
        <f t="shared" si="16"/>
        <v>0</v>
      </c>
      <c r="AF60" s="173">
        <f t="shared" si="17"/>
        <v>4170.5116171739674</v>
      </c>
    </row>
    <row r="61" spans="1:32">
      <c r="A61" s="451">
        <f t="shared" si="19"/>
        <v>50</v>
      </c>
      <c r="B61" s="451">
        <f t="shared" si="18"/>
        <v>17</v>
      </c>
      <c r="C61" s="170">
        <f t="shared" si="20"/>
        <v>6.24417328150298</v>
      </c>
      <c r="D61" s="171">
        <f t="shared" si="21"/>
        <v>7.7914124514090437</v>
      </c>
      <c r="E61" s="171">
        <f>IF(A61=0,0,E60*(1+C61*'CALCULETTE CHRONOS'!$C$5))</f>
        <v>83.400926369008417</v>
      </c>
      <c r="F61" s="171">
        <v>83.400926369008417</v>
      </c>
      <c r="G61" s="171">
        <f t="shared" si="22"/>
        <v>0</v>
      </c>
      <c r="H61" s="172">
        <f t="shared" si="23"/>
        <v>4167.1182135697945</v>
      </c>
      <c r="I61" s="451">
        <f t="shared" si="3"/>
        <v>50</v>
      </c>
      <c r="J61" s="451">
        <f t="shared" si="4"/>
        <v>17</v>
      </c>
      <c r="K61" s="170">
        <f t="shared" si="0"/>
        <v>25.244173281502981</v>
      </c>
      <c r="L61" s="170">
        <f t="shared" si="5"/>
        <v>60.811043320375745</v>
      </c>
      <c r="M61" s="171">
        <f>(IF(I61=0,0,M60*(1+K61*'CALCULETTE CHRONOS'!$C$5)))</f>
        <v>84.559137801921736</v>
      </c>
      <c r="N61" s="171">
        <v>84.559137801921736</v>
      </c>
      <c r="O61" s="170">
        <f t="shared" si="6"/>
        <v>0</v>
      </c>
      <c r="P61" s="173">
        <f t="shared" si="7"/>
        <v>4212.619418180042</v>
      </c>
      <c r="Q61" s="451">
        <f t="shared" si="8"/>
        <v>50</v>
      </c>
      <c r="R61" s="451">
        <f t="shared" si="9"/>
        <v>17</v>
      </c>
      <c r="S61" s="170">
        <f t="shared" si="1"/>
        <v>25.244173281502981</v>
      </c>
      <c r="T61" s="170">
        <f t="shared" si="10"/>
        <v>60.811043320375745</v>
      </c>
      <c r="U61" s="171">
        <f>(IF(Q61=0,0,U60*(1+S61*'CALCULETTE CHRONOS'!$C$5)))</f>
        <v>85.115119942053255</v>
      </c>
      <c r="V61" s="171">
        <v>85.115119942053255</v>
      </c>
      <c r="W61" s="170">
        <f t="shared" si="11"/>
        <v>0</v>
      </c>
      <c r="X61" s="173">
        <f t="shared" si="12"/>
        <v>4239.7850996905318</v>
      </c>
      <c r="Y61" s="451">
        <f t="shared" si="13"/>
        <v>50</v>
      </c>
      <c r="Z61" s="451">
        <f t="shared" si="14"/>
        <v>17</v>
      </c>
      <c r="AA61" s="170">
        <f t="shared" si="2"/>
        <v>65.244173281502981</v>
      </c>
      <c r="AB61" s="170">
        <f t="shared" si="15"/>
        <v>60.791412451409045</v>
      </c>
      <c r="AC61" s="171">
        <f>(IF(Y61=0,0,AC60*(1+AA61*'CALCULETTE CHRONOS'!$C$5)))</f>
        <v>87.066847671102963</v>
      </c>
      <c r="AD61" s="171">
        <v>87.066847671102963</v>
      </c>
      <c r="AE61" s="170">
        <f t="shared" si="16"/>
        <v>0</v>
      </c>
      <c r="AF61" s="173">
        <f t="shared" si="17"/>
        <v>4257.5784648450699</v>
      </c>
    </row>
    <row r="62" spans="1:32">
      <c r="A62" s="451">
        <f t="shared" si="19"/>
        <v>51</v>
      </c>
      <c r="B62" s="451">
        <f t="shared" si="18"/>
        <v>16</v>
      </c>
      <c r="C62" s="170">
        <f t="shared" si="20"/>
        <v>9.7914124514090446</v>
      </c>
      <c r="D62" s="171">
        <f t="shared" si="21"/>
        <v>4.2441732815029791</v>
      </c>
      <c r="E62" s="171">
        <f>IF(A62=0,0,E61*(1+C62*'CALCULETTE CHRONOS'!$C$5))</f>
        <v>83.42067095317492</v>
      </c>
      <c r="F62" s="171">
        <v>83.42067095317492</v>
      </c>
      <c r="G62" s="171">
        <f t="shared" si="22"/>
        <v>0</v>
      </c>
      <c r="H62" s="172">
        <f t="shared" si="23"/>
        <v>4250.5388845229691</v>
      </c>
      <c r="I62" s="451">
        <f t="shared" si="3"/>
        <v>51</v>
      </c>
      <c r="J62" s="451">
        <f t="shared" si="4"/>
        <v>16</v>
      </c>
      <c r="K62" s="170">
        <f t="shared" si="0"/>
        <v>28.791412451409045</v>
      </c>
      <c r="L62" s="170">
        <f t="shared" si="5"/>
        <v>57.263804150469682</v>
      </c>
      <c r="M62" s="171">
        <f>(IF(I62=0,0,M61*(1+K62*'CALCULETTE CHRONOS'!$C$5)))</f>
        <v>84.61800254992292</v>
      </c>
      <c r="N62" s="171">
        <v>84.61800254992292</v>
      </c>
      <c r="O62" s="170">
        <f t="shared" si="6"/>
        <v>0</v>
      </c>
      <c r="P62" s="173">
        <f t="shared" si="7"/>
        <v>4297.2374207299645</v>
      </c>
      <c r="Q62" s="451">
        <f t="shared" si="8"/>
        <v>51</v>
      </c>
      <c r="R62" s="451">
        <f t="shared" si="9"/>
        <v>16</v>
      </c>
      <c r="S62" s="170">
        <f t="shared" si="1"/>
        <v>28.791412451409045</v>
      </c>
      <c r="T62" s="170">
        <f t="shared" si="10"/>
        <v>57.263804150469682</v>
      </c>
      <c r="U62" s="171">
        <f>(IF(Q62=0,0,U61*(1+S62*'CALCULETTE CHRONOS'!$C$5)))</f>
        <v>85.174371729816471</v>
      </c>
      <c r="V62" s="171">
        <v>85.174371729816471</v>
      </c>
      <c r="W62" s="170">
        <f t="shared" si="11"/>
        <v>0</v>
      </c>
      <c r="X62" s="173">
        <f t="shared" si="12"/>
        <v>4324.9594714203486</v>
      </c>
      <c r="Y62" s="451">
        <f t="shared" si="13"/>
        <v>51</v>
      </c>
      <c r="Z62" s="451">
        <f t="shared" si="14"/>
        <v>16</v>
      </c>
      <c r="AA62" s="170">
        <f t="shared" si="2"/>
        <v>68.791412451409045</v>
      </c>
      <c r="AB62" s="170">
        <f t="shared" si="15"/>
        <v>57.244173281502981</v>
      </c>
      <c r="AC62" s="171">
        <f>(IF(Y62=0,0,AC61*(1+AA62*'CALCULETTE CHRONOS'!$C$5)))</f>
        <v>87.21166442865524</v>
      </c>
      <c r="AD62" s="171">
        <v>87.21166442865524</v>
      </c>
      <c r="AE62" s="170">
        <f t="shared" si="16"/>
        <v>0</v>
      </c>
      <c r="AF62" s="173">
        <f t="shared" si="17"/>
        <v>4344.7901292737251</v>
      </c>
    </row>
    <row r="63" spans="1:32">
      <c r="A63" s="451">
        <f t="shared" si="19"/>
        <v>52</v>
      </c>
      <c r="B63" s="451">
        <f t="shared" si="18"/>
        <v>15</v>
      </c>
      <c r="C63" s="170">
        <f t="shared" si="20"/>
        <v>13.338651621315108</v>
      </c>
      <c r="D63" s="171">
        <f t="shared" si="21"/>
        <v>54</v>
      </c>
      <c r="E63" s="171">
        <f>IF(A63=0,0,E62*(1+C63*'CALCULETTE CHRONOS'!$C$5))</f>
        <v>83.447574985764234</v>
      </c>
      <c r="F63" s="171">
        <v>83.447574985764234</v>
      </c>
      <c r="G63" s="171">
        <f t="shared" si="22"/>
        <v>40.5</v>
      </c>
      <c r="H63" s="172">
        <f t="shared" si="23"/>
        <v>4374.4864595087329</v>
      </c>
      <c r="I63" s="451">
        <f t="shared" si="3"/>
        <v>52</v>
      </c>
      <c r="J63" s="451">
        <f t="shared" si="4"/>
        <v>15</v>
      </c>
      <c r="K63" s="170">
        <f t="shared" si="0"/>
        <v>32.338651621315108</v>
      </c>
      <c r="L63" s="170">
        <f t="shared" si="5"/>
        <v>53.716564980563618</v>
      </c>
      <c r="M63" s="171">
        <f>(IF(I63=0,0,M62*(1+K63*'CALCULETTE CHRONOS'!$C$5)))</f>
        <v>84.684165741904323</v>
      </c>
      <c r="N63" s="171">
        <v>84.684165741904323</v>
      </c>
      <c r="O63" s="170">
        <f t="shared" si="6"/>
        <v>0</v>
      </c>
      <c r="P63" s="173">
        <f t="shared" si="7"/>
        <v>4381.921586471869</v>
      </c>
      <c r="Q63" s="451">
        <f t="shared" si="8"/>
        <v>52</v>
      </c>
      <c r="R63" s="451">
        <f t="shared" si="9"/>
        <v>15</v>
      </c>
      <c r="S63" s="170">
        <f t="shared" si="1"/>
        <v>32.338651621315108</v>
      </c>
      <c r="T63" s="170">
        <f t="shared" si="10"/>
        <v>53.716564980563618</v>
      </c>
      <c r="U63" s="171">
        <f>(IF(Q63=0,0,U62*(1+S63*'CALCULETTE CHRONOS'!$C$5)))</f>
        <v>85.240969949330449</v>
      </c>
      <c r="V63" s="171">
        <v>85.240969949330449</v>
      </c>
      <c r="W63" s="170">
        <f t="shared" si="11"/>
        <v>0</v>
      </c>
      <c r="X63" s="173">
        <f t="shared" si="12"/>
        <v>4410.2004413696786</v>
      </c>
      <c r="Y63" s="451">
        <f t="shared" si="13"/>
        <v>52</v>
      </c>
      <c r="Z63" s="451">
        <f t="shared" si="14"/>
        <v>15</v>
      </c>
      <c r="AA63" s="170">
        <f t="shared" si="2"/>
        <v>72.338651621315108</v>
      </c>
      <c r="AB63" s="170">
        <f t="shared" si="15"/>
        <v>53.696934111596917</v>
      </c>
      <c r="AC63" s="171">
        <f>(IF(Y63=0,0,AC62*(1+AA63*'CALCULETTE CHRONOS'!$C$5)))</f>
        <v>87.364201975059046</v>
      </c>
      <c r="AD63" s="171">
        <v>87.364201975059046</v>
      </c>
      <c r="AE63" s="170">
        <f t="shared" si="16"/>
        <v>0</v>
      </c>
      <c r="AF63" s="173">
        <f t="shared" si="17"/>
        <v>4432.1543312487838</v>
      </c>
    </row>
    <row r="64" spans="1:32">
      <c r="A64" s="451">
        <f t="shared" si="19"/>
        <v>53</v>
      </c>
      <c r="B64" s="451">
        <f t="shared" si="18"/>
        <v>14</v>
      </c>
      <c r="C64" s="170">
        <f t="shared" si="20"/>
        <v>16.885890791221172</v>
      </c>
      <c r="D64" s="171">
        <f t="shared" si="21"/>
        <v>50.452760830093936</v>
      </c>
      <c r="E64" s="171">
        <f>IF(A64=0,0,E63*(1+C64*'CALCULETTE CHRONOS'!$C$5))</f>
        <v>83.481644776703376</v>
      </c>
      <c r="F64" s="171">
        <v>83.481644776703376</v>
      </c>
      <c r="G64" s="171">
        <f t="shared" si="22"/>
        <v>0</v>
      </c>
      <c r="H64" s="172">
        <f t="shared" si="23"/>
        <v>4457.9681042854363</v>
      </c>
      <c r="I64" s="451">
        <f t="shared" si="3"/>
        <v>53</v>
      </c>
      <c r="J64" s="451">
        <f t="shared" si="4"/>
        <v>14</v>
      </c>
      <c r="K64" s="170">
        <f t="shared" si="0"/>
        <v>35.885890791221172</v>
      </c>
      <c r="L64" s="170">
        <f t="shared" si="5"/>
        <v>50.169325810657554</v>
      </c>
      <c r="M64" s="171">
        <f>(IF(I64=0,0,M63*(1+K64*'CALCULETTE CHRONOS'!$C$5)))</f>
        <v>84.757643807872981</v>
      </c>
      <c r="N64" s="171">
        <v>84.757643807872981</v>
      </c>
      <c r="O64" s="170">
        <f t="shared" si="6"/>
        <v>0</v>
      </c>
      <c r="P64" s="173">
        <f t="shared" si="7"/>
        <v>4466.6792302797421</v>
      </c>
      <c r="Q64" s="451">
        <f t="shared" si="8"/>
        <v>53</v>
      </c>
      <c r="R64" s="451">
        <f t="shared" si="9"/>
        <v>14</v>
      </c>
      <c r="S64" s="170">
        <f t="shared" si="1"/>
        <v>35.885890791221172</v>
      </c>
      <c r="T64" s="170">
        <f t="shared" si="10"/>
        <v>50.169325810657554</v>
      </c>
      <c r="U64" s="171">
        <f>(IF(Q64=0,0,U63*(1+S64*'CALCULETTE CHRONOS'!$C$5)))</f>
        <v>85.314931138630683</v>
      </c>
      <c r="V64" s="171">
        <v>85.314931138630683</v>
      </c>
      <c r="W64" s="170">
        <f t="shared" si="11"/>
        <v>0</v>
      </c>
      <c r="X64" s="173">
        <f t="shared" si="12"/>
        <v>4495.5153725083092</v>
      </c>
      <c r="Y64" s="451">
        <f t="shared" si="13"/>
        <v>53</v>
      </c>
      <c r="Z64" s="451">
        <f t="shared" si="14"/>
        <v>14</v>
      </c>
      <c r="AA64" s="170">
        <f t="shared" si="2"/>
        <v>75.885890791221172</v>
      </c>
      <c r="AB64" s="170">
        <f t="shared" si="15"/>
        <v>50.149694941690854</v>
      </c>
      <c r="AC64" s="171">
        <f>(IF(Y64=0,0,AC63*(1+AA64*'CALCULETTE CHRONOS'!$C$5)))</f>
        <v>87.524499317664223</v>
      </c>
      <c r="AD64" s="171">
        <v>87.524499317664223</v>
      </c>
      <c r="AE64" s="170">
        <f t="shared" si="16"/>
        <v>0</v>
      </c>
      <c r="AF64" s="173">
        <f t="shared" si="17"/>
        <v>4519.6788305664477</v>
      </c>
    </row>
    <row r="65" spans="1:32">
      <c r="A65" s="451">
        <f t="shared" si="19"/>
        <v>54</v>
      </c>
      <c r="B65" s="451">
        <f t="shared" si="18"/>
        <v>13</v>
      </c>
      <c r="C65" s="170">
        <f t="shared" si="20"/>
        <v>20.433129961127236</v>
      </c>
      <c r="D65" s="171">
        <f t="shared" si="21"/>
        <v>46.905521660187873</v>
      </c>
      <c r="E65" s="171">
        <f>IF(A65=0,0,E64*(1+C65*'CALCULETTE CHRONOS'!$C$5))</f>
        <v>83.522888481178555</v>
      </c>
      <c r="F65" s="171">
        <v>83.522888481178555</v>
      </c>
      <c r="G65" s="171">
        <f t="shared" si="22"/>
        <v>0</v>
      </c>
      <c r="H65" s="172">
        <f t="shared" si="23"/>
        <v>4541.4909927666149</v>
      </c>
      <c r="I65" s="451">
        <f t="shared" si="3"/>
        <v>54</v>
      </c>
      <c r="J65" s="451">
        <f t="shared" si="4"/>
        <v>13</v>
      </c>
      <c r="K65" s="170">
        <f t="shared" si="0"/>
        <v>39.433129961127236</v>
      </c>
      <c r="L65" s="170">
        <f t="shared" si="5"/>
        <v>46.62208664075149</v>
      </c>
      <c r="M65" s="171">
        <f>(IF(I65=0,0,M64*(1+K65*'CALCULETTE CHRONOS'!$C$5)))</f>
        <v>84.838455071406685</v>
      </c>
      <c r="N65" s="171">
        <v>84.838455071406685</v>
      </c>
      <c r="O65" s="170">
        <f t="shared" si="6"/>
        <v>0</v>
      </c>
      <c r="P65" s="173">
        <f t="shared" si="7"/>
        <v>4551.5176853511484</v>
      </c>
      <c r="Q65" s="451">
        <f t="shared" si="8"/>
        <v>54</v>
      </c>
      <c r="R65" s="451">
        <f t="shared" si="9"/>
        <v>13</v>
      </c>
      <c r="S65" s="170">
        <f t="shared" si="1"/>
        <v>39.433129961127236</v>
      </c>
      <c r="T65" s="170">
        <f t="shared" si="10"/>
        <v>46.62208664075149</v>
      </c>
      <c r="U65" s="171">
        <f>(IF(Q65=0,0,U64*(1+S65*'CALCULETTE CHRONOS'!$C$5)))</f>
        <v>85.396273741773726</v>
      </c>
      <c r="V65" s="171">
        <v>85.396273741773726</v>
      </c>
      <c r="W65" s="170">
        <f t="shared" si="11"/>
        <v>0</v>
      </c>
      <c r="X65" s="173">
        <f t="shared" si="12"/>
        <v>4580.9116462500833</v>
      </c>
      <c r="Y65" s="451">
        <f t="shared" si="13"/>
        <v>54</v>
      </c>
      <c r="Z65" s="451">
        <f t="shared" si="14"/>
        <v>13</v>
      </c>
      <c r="AA65" s="170">
        <f t="shared" si="2"/>
        <v>79.433129961127236</v>
      </c>
      <c r="AB65" s="170">
        <f t="shared" si="15"/>
        <v>46.60245577178479</v>
      </c>
      <c r="AC65" s="171">
        <f>(IF(Y65=0,0,AC64*(1+AA65*'CALCULETTE CHRONOS'!$C$5)))</f>
        <v>87.692597525313445</v>
      </c>
      <c r="AD65" s="171">
        <v>87.692597525313445</v>
      </c>
      <c r="AE65" s="170">
        <f t="shared" si="16"/>
        <v>0</v>
      </c>
      <c r="AF65" s="173">
        <f t="shared" si="17"/>
        <v>4607.3714280917611</v>
      </c>
    </row>
    <row r="66" spans="1:32">
      <c r="A66" s="451">
        <f t="shared" si="19"/>
        <v>55</v>
      </c>
      <c r="B66" s="451">
        <f t="shared" si="18"/>
        <v>12</v>
      </c>
      <c r="C66" s="170">
        <f t="shared" si="20"/>
        <v>23.980369131033299</v>
      </c>
      <c r="D66" s="171">
        <f t="shared" si="21"/>
        <v>43.358282490281809</v>
      </c>
      <c r="E66" s="171">
        <f>IF(A66=0,0,E65*(1+C66*'CALCULETTE CHRONOS'!$C$5))</f>
        <v>83.571316102869886</v>
      </c>
      <c r="F66" s="171">
        <v>83.571316102869886</v>
      </c>
      <c r="G66" s="171">
        <f t="shared" si="22"/>
        <v>0</v>
      </c>
      <c r="H66" s="172">
        <f t="shared" si="23"/>
        <v>4625.0623088694847</v>
      </c>
      <c r="I66" s="451">
        <f t="shared" si="3"/>
        <v>55</v>
      </c>
      <c r="J66" s="451">
        <f t="shared" si="4"/>
        <v>12</v>
      </c>
      <c r="K66" s="170">
        <f t="shared" si="0"/>
        <v>42.980369131033299</v>
      </c>
      <c r="L66" s="170">
        <f t="shared" si="5"/>
        <v>43.074847470845427</v>
      </c>
      <c r="M66" s="171">
        <f>(IF(I66=0,0,M65*(1+K66*'CALCULETTE CHRONOS'!$C$5)))</f>
        <v>84.926619757258337</v>
      </c>
      <c r="N66" s="171">
        <v>84.926619757258337</v>
      </c>
      <c r="O66" s="170">
        <f t="shared" si="6"/>
        <v>0</v>
      </c>
      <c r="P66" s="173">
        <f t="shared" si="7"/>
        <v>4636.4443051084072</v>
      </c>
      <c r="Q66" s="451">
        <f t="shared" si="8"/>
        <v>55</v>
      </c>
      <c r="R66" s="451">
        <f t="shared" si="9"/>
        <v>12</v>
      </c>
      <c r="S66" s="170">
        <f t="shared" si="1"/>
        <v>42.980369131033299</v>
      </c>
      <c r="T66" s="170">
        <f t="shared" si="10"/>
        <v>43.074847470845427</v>
      </c>
      <c r="U66" s="171">
        <f>(IF(Q66=0,0,U65*(1+S66*'CALCULETTE CHRONOS'!$C$5)))</f>
        <v>85.485018116491645</v>
      </c>
      <c r="V66" s="171">
        <v>85.485018116491645</v>
      </c>
      <c r="W66" s="170">
        <f t="shared" si="11"/>
        <v>0</v>
      </c>
      <c r="X66" s="173">
        <f t="shared" si="12"/>
        <v>4666.3966643665754</v>
      </c>
      <c r="Y66" s="451">
        <f t="shared" si="13"/>
        <v>55</v>
      </c>
      <c r="Z66" s="451">
        <f t="shared" si="14"/>
        <v>12</v>
      </c>
      <c r="AA66" s="170">
        <f t="shared" si="2"/>
        <v>82.980369131033299</v>
      </c>
      <c r="AB66" s="170">
        <f t="shared" si="15"/>
        <v>43.055216601878726</v>
      </c>
      <c r="AC66" s="171">
        <f>(IF(Y66=0,0,AC65*(1+AA66*'CALCULETTE CHRONOS'!$C$5)))</f>
        <v>87.86853974586063</v>
      </c>
      <c r="AD66" s="171">
        <v>87.86853974586063</v>
      </c>
      <c r="AE66" s="170">
        <f t="shared" si="16"/>
        <v>0</v>
      </c>
      <c r="AF66" s="173">
        <f t="shared" si="17"/>
        <v>4695.2399678376214</v>
      </c>
    </row>
    <row r="67" spans="1:32">
      <c r="A67" s="451">
        <f t="shared" si="19"/>
        <v>56</v>
      </c>
      <c r="B67" s="451">
        <f t="shared" si="18"/>
        <v>11</v>
      </c>
      <c r="C67" s="170">
        <f t="shared" si="20"/>
        <v>27.527608300939363</v>
      </c>
      <c r="D67" s="171">
        <f t="shared" si="21"/>
        <v>39.811043320375745</v>
      </c>
      <c r="E67" s="171">
        <f>IF(A67=0,0,E66*(1+C67*'CALCULETTE CHRONOS'!$C$5))</f>
        <v>83.62693949797945</v>
      </c>
      <c r="F67" s="171">
        <v>83.62693949797945</v>
      </c>
      <c r="G67" s="171">
        <f t="shared" si="22"/>
        <v>0</v>
      </c>
      <c r="H67" s="172">
        <f t="shared" si="23"/>
        <v>4708.6892483674637</v>
      </c>
      <c r="I67" s="451">
        <f t="shared" si="3"/>
        <v>56</v>
      </c>
      <c r="J67" s="451">
        <f t="shared" si="4"/>
        <v>11</v>
      </c>
      <c r="K67" s="170">
        <f t="shared" si="0"/>
        <v>46.527608300939363</v>
      </c>
      <c r="L67" s="170">
        <f t="shared" si="5"/>
        <v>39.527608300939363</v>
      </c>
      <c r="M67" s="171">
        <f>(IF(I67=0,0,M66*(1+K67*'CALCULETTE CHRONOS'!$C$5)))</f>
        <v>85.022159999781053</v>
      </c>
      <c r="N67" s="171">
        <v>85.022159999781053</v>
      </c>
      <c r="O67" s="170">
        <f t="shared" si="6"/>
        <v>0</v>
      </c>
      <c r="P67" s="173">
        <f t="shared" si="7"/>
        <v>4721.4664651081885</v>
      </c>
      <c r="Q67" s="451">
        <f t="shared" si="8"/>
        <v>56</v>
      </c>
      <c r="R67" s="451">
        <f t="shared" si="9"/>
        <v>11</v>
      </c>
      <c r="S67" s="170">
        <f t="shared" si="1"/>
        <v>46.527608300939363</v>
      </c>
      <c r="T67" s="170">
        <f t="shared" si="10"/>
        <v>39.527608300939363</v>
      </c>
      <c r="U67" s="171">
        <f>(IF(Q67=0,0,U66*(1+S67*'CALCULETTE CHRONOS'!$C$5)))</f>
        <v>85.581186542672413</v>
      </c>
      <c r="V67" s="171">
        <v>85.581186542672413</v>
      </c>
      <c r="W67" s="170">
        <f t="shared" si="11"/>
        <v>0</v>
      </c>
      <c r="X67" s="173">
        <f t="shared" si="12"/>
        <v>4751.9778509092475</v>
      </c>
      <c r="Y67" s="451">
        <f t="shared" si="13"/>
        <v>56</v>
      </c>
      <c r="Z67" s="451">
        <f t="shared" si="14"/>
        <v>11</v>
      </c>
      <c r="AA67" s="170">
        <f t="shared" si="2"/>
        <v>86.527608300939363</v>
      </c>
      <c r="AB67" s="170">
        <f t="shared" si="15"/>
        <v>39.507977431972662</v>
      </c>
      <c r="AC67" s="171">
        <f>(IF(Y67=0,0,AC66*(1+AA67*'CALCULETTE CHRONOS'!$C$5)))</f>
        <v>88.052371224609857</v>
      </c>
      <c r="AD67" s="171">
        <v>88.052371224609857</v>
      </c>
      <c r="AE67" s="170">
        <f t="shared" si="16"/>
        <v>0</v>
      </c>
      <c r="AF67" s="173">
        <f t="shared" si="17"/>
        <v>4783.2923390622309</v>
      </c>
    </row>
    <row r="68" spans="1:32">
      <c r="A68" s="451">
        <f t="shared" si="19"/>
        <v>57</v>
      </c>
      <c r="B68" s="451">
        <f t="shared" si="18"/>
        <v>10</v>
      </c>
      <c r="C68" s="170">
        <f t="shared" si="20"/>
        <v>31.074847470845427</v>
      </c>
      <c r="D68" s="171">
        <f t="shared" si="21"/>
        <v>36.263804150469682</v>
      </c>
      <c r="E68" s="171">
        <f>IF(A68=0,0,E67*(1+C68*'CALCULETTE CHRONOS'!$C$5))</f>
        <v>83.689772380055118</v>
      </c>
      <c r="F68" s="171">
        <v>83.689772380055118</v>
      </c>
      <c r="G68" s="171">
        <f t="shared" si="22"/>
        <v>0</v>
      </c>
      <c r="H68" s="172">
        <f t="shared" si="23"/>
        <v>4792.3790207475186</v>
      </c>
      <c r="I68" s="451">
        <f t="shared" si="3"/>
        <v>57</v>
      </c>
      <c r="J68" s="451">
        <f t="shared" si="4"/>
        <v>10</v>
      </c>
      <c r="K68" s="170">
        <f t="shared" si="0"/>
        <v>50.074847470845427</v>
      </c>
      <c r="L68" s="170">
        <f t="shared" si="5"/>
        <v>35.980369131033299</v>
      </c>
      <c r="M68" s="171">
        <f>(IF(I68=0,0,M67*(1+K68*'CALCULETTE CHRONOS'!$C$5)))</f>
        <v>85.125099852178607</v>
      </c>
      <c r="N68" s="171">
        <v>85.125099852178607</v>
      </c>
      <c r="O68" s="170">
        <f t="shared" si="6"/>
        <v>0</v>
      </c>
      <c r="P68" s="173">
        <f t="shared" si="7"/>
        <v>4806.5915649603667</v>
      </c>
      <c r="Q68" s="451">
        <f t="shared" si="8"/>
        <v>57</v>
      </c>
      <c r="R68" s="451">
        <f t="shared" si="9"/>
        <v>10</v>
      </c>
      <c r="S68" s="170">
        <f t="shared" si="1"/>
        <v>50.074847470845427</v>
      </c>
      <c r="T68" s="170">
        <f t="shared" si="10"/>
        <v>35.980369131033299</v>
      </c>
      <c r="U68" s="171">
        <f>(IF(Q68=0,0,U67*(1+S68*'CALCULETTE CHRONOS'!$C$5)))</f>
        <v>85.684803231671296</v>
      </c>
      <c r="V68" s="171">
        <v>85.684803231671296</v>
      </c>
      <c r="W68" s="170">
        <f t="shared" si="11"/>
        <v>0</v>
      </c>
      <c r="X68" s="173">
        <f t="shared" si="12"/>
        <v>4837.6626541409187</v>
      </c>
      <c r="Y68" s="451">
        <f t="shared" si="13"/>
        <v>57</v>
      </c>
      <c r="Z68" s="451">
        <f t="shared" si="14"/>
        <v>10</v>
      </c>
      <c r="AA68" s="170">
        <f t="shared" si="2"/>
        <v>90.074847470845427</v>
      </c>
      <c r="AB68" s="170">
        <f t="shared" si="15"/>
        <v>35.960738262066599</v>
      </c>
      <c r="AC68" s="171">
        <f>(IF(Y68=0,0,AC67*(1+AA68*'CALCULETTE CHRONOS'!$C$5)))</f>
        <v>88.244139323686099</v>
      </c>
      <c r="AD68" s="171">
        <v>88.244139323686099</v>
      </c>
      <c r="AE68" s="170">
        <f t="shared" si="16"/>
        <v>0</v>
      </c>
      <c r="AF68" s="173">
        <f t="shared" si="17"/>
        <v>4871.5364783859168</v>
      </c>
    </row>
    <row r="69" spans="1:32">
      <c r="A69" s="451">
        <f t="shared" si="19"/>
        <v>58</v>
      </c>
      <c r="B69" s="451">
        <f t="shared" si="18"/>
        <v>9</v>
      </c>
      <c r="C69" s="170">
        <f t="shared" si="20"/>
        <v>34.62208664075149</v>
      </c>
      <c r="D69" s="171">
        <f t="shared" si="21"/>
        <v>32.716564980563618</v>
      </c>
      <c r="E69" s="171">
        <f>IF(A69=0,0,E68*(1+C69*'CALCULETTE CHRONOS'!$C$5))</f>
        <v>83.759830325612938</v>
      </c>
      <c r="F69" s="171">
        <v>83.759830325612938</v>
      </c>
      <c r="G69" s="171">
        <f t="shared" si="22"/>
        <v>0</v>
      </c>
      <c r="H69" s="172">
        <f t="shared" si="23"/>
        <v>4876.1388510731313</v>
      </c>
      <c r="I69" s="451">
        <f t="shared" si="3"/>
        <v>58</v>
      </c>
      <c r="J69" s="451">
        <f t="shared" si="4"/>
        <v>9</v>
      </c>
      <c r="K69" s="170">
        <f t="shared" si="0"/>
        <v>53.62208664075149</v>
      </c>
      <c r="L69" s="170">
        <f t="shared" si="5"/>
        <v>32.433129961127236</v>
      </c>
      <c r="M69" s="171">
        <f>(IF(I69=0,0,M68*(1+K69*'CALCULETTE CHRONOS'!$C$5)))</f>
        <v>85.23546529658698</v>
      </c>
      <c r="N69" s="171">
        <v>85.23546529658698</v>
      </c>
      <c r="O69" s="170">
        <f t="shared" si="6"/>
        <v>0</v>
      </c>
      <c r="P69" s="173">
        <f t="shared" si="7"/>
        <v>4891.8270302569535</v>
      </c>
      <c r="Q69" s="451">
        <f t="shared" si="8"/>
        <v>58</v>
      </c>
      <c r="R69" s="451">
        <f t="shared" si="9"/>
        <v>9</v>
      </c>
      <c r="S69" s="170">
        <f t="shared" si="1"/>
        <v>53.62208664075149</v>
      </c>
      <c r="T69" s="170">
        <f t="shared" si="10"/>
        <v>32.433129961127236</v>
      </c>
      <c r="U69" s="171">
        <f>(IF(Q69=0,0,U68*(1+S69*'CALCULETTE CHRONOS'!$C$5)))</f>
        <v>85.795894336458588</v>
      </c>
      <c r="V69" s="171">
        <v>85.795894336458588</v>
      </c>
      <c r="W69" s="170">
        <f t="shared" si="11"/>
        <v>0</v>
      </c>
      <c r="X69" s="173">
        <f t="shared" si="12"/>
        <v>4923.458548477377</v>
      </c>
      <c r="Y69" s="451">
        <f t="shared" si="13"/>
        <v>58</v>
      </c>
      <c r="Z69" s="451">
        <f t="shared" si="14"/>
        <v>9</v>
      </c>
      <c r="AA69" s="170">
        <f t="shared" si="2"/>
        <v>93.62208664075149</v>
      </c>
      <c r="AB69" s="170">
        <f t="shared" si="15"/>
        <v>32.413499092160535</v>
      </c>
      <c r="AC69" s="171">
        <f>(IF(Y69=0,0,AC68*(1+AA69*'CALCULETTE CHRONOS'!$C$5)))</f>
        <v>88.443893542349343</v>
      </c>
      <c r="AD69" s="171">
        <v>88.443893542349343</v>
      </c>
      <c r="AE69" s="170">
        <f t="shared" si="16"/>
        <v>0</v>
      </c>
      <c r="AF69" s="173">
        <f t="shared" si="17"/>
        <v>4959.9803719282663</v>
      </c>
    </row>
    <row r="70" spans="1:32">
      <c r="A70" s="451">
        <f t="shared" si="19"/>
        <v>59</v>
      </c>
      <c r="B70" s="451">
        <f t="shared" si="18"/>
        <v>8</v>
      </c>
      <c r="C70" s="170">
        <f t="shared" si="20"/>
        <v>38.169325810657554</v>
      </c>
      <c r="D70" s="171">
        <f t="shared" si="21"/>
        <v>29.169325810657554</v>
      </c>
      <c r="E70" s="171">
        <f>IF(A70=0,0,E69*(1+C70*'CALCULETTE CHRONOS'!$C$5))</f>
        <v>83.837130780561083</v>
      </c>
      <c r="F70" s="171">
        <v>83.837130780561083</v>
      </c>
      <c r="G70" s="171">
        <f t="shared" si="22"/>
        <v>0</v>
      </c>
      <c r="H70" s="172">
        <f t="shared" si="23"/>
        <v>4959.9759818536922</v>
      </c>
      <c r="I70" s="451">
        <f t="shared" si="3"/>
        <v>59</v>
      </c>
      <c r="J70" s="451">
        <f t="shared" si="4"/>
        <v>8</v>
      </c>
      <c r="K70" s="170">
        <f t="shared" si="0"/>
        <v>57.169325810657554</v>
      </c>
      <c r="L70" s="170">
        <f t="shared" si="5"/>
        <v>28.885890791221172</v>
      </c>
      <c r="M70" s="171">
        <f>(IF(I70=0,0,M69*(1+K70*'CALCULETTE CHRONOS'!$C$5)))</f>
        <v>85.353284254992502</v>
      </c>
      <c r="N70" s="171">
        <v>85.353284254992502</v>
      </c>
      <c r="O70" s="170">
        <f t="shared" si="6"/>
        <v>0</v>
      </c>
      <c r="P70" s="173">
        <f t="shared" si="7"/>
        <v>4977.1803145119457</v>
      </c>
      <c r="Q70" s="451">
        <f t="shared" si="8"/>
        <v>59</v>
      </c>
      <c r="R70" s="451">
        <f t="shared" si="9"/>
        <v>8</v>
      </c>
      <c r="S70" s="170">
        <f t="shared" si="1"/>
        <v>57.169325810657554</v>
      </c>
      <c r="T70" s="170">
        <f t="shared" si="10"/>
        <v>28.885890791221172</v>
      </c>
      <c r="U70" s="171">
        <f>(IF(Q70=0,0,U69*(1+S70*'CALCULETTE CHRONOS'!$C$5)))</f>
        <v>85.914487962609599</v>
      </c>
      <c r="V70" s="171">
        <v>85.914487962609599</v>
      </c>
      <c r="W70" s="170">
        <f t="shared" si="11"/>
        <v>0</v>
      </c>
      <c r="X70" s="173">
        <f t="shared" si="12"/>
        <v>5009.3730364399862</v>
      </c>
      <c r="Y70" s="451">
        <f t="shared" si="13"/>
        <v>59</v>
      </c>
      <c r="Z70" s="451">
        <f t="shared" si="14"/>
        <v>8</v>
      </c>
      <c r="AA70" s="170">
        <f t="shared" si="2"/>
        <v>97.169325810657554</v>
      </c>
      <c r="AB70" s="170">
        <f t="shared" si="15"/>
        <v>28.866259922254471</v>
      </c>
      <c r="AC70" s="171">
        <f>(IF(Y70=0,0,AC69*(1+AA70*'CALCULETTE CHRONOS'!$C$5)))</f>
        <v>88.651685538264061</v>
      </c>
      <c r="AD70" s="171">
        <v>88.651685538264061</v>
      </c>
      <c r="AE70" s="170">
        <f t="shared" si="16"/>
        <v>0</v>
      </c>
      <c r="AF70" s="173">
        <f t="shared" si="17"/>
        <v>5048.6320574665306</v>
      </c>
    </row>
    <row r="71" spans="1:32">
      <c r="A71" s="451">
        <f t="shared" si="19"/>
        <v>60</v>
      </c>
      <c r="B71" s="451">
        <f t="shared" si="18"/>
        <v>7</v>
      </c>
      <c r="C71" s="170">
        <f t="shared" si="20"/>
        <v>41.716564980563618</v>
      </c>
      <c r="D71" s="171">
        <f t="shared" si="21"/>
        <v>25.62208664075149</v>
      </c>
      <c r="E71" s="171">
        <f>IF(A71=0,0,E70*(1+C71*'CALCULETTE CHRONOS'!$C$5))</f>
        <v>83.921693067429246</v>
      </c>
      <c r="F71" s="171">
        <v>83.921693067429246</v>
      </c>
      <c r="G71" s="171">
        <f t="shared" si="22"/>
        <v>0</v>
      </c>
      <c r="H71" s="172">
        <f t="shared" si="23"/>
        <v>5043.8976749211215</v>
      </c>
      <c r="I71" s="451">
        <f t="shared" si="3"/>
        <v>60</v>
      </c>
      <c r="J71" s="451">
        <f t="shared" si="4"/>
        <v>7</v>
      </c>
      <c r="K71" s="170">
        <f t="shared" si="0"/>
        <v>60.716564980563618</v>
      </c>
      <c r="L71" s="170">
        <f t="shared" si="5"/>
        <v>25.338651621315108</v>
      </c>
      <c r="M71" s="171">
        <f>(IF(I71=0,0,M70*(1+K71*'CALCULETTE CHRONOS'!$C$5)))</f>
        <v>85.478586600993324</v>
      </c>
      <c r="N71" s="171">
        <v>85.478586600993324</v>
      </c>
      <c r="O71" s="170">
        <f t="shared" si="6"/>
        <v>0</v>
      </c>
      <c r="P71" s="173">
        <f t="shared" si="7"/>
        <v>5062.658901112939</v>
      </c>
      <c r="Q71" s="451">
        <f t="shared" si="8"/>
        <v>60</v>
      </c>
      <c r="R71" s="451">
        <f t="shared" si="9"/>
        <v>7</v>
      </c>
      <c r="S71" s="170">
        <f t="shared" si="1"/>
        <v>60.716564980563618</v>
      </c>
      <c r="T71" s="170">
        <f t="shared" si="10"/>
        <v>25.338651621315108</v>
      </c>
      <c r="U71" s="171">
        <f>(IF(Q71=0,0,U70*(1+S71*'CALCULETTE CHRONOS'!$C$5)))</f>
        <v>86.040614180143464</v>
      </c>
      <c r="V71" s="171">
        <v>86.040614180143464</v>
      </c>
      <c r="W71" s="170">
        <f t="shared" si="11"/>
        <v>0</v>
      </c>
      <c r="X71" s="173">
        <f t="shared" si="12"/>
        <v>5095.4136506201294</v>
      </c>
      <c r="Y71" s="451">
        <f t="shared" si="13"/>
        <v>60</v>
      </c>
      <c r="Z71" s="451">
        <f t="shared" si="14"/>
        <v>7</v>
      </c>
      <c r="AA71" s="170">
        <f t="shared" si="2"/>
        <v>100.71656498056362</v>
      </c>
      <c r="AB71" s="170">
        <f t="shared" si="15"/>
        <v>25.319020752348408</v>
      </c>
      <c r="AC71" s="171">
        <f>(IF(Y71=0,0,AC70*(1+AA71*'CALCULETTE CHRONOS'!$C$5)))</f>
        <v>88.867569149737008</v>
      </c>
      <c r="AD71" s="171">
        <v>88.867569149737008</v>
      </c>
      <c r="AE71" s="170">
        <f t="shared" si="16"/>
        <v>0</v>
      </c>
      <c r="AF71" s="173">
        <f t="shared" si="17"/>
        <v>5137.499626616268</v>
      </c>
    </row>
    <row r="72" spans="1:32">
      <c r="A72" s="451">
        <f t="shared" si="19"/>
        <v>61</v>
      </c>
      <c r="B72" s="451">
        <f t="shared" si="18"/>
        <v>6</v>
      </c>
      <c r="C72" s="170">
        <f t="shared" si="20"/>
        <v>45.263804150469682</v>
      </c>
      <c r="D72" s="171">
        <f t="shared" si="21"/>
        <v>22.074847470845427</v>
      </c>
      <c r="E72" s="171">
        <f>IF(A72=0,0,E71*(1+C72*'CALCULETTE CHRONOS'!$C$5))</f>
        <v>84.013538393407643</v>
      </c>
      <c r="F72" s="171">
        <v>84.013538393407643</v>
      </c>
      <c r="G72" s="171">
        <f t="shared" si="22"/>
        <v>0</v>
      </c>
      <c r="H72" s="172">
        <f t="shared" si="23"/>
        <v>5127.911213314529</v>
      </c>
      <c r="I72" s="451">
        <f t="shared" si="3"/>
        <v>61</v>
      </c>
      <c r="J72" s="451">
        <f t="shared" si="4"/>
        <v>6</v>
      </c>
      <c r="K72" s="170">
        <f t="shared" si="0"/>
        <v>64.263804150469682</v>
      </c>
      <c r="L72" s="170">
        <f t="shared" si="5"/>
        <v>21.791412451409045</v>
      </c>
      <c r="M72" s="171">
        <f>(IF(I72=0,0,M71*(1+K72*'CALCULETTE CHRONOS'!$C$5)))</f>
        <v>85.611404172411127</v>
      </c>
      <c r="N72" s="171">
        <v>85.611404172411127</v>
      </c>
      <c r="O72" s="170">
        <f t="shared" si="6"/>
        <v>0</v>
      </c>
      <c r="P72" s="173">
        <f t="shared" si="7"/>
        <v>5148.2703052853503</v>
      </c>
      <c r="Q72" s="451">
        <f t="shared" si="8"/>
        <v>61</v>
      </c>
      <c r="R72" s="451">
        <f t="shared" si="9"/>
        <v>6</v>
      </c>
      <c r="S72" s="170">
        <f t="shared" si="1"/>
        <v>64.263804150469682</v>
      </c>
      <c r="T72" s="170">
        <f t="shared" si="10"/>
        <v>21.791412451409045</v>
      </c>
      <c r="U72" s="171">
        <f>(IF(Q72=0,0,U71*(1+S72*'CALCULETTE CHRONOS'!$C$5)))</f>
        <v>86.174305036217717</v>
      </c>
      <c r="V72" s="171">
        <v>86.174305036217717</v>
      </c>
      <c r="W72" s="170">
        <f t="shared" si="11"/>
        <v>0</v>
      </c>
      <c r="X72" s="173">
        <f t="shared" si="12"/>
        <v>5181.5879556563468</v>
      </c>
      <c r="Y72" s="451">
        <f t="shared" si="13"/>
        <v>61</v>
      </c>
      <c r="Z72" s="451">
        <f t="shared" si="14"/>
        <v>6</v>
      </c>
      <c r="AA72" s="170">
        <f t="shared" si="2"/>
        <v>104.26380415046968</v>
      </c>
      <c r="AB72" s="170">
        <f t="shared" si="15"/>
        <v>21.771781582442344</v>
      </c>
      <c r="AC72" s="171">
        <f>(IF(Y72=0,0,AC71*(1+AA72*'CALCULETTE CHRONOS'!$C$5)))</f>
        <v>89.091600418936721</v>
      </c>
      <c r="AD72" s="171">
        <v>89.091600418936721</v>
      </c>
      <c r="AE72" s="170">
        <f t="shared" si="16"/>
        <v>0</v>
      </c>
      <c r="AF72" s="173">
        <f t="shared" si="17"/>
        <v>5226.5912270352046</v>
      </c>
    </row>
    <row r="73" spans="1:32">
      <c r="A73" s="451">
        <f t="shared" si="19"/>
        <v>62</v>
      </c>
      <c r="B73" s="451">
        <f t="shared" si="18"/>
        <v>5</v>
      </c>
      <c r="C73" s="170">
        <f t="shared" si="20"/>
        <v>48.811043320375745</v>
      </c>
      <c r="D73" s="171">
        <f t="shared" si="21"/>
        <v>18.527608300939363</v>
      </c>
      <c r="E73" s="171">
        <f>IF(A73=0,0,E72*(1+C73*'CALCULETTE CHRONOS'!$C$5))</f>
        <v>84.112689859200202</v>
      </c>
      <c r="F73" s="171">
        <v>84.112689859200202</v>
      </c>
      <c r="G73" s="171">
        <f t="shared" si="22"/>
        <v>0</v>
      </c>
      <c r="H73" s="172">
        <f t="shared" si="23"/>
        <v>5212.0239031737292</v>
      </c>
      <c r="I73" s="451">
        <f t="shared" si="3"/>
        <v>62</v>
      </c>
      <c r="J73" s="451">
        <f t="shared" si="4"/>
        <v>5</v>
      </c>
      <c r="K73" s="170">
        <f t="shared" si="0"/>
        <v>67.811043320375745</v>
      </c>
      <c r="L73" s="170">
        <f t="shared" si="5"/>
        <v>18.244173281502981</v>
      </c>
      <c r="M73" s="171">
        <f>(IF(I73=0,0,M72*(1+K73*'CALCULETTE CHRONOS'!$C$5)))</f>
        <v>85.751770784760268</v>
      </c>
      <c r="N73" s="171">
        <v>85.751770784760268</v>
      </c>
      <c r="O73" s="170">
        <f t="shared" si="6"/>
        <v>0</v>
      </c>
      <c r="P73" s="173">
        <f t="shared" si="7"/>
        <v>5234.0220760701104</v>
      </c>
      <c r="Q73" s="451">
        <f t="shared" si="8"/>
        <v>62</v>
      </c>
      <c r="R73" s="451">
        <f t="shared" si="9"/>
        <v>5</v>
      </c>
      <c r="S73" s="170">
        <f t="shared" si="1"/>
        <v>67.811043320375745</v>
      </c>
      <c r="T73" s="170">
        <f t="shared" si="10"/>
        <v>18.244173281502981</v>
      </c>
      <c r="U73" s="171">
        <f>(IF(Q73=0,0,U72*(1+S73*'CALCULETTE CHRONOS'!$C$5)))</f>
        <v>86.315594568686024</v>
      </c>
      <c r="V73" s="171">
        <v>86.315594568686024</v>
      </c>
      <c r="W73" s="170">
        <f t="shared" si="11"/>
        <v>0</v>
      </c>
      <c r="X73" s="173">
        <f t="shared" si="12"/>
        <v>5267.9035502250326</v>
      </c>
      <c r="Y73" s="451">
        <f t="shared" si="13"/>
        <v>62</v>
      </c>
      <c r="Z73" s="451">
        <f t="shared" si="14"/>
        <v>5</v>
      </c>
      <c r="AA73" s="170">
        <f t="shared" si="2"/>
        <v>107.81104332037575</v>
      </c>
      <c r="AB73" s="170">
        <f t="shared" si="15"/>
        <v>18.22454241253628</v>
      </c>
      <c r="AC73" s="171">
        <f>(IF(Y73=0,0,AC72*(1+AA73*'CALCULETTE CHRONOS'!$C$5)))</f>
        <v>89.323837616108705</v>
      </c>
      <c r="AD73" s="171">
        <v>89.323837616108705</v>
      </c>
      <c r="AE73" s="170">
        <f t="shared" si="16"/>
        <v>0</v>
      </c>
      <c r="AF73" s="173">
        <f t="shared" si="17"/>
        <v>5315.9150646513135</v>
      </c>
    </row>
    <row r="74" spans="1:32">
      <c r="A74" s="451">
        <f t="shared" si="19"/>
        <v>63</v>
      </c>
      <c r="B74" s="451">
        <f t="shared" si="18"/>
        <v>4</v>
      </c>
      <c r="C74" s="170">
        <f t="shared" si="20"/>
        <v>52.358282490281809</v>
      </c>
      <c r="D74" s="171">
        <f t="shared" si="21"/>
        <v>14.980369131033299</v>
      </c>
      <c r="E74" s="171">
        <f>IF(A74=0,0,E73*(1+C74*'CALCULETTE CHRONOS'!$C$5))</f>
        <v>84.219172468697195</v>
      </c>
      <c r="F74" s="171">
        <v>84.219172468697195</v>
      </c>
      <c r="G74" s="171">
        <f t="shared" si="22"/>
        <v>0</v>
      </c>
      <c r="H74" s="172">
        <f t="shared" si="23"/>
        <v>5296.2430756424264</v>
      </c>
      <c r="I74" s="451">
        <f t="shared" si="3"/>
        <v>63</v>
      </c>
      <c r="J74" s="451">
        <f t="shared" si="4"/>
        <v>4</v>
      </c>
      <c r="K74" s="170">
        <f t="shared" si="0"/>
        <v>71.358282490281809</v>
      </c>
      <c r="L74" s="170">
        <f t="shared" si="5"/>
        <v>14.696934111596917</v>
      </c>
      <c r="M74" s="171">
        <f>(IF(I74=0,0,M73*(1+K74*'CALCULETTE CHRONOS'!$C$5)))</f>
        <v>85.899722245582566</v>
      </c>
      <c r="N74" s="171">
        <v>85.899722245582566</v>
      </c>
      <c r="O74" s="170">
        <f t="shared" si="6"/>
        <v>0</v>
      </c>
      <c r="P74" s="173">
        <f t="shared" si="7"/>
        <v>5319.9217983156932</v>
      </c>
      <c r="Q74" s="451">
        <f t="shared" si="8"/>
        <v>63</v>
      </c>
      <c r="R74" s="451">
        <f t="shared" si="9"/>
        <v>4</v>
      </c>
      <c r="S74" s="170">
        <f t="shared" si="1"/>
        <v>71.358282490281809</v>
      </c>
      <c r="T74" s="170">
        <f t="shared" si="10"/>
        <v>14.696934111596917</v>
      </c>
      <c r="U74" s="171">
        <f>(IF(Q74=0,0,U73*(1+S74*'CALCULETTE CHRONOS'!$C$5)))</f>
        <v>86.46451882052726</v>
      </c>
      <c r="V74" s="171">
        <v>86.46451882052726</v>
      </c>
      <c r="W74" s="170">
        <f t="shared" si="11"/>
        <v>0</v>
      </c>
      <c r="X74" s="173">
        <f t="shared" si="12"/>
        <v>5354.3680690455603</v>
      </c>
      <c r="Y74" s="451">
        <f t="shared" si="13"/>
        <v>63</v>
      </c>
      <c r="Z74" s="451">
        <f t="shared" si="14"/>
        <v>4</v>
      </c>
      <c r="AA74" s="170">
        <f t="shared" si="2"/>
        <v>111.35828249028181</v>
      </c>
      <c r="AB74" s="170">
        <f t="shared" si="15"/>
        <v>14.677303242630217</v>
      </c>
      <c r="AC74" s="171">
        <f>(IF(Y74=0,0,AC73*(1+AA74*'CALCULETTE CHRONOS'!$C$5)))</f>
        <v>89.564341264800845</v>
      </c>
      <c r="AD74" s="171">
        <v>89.564341264800845</v>
      </c>
      <c r="AE74" s="170">
        <f t="shared" si="16"/>
        <v>0</v>
      </c>
      <c r="AF74" s="173">
        <f t="shared" si="17"/>
        <v>5405.479405916114</v>
      </c>
    </row>
    <row r="75" spans="1:32">
      <c r="A75" s="451">
        <f t="shared" si="19"/>
        <v>64</v>
      </c>
      <c r="B75" s="451">
        <f t="shared" si="18"/>
        <v>3</v>
      </c>
      <c r="C75" s="170">
        <f t="shared" si="20"/>
        <v>55.905521660187873</v>
      </c>
      <c r="D75" s="171">
        <f t="shared" si="21"/>
        <v>11.433129961127236</v>
      </c>
      <c r="E75" s="171">
        <f>IF(A75=0,0,E74*(1+C75*'CALCULETTE CHRONOS'!$C$5))</f>
        <v>84.333013139472982</v>
      </c>
      <c r="F75" s="171">
        <v>84.333013139472982</v>
      </c>
      <c r="G75" s="171">
        <f t="shared" si="22"/>
        <v>0</v>
      </c>
      <c r="H75" s="172">
        <f t="shared" si="23"/>
        <v>5380.5760887818997</v>
      </c>
      <c r="I75" s="451">
        <f t="shared" si="3"/>
        <v>64</v>
      </c>
      <c r="J75" s="451">
        <f t="shared" si="4"/>
        <v>3</v>
      </c>
      <c r="K75" s="170">
        <f t="shared" si="0"/>
        <v>74.905521660187873</v>
      </c>
      <c r="L75" s="170">
        <f t="shared" si="5"/>
        <v>11.149694941690854</v>
      </c>
      <c r="M75" s="171">
        <f>(IF(I75=0,0,M74*(1+K75*'CALCULETTE CHRONOS'!$C$5)))</f>
        <v>86.055296369656176</v>
      </c>
      <c r="N75" s="171">
        <v>86.055296369656176</v>
      </c>
      <c r="O75" s="170">
        <f t="shared" si="6"/>
        <v>0</v>
      </c>
      <c r="P75" s="173">
        <f t="shared" si="7"/>
        <v>5405.9770946853496</v>
      </c>
      <c r="Q75" s="451">
        <f t="shared" si="8"/>
        <v>64</v>
      </c>
      <c r="R75" s="451">
        <f t="shared" si="9"/>
        <v>3</v>
      </c>
      <c r="S75" s="170">
        <f t="shared" si="1"/>
        <v>74.905521660187873</v>
      </c>
      <c r="T75" s="170">
        <f t="shared" si="10"/>
        <v>11.149694941690854</v>
      </c>
      <c r="U75" s="171">
        <f>(IF(Q75=0,0,U74*(1+S75*'CALCULETTE CHRONOS'!$C$5)))</f>
        <v>86.621115855154358</v>
      </c>
      <c r="V75" s="171">
        <v>86.621115855154358</v>
      </c>
      <c r="W75" s="170">
        <f t="shared" si="11"/>
        <v>0</v>
      </c>
      <c r="X75" s="173">
        <f t="shared" si="12"/>
        <v>5440.9891849007145</v>
      </c>
      <c r="Y75" s="451">
        <f t="shared" si="13"/>
        <v>64</v>
      </c>
      <c r="Z75" s="451">
        <f t="shared" si="14"/>
        <v>3</v>
      </c>
      <c r="AA75" s="170">
        <f t="shared" si="2"/>
        <v>114.90552166018787</v>
      </c>
      <c r="AB75" s="170">
        <f t="shared" si="15"/>
        <v>11.130064072724153</v>
      </c>
      <c r="AC75" s="171">
        <f>(IF(Y75=0,0,AC74*(1+AA75*'CALCULETTE CHRONOS'!$C$5)))</f>
        <v>89.813174168114358</v>
      </c>
      <c r="AD75" s="171">
        <v>89.813174168114358</v>
      </c>
      <c r="AE75" s="170">
        <f t="shared" si="16"/>
        <v>0</v>
      </c>
      <c r="AF75" s="173">
        <f t="shared" si="17"/>
        <v>5495.2925800842286</v>
      </c>
    </row>
    <row r="76" spans="1:32">
      <c r="A76" s="451">
        <f t="shared" si="19"/>
        <v>65</v>
      </c>
      <c r="B76" s="451">
        <f t="shared" si="18"/>
        <v>2</v>
      </c>
      <c r="C76" s="170">
        <f t="shared" si="20"/>
        <v>59.452760830093936</v>
      </c>
      <c r="D76" s="171">
        <f t="shared" si="21"/>
        <v>7.8858907912211711</v>
      </c>
      <c r="E76" s="171">
        <f>IF(A76=0,0,E75*(1+C76*'CALCULETTE CHRONOS'!$C$5))</f>
        <v>84.454240714114974</v>
      </c>
      <c r="F76" s="171">
        <v>84.454240714114974</v>
      </c>
      <c r="G76" s="171">
        <f t="shared" si="22"/>
        <v>0</v>
      </c>
      <c r="H76" s="172">
        <f t="shared" si="23"/>
        <v>5465.0303294960149</v>
      </c>
      <c r="I76" s="451">
        <f t="shared" si="3"/>
        <v>65</v>
      </c>
      <c r="J76" s="451">
        <f t="shared" si="4"/>
        <v>2</v>
      </c>
      <c r="K76" s="170">
        <f t="shared" ref="K76:K91" si="24">VLOOKUP(J76,$I$12:$L$91,4,0)</f>
        <v>78.452760830093936</v>
      </c>
      <c r="L76" s="170">
        <f t="shared" si="5"/>
        <v>7.6024557717847889</v>
      </c>
      <c r="M76" s="171">
        <f>(IF(I76=0,0,M75*(1+K76*'CALCULETTE CHRONOS'!$C$5)))</f>
        <v>86.2185329950876</v>
      </c>
      <c r="N76" s="171">
        <v>86.2185329950876</v>
      </c>
      <c r="O76" s="170">
        <f t="shared" si="6"/>
        <v>0</v>
      </c>
      <c r="P76" s="173">
        <f t="shared" si="7"/>
        <v>5492.1956276804376</v>
      </c>
      <c r="Q76" s="451">
        <f t="shared" si="8"/>
        <v>65</v>
      </c>
      <c r="R76" s="451">
        <f t="shared" si="9"/>
        <v>2</v>
      </c>
      <c r="S76" s="170">
        <f t="shared" ref="S76:S91" si="25">VLOOKUP(R76,$Q$12:$T$91,4,0)</f>
        <v>78.452760830093936</v>
      </c>
      <c r="T76" s="170">
        <f t="shared" si="10"/>
        <v>7.6024557717847889</v>
      </c>
      <c r="U76" s="171">
        <f>(IF(Q76=0,0,U75*(1+S76*'CALCULETTE CHRONOS'!$C$5)))</f>
        <v>86.785425772612101</v>
      </c>
      <c r="V76" s="171">
        <v>86.785425772612101</v>
      </c>
      <c r="W76" s="170">
        <f t="shared" si="11"/>
        <v>0</v>
      </c>
      <c r="X76" s="173">
        <f t="shared" si="12"/>
        <v>5527.7746106733266</v>
      </c>
      <c r="Y76" s="451">
        <f t="shared" si="13"/>
        <v>65</v>
      </c>
      <c r="Z76" s="451">
        <f t="shared" si="14"/>
        <v>2</v>
      </c>
      <c r="AA76" s="170">
        <f t="shared" ref="AA76:AA91" si="26">VLOOKUP(Z76,$Y$12:$AB$90,4,0)</f>
        <v>118.45276083009394</v>
      </c>
      <c r="AB76" s="170">
        <f t="shared" si="15"/>
        <v>7.5828249028180883</v>
      </c>
      <c r="AC76" s="171">
        <f>(IF(Y76=0,0,AC75*(1+AA76*'CALCULETTE CHRONOS'!$C$5)))</f>
        <v>90.070401435996374</v>
      </c>
      <c r="AD76" s="171">
        <v>90.070401435996374</v>
      </c>
      <c r="AE76" s="170">
        <f t="shared" si="16"/>
        <v>0</v>
      </c>
      <c r="AF76" s="173">
        <f t="shared" si="17"/>
        <v>5585.3629815202248</v>
      </c>
    </row>
    <row r="77" spans="1:32">
      <c r="A77" s="451">
        <f t="shared" si="19"/>
        <v>66</v>
      </c>
      <c r="B77" s="451">
        <f t="shared" si="18"/>
        <v>1</v>
      </c>
      <c r="C77" s="170">
        <f t="shared" si="20"/>
        <v>63</v>
      </c>
      <c r="D77" s="171">
        <f t="shared" si="21"/>
        <v>4.3386516213151065</v>
      </c>
      <c r="E77" s="171">
        <f>IF(A77=0,0,E76*(1+C77*'CALCULETTE CHRONOS'!$C$5))</f>
        <v>84.582885972390514</v>
      </c>
      <c r="F77" s="171">
        <v>84.582885972390514</v>
      </c>
      <c r="G77" s="171">
        <f t="shared" si="22"/>
        <v>0</v>
      </c>
      <c r="H77" s="172">
        <f t="shared" si="23"/>
        <v>5549.6132154684055</v>
      </c>
      <c r="I77" s="451">
        <f t="shared" ref="I77:I91" si="27">IF(AND(I76&lt;&gt;$C$1,I76&lt;&gt;0),I76+1,0)</f>
        <v>66</v>
      </c>
      <c r="J77" s="451">
        <f t="shared" ref="J77:J91" si="28">J76-1</f>
        <v>1</v>
      </c>
      <c r="K77" s="170">
        <f t="shared" si="24"/>
        <v>82</v>
      </c>
      <c r="L77" s="170">
        <f t="shared" ref="L77:L91" si="29">IF($A77&lt;&gt;0,IF(L76-$C$4+0.0001&gt;$C$4,L76-$C$4,IF($C$1-$A77&gt;I$10,ROUNDUP(I$10*$C$4,0),ROUNDUP(($C$1-$A76)*$C$4,0))),0)</f>
        <v>4.0552166018787243</v>
      </c>
      <c r="M77" s="171">
        <f>(IF(I77=0,0,M76*(1+K77*'CALCULETTE CHRONOS'!$C$5)))</f>
        <v>86.389474000296289</v>
      </c>
      <c r="N77" s="171">
        <v>86.389474000296289</v>
      </c>
      <c r="O77" s="170">
        <f t="shared" ref="O77:O91" si="30">IF(AND($A77&lt;&gt;0,L77&gt;L76),$C$3+$C$2,0)</f>
        <v>0</v>
      </c>
      <c r="P77" s="173">
        <f t="shared" ref="P77:P91" si="31">(N77+O77+P76)</f>
        <v>5578.5851016807337</v>
      </c>
      <c r="Q77" s="451">
        <f t="shared" ref="Q77:Q91" si="32">IF(AND(Q76&lt;&gt;$C$1,Q76&lt;&gt;0),Q76+1,0)</f>
        <v>66</v>
      </c>
      <c r="R77" s="451">
        <f t="shared" ref="R77:R91" si="33">R76-1</f>
        <v>1</v>
      </c>
      <c r="S77" s="170">
        <f t="shared" si="25"/>
        <v>82</v>
      </c>
      <c r="T77" s="170">
        <f t="shared" ref="T77:T91" si="34">IF($A77&lt;&gt;0,IF(T76-$C$4+0.0001&gt;$C$4,T76-$C$4,IF($C$1-$A77&gt;Q$10,ROUNDUP(Q$10*$C$4,0),ROUNDUP(($C$1-$A76)*$C$4,0))),0)</f>
        <v>4.0552166018787243</v>
      </c>
      <c r="U77" s="171">
        <f>(IF(Q77=0,0,U76*(1+S77*'CALCULETTE CHRONOS'!$C$5)))</f>
        <v>86.957490726673427</v>
      </c>
      <c r="V77" s="171">
        <v>86.957490726673427</v>
      </c>
      <c r="W77" s="170">
        <f t="shared" ref="W77:W91" si="35">IF(AND($A77&lt;&gt;0,T77&gt;T76),$C$3+$C$2,0)</f>
        <v>0</v>
      </c>
      <c r="X77" s="173">
        <f t="shared" ref="X77:X91" si="36">(V77+W77+X76)</f>
        <v>5614.7321013999999</v>
      </c>
      <c r="Y77" s="451">
        <f t="shared" ref="Y77:Y91" si="37">IF(AND(Y76&lt;&gt;$C$1,Y76&lt;&gt;0),Y76+1,0)</f>
        <v>66</v>
      </c>
      <c r="Z77" s="451">
        <f t="shared" ref="Z77:Z91" si="38">Z76-1</f>
        <v>1</v>
      </c>
      <c r="AA77" s="170">
        <f t="shared" si="26"/>
        <v>122</v>
      </c>
      <c r="AB77" s="170">
        <f t="shared" ref="AB77:AB91" si="39">IF($A77&lt;&gt;0,IF(AB76-$C$4+0.0001&gt;$C$4,AB76-$C$4,IF($C$1-$A77&gt;Y$10,ROUNDUP(Y$10*$C$4,0),ROUNDUP(($C$1-$A76)*$C$4,0))),0)</f>
        <v>4.0355857329120237</v>
      </c>
      <c r="AC77" s="171">
        <f>(IF(Y77=0,0,AC76*(1+AA77*'CALCULETTE CHRONOS'!$C$5)))</f>
        <v>90.336090513590449</v>
      </c>
      <c r="AD77" s="171">
        <v>90.336090513590449</v>
      </c>
      <c r="AE77" s="170">
        <f t="shared" ref="AE77:AE91" si="40">IF(AND($A77&lt;&gt;0,AB77&gt;AB76),$C$3+$C$2,0)</f>
        <v>0</v>
      </c>
      <c r="AF77" s="173">
        <f t="shared" ref="AF77:AF91" si="41">(AD77+AE77+AF76)</f>
        <v>5675.6990720338154</v>
      </c>
    </row>
    <row r="78" spans="1:32">
      <c r="A78" s="451">
        <f t="shared" si="19"/>
        <v>0</v>
      </c>
      <c r="B78" s="451">
        <f t="shared" ref="B78:B91" si="42">B77-1</f>
        <v>0</v>
      </c>
      <c r="C78" s="170">
        <f t="shared" si="20"/>
        <v>0</v>
      </c>
      <c r="D78" s="171">
        <f t="shared" si="21"/>
        <v>0</v>
      </c>
      <c r="E78" s="171">
        <f>IF(A78=0,0,E77*(1+C78*'CALCULETTE CHRONOS'!$C$5))</f>
        <v>0</v>
      </c>
      <c r="F78" s="171">
        <v>0</v>
      </c>
      <c r="G78" s="171">
        <f t="shared" si="22"/>
        <v>0</v>
      </c>
      <c r="H78" s="172">
        <f t="shared" si="23"/>
        <v>5549.6132154684055</v>
      </c>
      <c r="I78" s="451">
        <f t="shared" si="27"/>
        <v>0</v>
      </c>
      <c r="J78" s="451">
        <f t="shared" si="28"/>
        <v>0</v>
      </c>
      <c r="K78" s="170">
        <f t="shared" si="24"/>
        <v>0</v>
      </c>
      <c r="L78" s="170">
        <f t="shared" si="29"/>
        <v>0</v>
      </c>
      <c r="M78" s="171">
        <f>(IF(I78=0,0,M77*(1+K78*'CALCULETTE CHRONOS'!$C$5)))</f>
        <v>0</v>
      </c>
      <c r="N78" s="171">
        <v>0</v>
      </c>
      <c r="O78" s="170">
        <f t="shared" si="30"/>
        <v>0</v>
      </c>
      <c r="P78" s="173">
        <f t="shared" si="31"/>
        <v>5578.5851016807337</v>
      </c>
      <c r="Q78" s="451">
        <f t="shared" si="32"/>
        <v>0</v>
      </c>
      <c r="R78" s="451">
        <f t="shared" si="33"/>
        <v>0</v>
      </c>
      <c r="S78" s="170">
        <f t="shared" si="25"/>
        <v>0</v>
      </c>
      <c r="T78" s="170">
        <f t="shared" si="34"/>
        <v>0</v>
      </c>
      <c r="U78" s="171">
        <f>(IF(Q78=0,0,U77*(1+S78*'CALCULETTE CHRONOS'!$C$5)))</f>
        <v>0</v>
      </c>
      <c r="V78" s="171">
        <v>0</v>
      </c>
      <c r="W78" s="170">
        <f t="shared" si="35"/>
        <v>0</v>
      </c>
      <c r="X78" s="173">
        <f t="shared" si="36"/>
        <v>5614.7321013999999</v>
      </c>
      <c r="Y78" s="451">
        <f t="shared" si="37"/>
        <v>0</v>
      </c>
      <c r="Z78" s="451">
        <f t="shared" si="38"/>
        <v>0</v>
      </c>
      <c r="AA78" s="170">
        <f t="shared" si="26"/>
        <v>0</v>
      </c>
      <c r="AB78" s="170">
        <f t="shared" si="39"/>
        <v>0</v>
      </c>
      <c r="AC78" s="171">
        <f>(IF(Y78=0,0,AC77*(1+AA78*'CALCULETTE CHRONOS'!$C$5)))</f>
        <v>0</v>
      </c>
      <c r="AD78" s="171">
        <v>0</v>
      </c>
      <c r="AE78" s="170">
        <f t="shared" si="40"/>
        <v>0</v>
      </c>
      <c r="AF78" s="173">
        <f t="shared" si="41"/>
        <v>5675.6990720338154</v>
      </c>
    </row>
    <row r="79" spans="1:32">
      <c r="A79" s="451">
        <f t="shared" ref="A79:A91" si="43">IF(AND(A78&lt;&gt;$C$1,A78&lt;&gt;0),A78+1,0)</f>
        <v>0</v>
      </c>
      <c r="B79" s="451">
        <f t="shared" si="42"/>
        <v>-1</v>
      </c>
      <c r="C79" s="170" t="e">
        <f t="shared" ref="C79:C91" si="44">VLOOKUP(B79,$A$12:$D$91,4,0)</f>
        <v>#N/A</v>
      </c>
      <c r="D79" s="171">
        <f t="shared" ref="D79:D91" si="45">IF($A79&lt;&gt;0,IF(D78-$C$4+0.0001&gt;$C$4,D78-$C$4,IF($C$1-$A79&gt;A$10,ROUNDUP(A$10*$C$4,0),ROUNDUP(($C$1-$A78)*$C$4,0))),0)</f>
        <v>0</v>
      </c>
      <c r="E79" s="171">
        <f>IF(A79=0,0,E78*(1+C79*'CALCULETTE CHRONOS'!$C$5))</f>
        <v>0</v>
      </c>
      <c r="F79" s="171">
        <v>0</v>
      </c>
      <c r="G79" s="171">
        <f t="shared" ref="G79:G91" si="46">IF(AND($A79&lt;&gt;0,D79&gt;D78),$C$3+$C$2,0)</f>
        <v>0</v>
      </c>
      <c r="H79" s="172">
        <f t="shared" ref="H79:H91" si="47">F79+G79+H78</f>
        <v>5549.6132154684055</v>
      </c>
      <c r="I79" s="451">
        <f t="shared" si="27"/>
        <v>0</v>
      </c>
      <c r="J79" s="451">
        <f t="shared" si="28"/>
        <v>-1</v>
      </c>
      <c r="K79" s="170" t="e">
        <f t="shared" si="24"/>
        <v>#N/A</v>
      </c>
      <c r="L79" s="170">
        <f t="shared" si="29"/>
        <v>0</v>
      </c>
      <c r="M79" s="171">
        <f>(IF(I79=0,0,M78*(1+K79*'CALCULETTE CHRONOS'!$C$5)))</f>
        <v>0</v>
      </c>
      <c r="N79" s="171">
        <v>0</v>
      </c>
      <c r="O79" s="170">
        <f t="shared" si="30"/>
        <v>0</v>
      </c>
      <c r="P79" s="173">
        <f t="shared" si="31"/>
        <v>5578.5851016807337</v>
      </c>
      <c r="Q79" s="451">
        <f t="shared" si="32"/>
        <v>0</v>
      </c>
      <c r="R79" s="451">
        <f t="shared" si="33"/>
        <v>-1</v>
      </c>
      <c r="S79" s="170" t="e">
        <f t="shared" si="25"/>
        <v>#N/A</v>
      </c>
      <c r="T79" s="170">
        <f t="shared" si="34"/>
        <v>0</v>
      </c>
      <c r="U79" s="171">
        <f>(IF(Q79=0,0,U78*(1+S79*'CALCULETTE CHRONOS'!$C$5)))</f>
        <v>0</v>
      </c>
      <c r="V79" s="171">
        <v>0</v>
      </c>
      <c r="W79" s="170">
        <f t="shared" si="35"/>
        <v>0</v>
      </c>
      <c r="X79" s="173">
        <f t="shared" si="36"/>
        <v>5614.7321013999999</v>
      </c>
      <c r="Y79" s="451">
        <f t="shared" si="37"/>
        <v>0</v>
      </c>
      <c r="Z79" s="451">
        <f t="shared" si="38"/>
        <v>-1</v>
      </c>
      <c r="AA79" s="170" t="e">
        <f t="shared" si="26"/>
        <v>#N/A</v>
      </c>
      <c r="AB79" s="170">
        <f t="shared" si="39"/>
        <v>0</v>
      </c>
      <c r="AC79" s="171">
        <f>(IF(Y79=0,0,AC78*(1+AA79*'CALCULETTE CHRONOS'!$C$5)))</f>
        <v>0</v>
      </c>
      <c r="AD79" s="171">
        <v>0</v>
      </c>
      <c r="AE79" s="170">
        <f t="shared" si="40"/>
        <v>0</v>
      </c>
      <c r="AF79" s="173">
        <f t="shared" si="41"/>
        <v>5675.6990720338154</v>
      </c>
    </row>
    <row r="80" spans="1:32">
      <c r="A80" s="451">
        <f t="shared" si="43"/>
        <v>0</v>
      </c>
      <c r="B80" s="451">
        <f t="shared" si="42"/>
        <v>-2</v>
      </c>
      <c r="C80" s="170" t="e">
        <f t="shared" si="44"/>
        <v>#N/A</v>
      </c>
      <c r="D80" s="171">
        <f t="shared" si="45"/>
        <v>0</v>
      </c>
      <c r="E80" s="171">
        <f>IF(A80=0,0,E79*(1+C80*'CALCULETTE CHRONOS'!$C$5))</f>
        <v>0</v>
      </c>
      <c r="F80" s="171">
        <v>0</v>
      </c>
      <c r="G80" s="171">
        <f t="shared" si="46"/>
        <v>0</v>
      </c>
      <c r="H80" s="172">
        <f t="shared" si="47"/>
        <v>5549.6132154684055</v>
      </c>
      <c r="I80" s="451">
        <f t="shared" si="27"/>
        <v>0</v>
      </c>
      <c r="J80" s="451">
        <f t="shared" si="28"/>
        <v>-2</v>
      </c>
      <c r="K80" s="170" t="e">
        <f t="shared" si="24"/>
        <v>#N/A</v>
      </c>
      <c r="L80" s="170">
        <f t="shared" si="29"/>
        <v>0</v>
      </c>
      <c r="M80" s="171">
        <f>(IF(I80=0,0,M79*(1+K80*'CALCULETTE CHRONOS'!$C$5)))</f>
        <v>0</v>
      </c>
      <c r="N80" s="171">
        <v>0</v>
      </c>
      <c r="O80" s="170">
        <f t="shared" si="30"/>
        <v>0</v>
      </c>
      <c r="P80" s="173">
        <f t="shared" si="31"/>
        <v>5578.5851016807337</v>
      </c>
      <c r="Q80" s="451">
        <f t="shared" si="32"/>
        <v>0</v>
      </c>
      <c r="R80" s="451">
        <f t="shared" si="33"/>
        <v>-2</v>
      </c>
      <c r="S80" s="170" t="e">
        <f t="shared" si="25"/>
        <v>#N/A</v>
      </c>
      <c r="T80" s="170">
        <f t="shared" si="34"/>
        <v>0</v>
      </c>
      <c r="U80" s="171">
        <f>(IF(Q80=0,0,U79*(1+S80*'CALCULETTE CHRONOS'!$C$5)))</f>
        <v>0</v>
      </c>
      <c r="V80" s="171">
        <v>0</v>
      </c>
      <c r="W80" s="170">
        <f t="shared" si="35"/>
        <v>0</v>
      </c>
      <c r="X80" s="173">
        <f t="shared" si="36"/>
        <v>5614.7321013999999</v>
      </c>
      <c r="Y80" s="451">
        <f t="shared" si="37"/>
        <v>0</v>
      </c>
      <c r="Z80" s="451">
        <f t="shared" si="38"/>
        <v>-2</v>
      </c>
      <c r="AA80" s="170" t="e">
        <f t="shared" si="26"/>
        <v>#N/A</v>
      </c>
      <c r="AB80" s="170">
        <f t="shared" si="39"/>
        <v>0</v>
      </c>
      <c r="AC80" s="171">
        <f>(IF(Y80=0,0,AC79*(1+AA80*'CALCULETTE CHRONOS'!$C$5)))</f>
        <v>0</v>
      </c>
      <c r="AD80" s="171">
        <v>0</v>
      </c>
      <c r="AE80" s="170">
        <f t="shared" si="40"/>
        <v>0</v>
      </c>
      <c r="AF80" s="173">
        <f t="shared" si="41"/>
        <v>5675.6990720338154</v>
      </c>
    </row>
    <row r="81" spans="1:32">
      <c r="A81" s="451">
        <f t="shared" si="43"/>
        <v>0</v>
      </c>
      <c r="B81" s="451">
        <f t="shared" si="42"/>
        <v>-3</v>
      </c>
      <c r="C81" s="170" t="e">
        <f t="shared" si="44"/>
        <v>#N/A</v>
      </c>
      <c r="D81" s="171">
        <f t="shared" si="45"/>
        <v>0</v>
      </c>
      <c r="E81" s="171">
        <f>IF(A81=0,0,E80*(1+C81*'CALCULETTE CHRONOS'!$C$5))</f>
        <v>0</v>
      </c>
      <c r="F81" s="171">
        <v>0</v>
      </c>
      <c r="G81" s="171">
        <f t="shared" si="46"/>
        <v>0</v>
      </c>
      <c r="H81" s="172">
        <f t="shared" si="47"/>
        <v>5549.6132154684055</v>
      </c>
      <c r="I81" s="451">
        <f t="shared" si="27"/>
        <v>0</v>
      </c>
      <c r="J81" s="451">
        <f t="shared" si="28"/>
        <v>-3</v>
      </c>
      <c r="K81" s="170" t="e">
        <f t="shared" si="24"/>
        <v>#N/A</v>
      </c>
      <c r="L81" s="170">
        <f t="shared" si="29"/>
        <v>0</v>
      </c>
      <c r="M81" s="171">
        <f>(IF(I81=0,0,M80*(1+K81*'CALCULETTE CHRONOS'!$C$5)))</f>
        <v>0</v>
      </c>
      <c r="N81" s="171">
        <v>0</v>
      </c>
      <c r="O81" s="170">
        <f t="shared" si="30"/>
        <v>0</v>
      </c>
      <c r="P81" s="173">
        <f t="shared" si="31"/>
        <v>5578.5851016807337</v>
      </c>
      <c r="Q81" s="451">
        <f t="shared" si="32"/>
        <v>0</v>
      </c>
      <c r="R81" s="451">
        <f t="shared" si="33"/>
        <v>-3</v>
      </c>
      <c r="S81" s="170" t="e">
        <f t="shared" si="25"/>
        <v>#N/A</v>
      </c>
      <c r="T81" s="170">
        <f t="shared" si="34"/>
        <v>0</v>
      </c>
      <c r="U81" s="171">
        <f>(IF(Q81=0,0,U80*(1+S81*'CALCULETTE CHRONOS'!$C$5)))</f>
        <v>0</v>
      </c>
      <c r="V81" s="171">
        <v>0</v>
      </c>
      <c r="W81" s="170">
        <f t="shared" si="35"/>
        <v>0</v>
      </c>
      <c r="X81" s="173">
        <f t="shared" si="36"/>
        <v>5614.7321013999999</v>
      </c>
      <c r="Y81" s="451">
        <f t="shared" si="37"/>
        <v>0</v>
      </c>
      <c r="Z81" s="451">
        <f t="shared" si="38"/>
        <v>-3</v>
      </c>
      <c r="AA81" s="170" t="e">
        <f t="shared" si="26"/>
        <v>#N/A</v>
      </c>
      <c r="AB81" s="170">
        <f t="shared" si="39"/>
        <v>0</v>
      </c>
      <c r="AC81" s="171">
        <f>(IF(Y81=0,0,AC80*(1+AA81*'CALCULETTE CHRONOS'!$C$5)))</f>
        <v>0</v>
      </c>
      <c r="AD81" s="171">
        <v>0</v>
      </c>
      <c r="AE81" s="170">
        <f t="shared" si="40"/>
        <v>0</v>
      </c>
      <c r="AF81" s="173">
        <f t="shared" si="41"/>
        <v>5675.6990720338154</v>
      </c>
    </row>
    <row r="82" spans="1:32">
      <c r="A82" s="451">
        <f t="shared" si="43"/>
        <v>0</v>
      </c>
      <c r="B82" s="451">
        <f>B81-1</f>
        <v>-4</v>
      </c>
      <c r="C82" s="170" t="e">
        <f t="shared" si="44"/>
        <v>#N/A</v>
      </c>
      <c r="D82" s="171">
        <f t="shared" si="45"/>
        <v>0</v>
      </c>
      <c r="E82" s="171">
        <f>IF(A82=0,0,E81*(1+C82*'CALCULETTE CHRONOS'!$C$5))</f>
        <v>0</v>
      </c>
      <c r="F82" s="171">
        <v>0</v>
      </c>
      <c r="G82" s="171">
        <f t="shared" si="46"/>
        <v>0</v>
      </c>
      <c r="H82" s="172">
        <f t="shared" si="47"/>
        <v>5549.6132154684055</v>
      </c>
      <c r="I82" s="451">
        <f t="shared" si="27"/>
        <v>0</v>
      </c>
      <c r="J82" s="451">
        <f t="shared" si="28"/>
        <v>-4</v>
      </c>
      <c r="K82" s="170" t="e">
        <f t="shared" si="24"/>
        <v>#N/A</v>
      </c>
      <c r="L82" s="170">
        <f t="shared" si="29"/>
        <v>0</v>
      </c>
      <c r="M82" s="171">
        <f>(IF(I82=0,0,M81*(1+K82*'CALCULETTE CHRONOS'!$C$5)))</f>
        <v>0</v>
      </c>
      <c r="N82" s="171">
        <v>0</v>
      </c>
      <c r="O82" s="170">
        <f t="shared" si="30"/>
        <v>0</v>
      </c>
      <c r="P82" s="173">
        <f t="shared" si="31"/>
        <v>5578.5851016807337</v>
      </c>
      <c r="Q82" s="451">
        <f t="shared" si="32"/>
        <v>0</v>
      </c>
      <c r="R82" s="451">
        <f t="shared" si="33"/>
        <v>-4</v>
      </c>
      <c r="S82" s="170" t="e">
        <f t="shared" si="25"/>
        <v>#N/A</v>
      </c>
      <c r="T82" s="170">
        <f t="shared" si="34"/>
        <v>0</v>
      </c>
      <c r="U82" s="171">
        <f>(IF(Q82=0,0,U81*(1+S82*'CALCULETTE CHRONOS'!$C$5)))</f>
        <v>0</v>
      </c>
      <c r="V82" s="171">
        <v>0</v>
      </c>
      <c r="W82" s="170">
        <f t="shared" si="35"/>
        <v>0</v>
      </c>
      <c r="X82" s="173">
        <f t="shared" si="36"/>
        <v>5614.7321013999999</v>
      </c>
      <c r="Y82" s="451">
        <f t="shared" si="37"/>
        <v>0</v>
      </c>
      <c r="Z82" s="451">
        <f t="shared" si="38"/>
        <v>-4</v>
      </c>
      <c r="AA82" s="170" t="e">
        <f t="shared" si="26"/>
        <v>#N/A</v>
      </c>
      <c r="AB82" s="170">
        <f t="shared" si="39"/>
        <v>0</v>
      </c>
      <c r="AC82" s="171">
        <f>(IF(Y82=0,0,AC81*(1+AA82*'CALCULETTE CHRONOS'!$C$5)))</f>
        <v>0</v>
      </c>
      <c r="AD82" s="171">
        <v>0</v>
      </c>
      <c r="AE82" s="170">
        <f t="shared" si="40"/>
        <v>0</v>
      </c>
      <c r="AF82" s="173">
        <f t="shared" si="41"/>
        <v>5675.6990720338154</v>
      </c>
    </row>
    <row r="83" spans="1:32">
      <c r="A83" s="451">
        <f t="shared" si="43"/>
        <v>0</v>
      </c>
      <c r="B83" s="451">
        <f t="shared" si="42"/>
        <v>-5</v>
      </c>
      <c r="C83" s="170" t="e">
        <f t="shared" si="44"/>
        <v>#N/A</v>
      </c>
      <c r="D83" s="171">
        <f t="shared" si="45"/>
        <v>0</v>
      </c>
      <c r="E83" s="171">
        <f>IF(A83=0,0,E82*(1+C83*'CALCULETTE CHRONOS'!$C$5))</f>
        <v>0</v>
      </c>
      <c r="F83" s="171">
        <v>0</v>
      </c>
      <c r="G83" s="171">
        <f t="shared" si="46"/>
        <v>0</v>
      </c>
      <c r="H83" s="172">
        <f t="shared" si="47"/>
        <v>5549.6132154684055</v>
      </c>
      <c r="I83" s="451">
        <f t="shared" si="27"/>
        <v>0</v>
      </c>
      <c r="J83" s="451">
        <f t="shared" si="28"/>
        <v>-5</v>
      </c>
      <c r="K83" s="170" t="e">
        <f t="shared" si="24"/>
        <v>#N/A</v>
      </c>
      <c r="L83" s="170">
        <f t="shared" si="29"/>
        <v>0</v>
      </c>
      <c r="M83" s="171">
        <f>(IF(I83=0,0,M82*(1+K83*'CALCULETTE CHRONOS'!$C$5)))</f>
        <v>0</v>
      </c>
      <c r="N83" s="171">
        <v>0</v>
      </c>
      <c r="O83" s="170">
        <f t="shared" si="30"/>
        <v>0</v>
      </c>
      <c r="P83" s="173">
        <f t="shared" si="31"/>
        <v>5578.5851016807337</v>
      </c>
      <c r="Q83" s="451">
        <f t="shared" si="32"/>
        <v>0</v>
      </c>
      <c r="R83" s="451">
        <f t="shared" si="33"/>
        <v>-5</v>
      </c>
      <c r="S83" s="170" t="e">
        <f t="shared" si="25"/>
        <v>#N/A</v>
      </c>
      <c r="T83" s="170">
        <f t="shared" si="34"/>
        <v>0</v>
      </c>
      <c r="U83" s="171">
        <f>(IF(Q83=0,0,U82*(1+S83*'CALCULETTE CHRONOS'!$C$5)))</f>
        <v>0</v>
      </c>
      <c r="V83" s="171">
        <v>0</v>
      </c>
      <c r="W83" s="170">
        <f t="shared" si="35"/>
        <v>0</v>
      </c>
      <c r="X83" s="173">
        <f t="shared" si="36"/>
        <v>5614.7321013999999</v>
      </c>
      <c r="Y83" s="451">
        <f t="shared" si="37"/>
        <v>0</v>
      </c>
      <c r="Z83" s="451">
        <f t="shared" si="38"/>
        <v>-5</v>
      </c>
      <c r="AA83" s="170" t="e">
        <f t="shared" si="26"/>
        <v>#N/A</v>
      </c>
      <c r="AB83" s="170">
        <f t="shared" si="39"/>
        <v>0</v>
      </c>
      <c r="AC83" s="171">
        <f>(IF(Y83=0,0,AC82*(1+AA83*'CALCULETTE CHRONOS'!$C$5)))</f>
        <v>0</v>
      </c>
      <c r="AD83" s="171">
        <v>0</v>
      </c>
      <c r="AE83" s="170">
        <f t="shared" si="40"/>
        <v>0</v>
      </c>
      <c r="AF83" s="173">
        <f t="shared" si="41"/>
        <v>5675.6990720338154</v>
      </c>
    </row>
    <row r="84" spans="1:32">
      <c r="A84" s="451">
        <f t="shared" si="43"/>
        <v>0</v>
      </c>
      <c r="B84" s="451">
        <f t="shared" si="42"/>
        <v>-6</v>
      </c>
      <c r="C84" s="170" t="e">
        <f t="shared" si="44"/>
        <v>#N/A</v>
      </c>
      <c r="D84" s="171">
        <f t="shared" si="45"/>
        <v>0</v>
      </c>
      <c r="E84" s="171">
        <f>IF(A84=0,0,E83*(1+C84*'CALCULETTE CHRONOS'!$C$5))</f>
        <v>0</v>
      </c>
      <c r="F84" s="171">
        <v>0</v>
      </c>
      <c r="G84" s="171">
        <f t="shared" si="46"/>
        <v>0</v>
      </c>
      <c r="H84" s="172">
        <f t="shared" si="47"/>
        <v>5549.6132154684055</v>
      </c>
      <c r="I84" s="451">
        <f t="shared" si="27"/>
        <v>0</v>
      </c>
      <c r="J84" s="451">
        <f t="shared" si="28"/>
        <v>-6</v>
      </c>
      <c r="K84" s="170" t="e">
        <f t="shared" si="24"/>
        <v>#N/A</v>
      </c>
      <c r="L84" s="170">
        <f t="shared" si="29"/>
        <v>0</v>
      </c>
      <c r="M84" s="171">
        <f>(IF(I84=0,0,M83*(1+K84*'CALCULETTE CHRONOS'!$C$5)))</f>
        <v>0</v>
      </c>
      <c r="N84" s="171">
        <v>0</v>
      </c>
      <c r="O84" s="170">
        <f t="shared" si="30"/>
        <v>0</v>
      </c>
      <c r="P84" s="173">
        <f t="shared" si="31"/>
        <v>5578.5851016807337</v>
      </c>
      <c r="Q84" s="451">
        <f t="shared" si="32"/>
        <v>0</v>
      </c>
      <c r="R84" s="451">
        <f t="shared" si="33"/>
        <v>-6</v>
      </c>
      <c r="S84" s="170" t="e">
        <f t="shared" si="25"/>
        <v>#N/A</v>
      </c>
      <c r="T84" s="170">
        <f t="shared" si="34"/>
        <v>0</v>
      </c>
      <c r="U84" s="171">
        <f>(IF(Q84=0,0,U83*(1+S84*'CALCULETTE CHRONOS'!$C$5)))</f>
        <v>0</v>
      </c>
      <c r="V84" s="171">
        <v>0</v>
      </c>
      <c r="W84" s="170">
        <f t="shared" si="35"/>
        <v>0</v>
      </c>
      <c r="X84" s="173">
        <f t="shared" si="36"/>
        <v>5614.7321013999999</v>
      </c>
      <c r="Y84" s="451">
        <f t="shared" si="37"/>
        <v>0</v>
      </c>
      <c r="Z84" s="451">
        <f t="shared" si="38"/>
        <v>-6</v>
      </c>
      <c r="AA84" s="170" t="e">
        <f t="shared" si="26"/>
        <v>#N/A</v>
      </c>
      <c r="AB84" s="170">
        <f t="shared" si="39"/>
        <v>0</v>
      </c>
      <c r="AC84" s="171">
        <f>(IF(Y84=0,0,AC83*(1+AA84*'CALCULETTE CHRONOS'!$C$5)))</f>
        <v>0</v>
      </c>
      <c r="AD84" s="171">
        <v>0</v>
      </c>
      <c r="AE84" s="170">
        <f t="shared" si="40"/>
        <v>0</v>
      </c>
      <c r="AF84" s="173">
        <f t="shared" si="41"/>
        <v>5675.6990720338154</v>
      </c>
    </row>
    <row r="85" spans="1:32">
      <c r="A85" s="451">
        <f t="shared" si="43"/>
        <v>0</v>
      </c>
      <c r="B85" s="451">
        <f t="shared" si="42"/>
        <v>-7</v>
      </c>
      <c r="C85" s="170" t="e">
        <f t="shared" si="44"/>
        <v>#N/A</v>
      </c>
      <c r="D85" s="171">
        <f t="shared" si="45"/>
        <v>0</v>
      </c>
      <c r="E85" s="171">
        <f>IF(A85=0,0,E84*(1+C85*'CALCULETTE CHRONOS'!$C$5))</f>
        <v>0</v>
      </c>
      <c r="F85" s="171">
        <v>0</v>
      </c>
      <c r="G85" s="171">
        <f t="shared" si="46"/>
        <v>0</v>
      </c>
      <c r="H85" s="172">
        <f t="shared" si="47"/>
        <v>5549.6132154684055</v>
      </c>
      <c r="I85" s="451">
        <f t="shared" si="27"/>
        <v>0</v>
      </c>
      <c r="J85" s="451">
        <f t="shared" si="28"/>
        <v>-7</v>
      </c>
      <c r="K85" s="170" t="e">
        <f t="shared" si="24"/>
        <v>#N/A</v>
      </c>
      <c r="L85" s="170">
        <f t="shared" si="29"/>
        <v>0</v>
      </c>
      <c r="M85" s="171">
        <f>(IF(I85=0,0,M84*(1+K85*'CALCULETTE CHRONOS'!$C$5)))</f>
        <v>0</v>
      </c>
      <c r="N85" s="171">
        <v>0</v>
      </c>
      <c r="O85" s="170">
        <f t="shared" si="30"/>
        <v>0</v>
      </c>
      <c r="P85" s="173">
        <f t="shared" si="31"/>
        <v>5578.5851016807337</v>
      </c>
      <c r="Q85" s="451">
        <f t="shared" si="32"/>
        <v>0</v>
      </c>
      <c r="R85" s="451">
        <f t="shared" si="33"/>
        <v>-7</v>
      </c>
      <c r="S85" s="170" t="e">
        <f t="shared" si="25"/>
        <v>#N/A</v>
      </c>
      <c r="T85" s="170">
        <f t="shared" si="34"/>
        <v>0</v>
      </c>
      <c r="U85" s="171">
        <f>(IF(Q85=0,0,U84*(1+S85*'CALCULETTE CHRONOS'!$C$5)))</f>
        <v>0</v>
      </c>
      <c r="V85" s="171">
        <v>0</v>
      </c>
      <c r="W85" s="170">
        <f t="shared" si="35"/>
        <v>0</v>
      </c>
      <c r="X85" s="173">
        <f t="shared" si="36"/>
        <v>5614.7321013999999</v>
      </c>
      <c r="Y85" s="451">
        <f t="shared" si="37"/>
        <v>0</v>
      </c>
      <c r="Z85" s="451">
        <f t="shared" si="38"/>
        <v>-7</v>
      </c>
      <c r="AA85" s="170" t="e">
        <f t="shared" si="26"/>
        <v>#N/A</v>
      </c>
      <c r="AB85" s="170">
        <f t="shared" si="39"/>
        <v>0</v>
      </c>
      <c r="AC85" s="171">
        <f>(IF(Y85=0,0,AC84*(1+AA85*'CALCULETTE CHRONOS'!$C$5)))</f>
        <v>0</v>
      </c>
      <c r="AD85" s="171">
        <v>0</v>
      </c>
      <c r="AE85" s="170">
        <f t="shared" si="40"/>
        <v>0</v>
      </c>
      <c r="AF85" s="173">
        <f t="shared" si="41"/>
        <v>5675.6990720338154</v>
      </c>
    </row>
    <row r="86" spans="1:32">
      <c r="A86" s="451">
        <f t="shared" si="43"/>
        <v>0</v>
      </c>
      <c r="B86" s="451">
        <f t="shared" si="42"/>
        <v>-8</v>
      </c>
      <c r="C86" s="170" t="e">
        <f t="shared" si="44"/>
        <v>#N/A</v>
      </c>
      <c r="D86" s="171">
        <f t="shared" si="45"/>
        <v>0</v>
      </c>
      <c r="E86" s="171">
        <f>IF(A86=0,0,E85*(1+C86*'CALCULETTE CHRONOS'!$C$5))</f>
        <v>0</v>
      </c>
      <c r="F86" s="171">
        <v>0</v>
      </c>
      <c r="G86" s="171">
        <f t="shared" si="46"/>
        <v>0</v>
      </c>
      <c r="H86" s="172">
        <f t="shared" si="47"/>
        <v>5549.6132154684055</v>
      </c>
      <c r="I86" s="451">
        <f t="shared" si="27"/>
        <v>0</v>
      </c>
      <c r="J86" s="451">
        <f t="shared" si="28"/>
        <v>-8</v>
      </c>
      <c r="K86" s="170" t="e">
        <f t="shared" si="24"/>
        <v>#N/A</v>
      </c>
      <c r="L86" s="170">
        <f t="shared" si="29"/>
        <v>0</v>
      </c>
      <c r="M86" s="171">
        <f>(IF(I86=0,0,M85*(1+K86*'CALCULETTE CHRONOS'!$C$5)))</f>
        <v>0</v>
      </c>
      <c r="N86" s="171">
        <v>0</v>
      </c>
      <c r="O86" s="170">
        <f t="shared" si="30"/>
        <v>0</v>
      </c>
      <c r="P86" s="173">
        <f t="shared" si="31"/>
        <v>5578.5851016807337</v>
      </c>
      <c r="Q86" s="451">
        <f t="shared" si="32"/>
        <v>0</v>
      </c>
      <c r="R86" s="451">
        <f t="shared" si="33"/>
        <v>-8</v>
      </c>
      <c r="S86" s="170" t="e">
        <f t="shared" si="25"/>
        <v>#N/A</v>
      </c>
      <c r="T86" s="170">
        <f t="shared" si="34"/>
        <v>0</v>
      </c>
      <c r="U86" s="171">
        <f>(IF(Q86=0,0,U85*(1+S86*'CALCULETTE CHRONOS'!$C$5)))</f>
        <v>0</v>
      </c>
      <c r="V86" s="171">
        <v>0</v>
      </c>
      <c r="W86" s="170">
        <f t="shared" si="35"/>
        <v>0</v>
      </c>
      <c r="X86" s="173">
        <f t="shared" si="36"/>
        <v>5614.7321013999999</v>
      </c>
      <c r="Y86" s="451">
        <f t="shared" si="37"/>
        <v>0</v>
      </c>
      <c r="Z86" s="451">
        <f t="shared" si="38"/>
        <v>-8</v>
      </c>
      <c r="AA86" s="170" t="e">
        <f t="shared" si="26"/>
        <v>#N/A</v>
      </c>
      <c r="AB86" s="170">
        <f t="shared" si="39"/>
        <v>0</v>
      </c>
      <c r="AC86" s="171">
        <f>(IF(Y86=0,0,AC85*(1+AA86*'CALCULETTE CHRONOS'!$C$5)))</f>
        <v>0</v>
      </c>
      <c r="AD86" s="171">
        <v>0</v>
      </c>
      <c r="AE86" s="170">
        <f t="shared" si="40"/>
        <v>0</v>
      </c>
      <c r="AF86" s="173">
        <f t="shared" si="41"/>
        <v>5675.6990720338154</v>
      </c>
    </row>
    <row r="87" spans="1:32">
      <c r="A87" s="451">
        <f t="shared" si="43"/>
        <v>0</v>
      </c>
      <c r="B87" s="451">
        <f t="shared" si="42"/>
        <v>-9</v>
      </c>
      <c r="C87" s="170" t="e">
        <f t="shared" si="44"/>
        <v>#N/A</v>
      </c>
      <c r="D87" s="171">
        <f t="shared" si="45"/>
        <v>0</v>
      </c>
      <c r="E87" s="171">
        <f>IF(A87=0,0,E86*(1+C87*'CALCULETTE CHRONOS'!$C$5))</f>
        <v>0</v>
      </c>
      <c r="F87" s="171">
        <v>0</v>
      </c>
      <c r="G87" s="171">
        <f t="shared" si="46"/>
        <v>0</v>
      </c>
      <c r="H87" s="172">
        <f t="shared" si="47"/>
        <v>5549.6132154684055</v>
      </c>
      <c r="I87" s="451">
        <f t="shared" si="27"/>
        <v>0</v>
      </c>
      <c r="J87" s="451">
        <f t="shared" si="28"/>
        <v>-9</v>
      </c>
      <c r="K87" s="170" t="e">
        <f t="shared" si="24"/>
        <v>#N/A</v>
      </c>
      <c r="L87" s="170">
        <f t="shared" si="29"/>
        <v>0</v>
      </c>
      <c r="M87" s="171">
        <f>(IF(I87=0,0,M86*(1+K87*'CALCULETTE CHRONOS'!$C$5)))</f>
        <v>0</v>
      </c>
      <c r="N87" s="171">
        <v>0</v>
      </c>
      <c r="O87" s="170">
        <f t="shared" si="30"/>
        <v>0</v>
      </c>
      <c r="P87" s="173">
        <f t="shared" si="31"/>
        <v>5578.5851016807337</v>
      </c>
      <c r="Q87" s="451">
        <f t="shared" si="32"/>
        <v>0</v>
      </c>
      <c r="R87" s="451">
        <f t="shared" si="33"/>
        <v>-9</v>
      </c>
      <c r="S87" s="170" t="e">
        <f t="shared" si="25"/>
        <v>#N/A</v>
      </c>
      <c r="T87" s="170">
        <f t="shared" si="34"/>
        <v>0</v>
      </c>
      <c r="U87" s="171">
        <f>(IF(Q87=0,0,U86*(1+S87*'CALCULETTE CHRONOS'!$C$5)))</f>
        <v>0</v>
      </c>
      <c r="V87" s="171">
        <v>0</v>
      </c>
      <c r="W87" s="170">
        <f t="shared" si="35"/>
        <v>0</v>
      </c>
      <c r="X87" s="173">
        <f t="shared" si="36"/>
        <v>5614.7321013999999</v>
      </c>
      <c r="Y87" s="451">
        <f t="shared" si="37"/>
        <v>0</v>
      </c>
      <c r="Z87" s="451">
        <f t="shared" si="38"/>
        <v>-9</v>
      </c>
      <c r="AA87" s="170" t="e">
        <f t="shared" si="26"/>
        <v>#N/A</v>
      </c>
      <c r="AB87" s="170">
        <f t="shared" si="39"/>
        <v>0</v>
      </c>
      <c r="AC87" s="171">
        <f>(IF(Y87=0,0,AC86*(1+AA87*'CALCULETTE CHRONOS'!$C$5)))</f>
        <v>0</v>
      </c>
      <c r="AD87" s="171">
        <v>0</v>
      </c>
      <c r="AE87" s="170">
        <f t="shared" si="40"/>
        <v>0</v>
      </c>
      <c r="AF87" s="173">
        <f t="shared" si="41"/>
        <v>5675.6990720338154</v>
      </c>
    </row>
    <row r="88" spans="1:32">
      <c r="A88" s="451">
        <f t="shared" si="43"/>
        <v>0</v>
      </c>
      <c r="B88" s="451">
        <f t="shared" si="42"/>
        <v>-10</v>
      </c>
      <c r="C88" s="170" t="e">
        <f t="shared" si="44"/>
        <v>#N/A</v>
      </c>
      <c r="D88" s="171">
        <f t="shared" si="45"/>
        <v>0</v>
      </c>
      <c r="E88" s="171">
        <f>IF(A88=0,0,E87*(1+C88*'CALCULETTE CHRONOS'!$C$5))</f>
        <v>0</v>
      </c>
      <c r="F88" s="171">
        <v>0</v>
      </c>
      <c r="G88" s="171">
        <f t="shared" si="46"/>
        <v>0</v>
      </c>
      <c r="H88" s="172">
        <f t="shared" si="47"/>
        <v>5549.6132154684055</v>
      </c>
      <c r="I88" s="451">
        <f t="shared" si="27"/>
        <v>0</v>
      </c>
      <c r="J88" s="451">
        <f t="shared" si="28"/>
        <v>-10</v>
      </c>
      <c r="K88" s="170" t="e">
        <f t="shared" si="24"/>
        <v>#N/A</v>
      </c>
      <c r="L88" s="170">
        <f t="shared" si="29"/>
        <v>0</v>
      </c>
      <c r="M88" s="171">
        <f>(IF(I88=0,0,M87*(1+K88*'CALCULETTE CHRONOS'!$C$5)))</f>
        <v>0</v>
      </c>
      <c r="N88" s="171">
        <v>0</v>
      </c>
      <c r="O88" s="170">
        <f t="shared" si="30"/>
        <v>0</v>
      </c>
      <c r="P88" s="173">
        <f t="shared" si="31"/>
        <v>5578.5851016807337</v>
      </c>
      <c r="Q88" s="451">
        <f t="shared" si="32"/>
        <v>0</v>
      </c>
      <c r="R88" s="451">
        <f t="shared" si="33"/>
        <v>-10</v>
      </c>
      <c r="S88" s="170" t="e">
        <f t="shared" si="25"/>
        <v>#N/A</v>
      </c>
      <c r="T88" s="170">
        <f t="shared" si="34"/>
        <v>0</v>
      </c>
      <c r="U88" s="171">
        <f>(IF(Q88=0,0,U87*(1+S88*'CALCULETTE CHRONOS'!$C$5)))</f>
        <v>0</v>
      </c>
      <c r="V88" s="171">
        <v>0</v>
      </c>
      <c r="W88" s="170">
        <f t="shared" si="35"/>
        <v>0</v>
      </c>
      <c r="X88" s="173">
        <f t="shared" si="36"/>
        <v>5614.7321013999999</v>
      </c>
      <c r="Y88" s="451">
        <f t="shared" si="37"/>
        <v>0</v>
      </c>
      <c r="Z88" s="451">
        <f t="shared" si="38"/>
        <v>-10</v>
      </c>
      <c r="AA88" s="170" t="e">
        <f t="shared" si="26"/>
        <v>#N/A</v>
      </c>
      <c r="AB88" s="170">
        <f t="shared" si="39"/>
        <v>0</v>
      </c>
      <c r="AC88" s="171">
        <f>(IF(Y88=0,0,AC87*(1+AA88*'CALCULETTE CHRONOS'!$C$5)))</f>
        <v>0</v>
      </c>
      <c r="AD88" s="171">
        <v>0</v>
      </c>
      <c r="AE88" s="170">
        <f t="shared" si="40"/>
        <v>0</v>
      </c>
      <c r="AF88" s="173">
        <f t="shared" si="41"/>
        <v>5675.6990720338154</v>
      </c>
    </row>
    <row r="89" spans="1:32">
      <c r="A89" s="451">
        <f t="shared" si="43"/>
        <v>0</v>
      </c>
      <c r="B89" s="451">
        <f t="shared" si="42"/>
        <v>-11</v>
      </c>
      <c r="C89" s="170" t="e">
        <f t="shared" si="44"/>
        <v>#N/A</v>
      </c>
      <c r="D89" s="171">
        <f t="shared" si="45"/>
        <v>0</v>
      </c>
      <c r="E89" s="171">
        <f>IF(A89=0,0,E88*(1+C89*'CALCULETTE CHRONOS'!$C$5))</f>
        <v>0</v>
      </c>
      <c r="F89" s="171">
        <v>0</v>
      </c>
      <c r="G89" s="171">
        <f t="shared" si="46"/>
        <v>0</v>
      </c>
      <c r="H89" s="172">
        <f t="shared" si="47"/>
        <v>5549.6132154684055</v>
      </c>
      <c r="I89" s="451">
        <f t="shared" si="27"/>
        <v>0</v>
      </c>
      <c r="J89" s="451">
        <f t="shared" si="28"/>
        <v>-11</v>
      </c>
      <c r="K89" s="170" t="e">
        <f t="shared" si="24"/>
        <v>#N/A</v>
      </c>
      <c r="L89" s="170">
        <f t="shared" si="29"/>
        <v>0</v>
      </c>
      <c r="M89" s="171">
        <f>(IF(I89=0,0,M88*(1+K89*'CALCULETTE CHRONOS'!$C$5)))</f>
        <v>0</v>
      </c>
      <c r="N89" s="171">
        <v>0</v>
      </c>
      <c r="O89" s="170">
        <f t="shared" si="30"/>
        <v>0</v>
      </c>
      <c r="P89" s="173">
        <f t="shared" si="31"/>
        <v>5578.5851016807337</v>
      </c>
      <c r="Q89" s="451">
        <f t="shared" si="32"/>
        <v>0</v>
      </c>
      <c r="R89" s="451">
        <f t="shared" si="33"/>
        <v>-11</v>
      </c>
      <c r="S89" s="170" t="e">
        <f t="shared" si="25"/>
        <v>#N/A</v>
      </c>
      <c r="T89" s="170">
        <f t="shared" si="34"/>
        <v>0</v>
      </c>
      <c r="U89" s="171">
        <f>(IF(Q89=0,0,U88*(1+S89*'CALCULETTE CHRONOS'!$C$5)))</f>
        <v>0</v>
      </c>
      <c r="V89" s="171">
        <v>0</v>
      </c>
      <c r="W89" s="170">
        <f t="shared" si="35"/>
        <v>0</v>
      </c>
      <c r="X89" s="173">
        <f t="shared" si="36"/>
        <v>5614.7321013999999</v>
      </c>
      <c r="Y89" s="451">
        <f t="shared" si="37"/>
        <v>0</v>
      </c>
      <c r="Z89" s="451">
        <f t="shared" si="38"/>
        <v>-11</v>
      </c>
      <c r="AA89" s="170" t="e">
        <f t="shared" si="26"/>
        <v>#N/A</v>
      </c>
      <c r="AB89" s="170">
        <f t="shared" si="39"/>
        <v>0</v>
      </c>
      <c r="AC89" s="171">
        <f>(IF(Y89=0,0,AC88*(1+AA89*'CALCULETTE CHRONOS'!$C$5)))</f>
        <v>0</v>
      </c>
      <c r="AD89" s="171">
        <v>0</v>
      </c>
      <c r="AE89" s="170">
        <f t="shared" si="40"/>
        <v>0</v>
      </c>
      <c r="AF89" s="173">
        <f t="shared" si="41"/>
        <v>5675.6990720338154</v>
      </c>
    </row>
    <row r="90" spans="1:32">
      <c r="A90" s="451">
        <f t="shared" si="43"/>
        <v>0</v>
      </c>
      <c r="B90" s="451">
        <f t="shared" si="42"/>
        <v>-12</v>
      </c>
      <c r="C90" s="170" t="e">
        <f t="shared" si="44"/>
        <v>#N/A</v>
      </c>
      <c r="D90" s="171">
        <f t="shared" si="45"/>
        <v>0</v>
      </c>
      <c r="E90" s="171">
        <f>IF(A90=0,0,E89*(1+C90*'CALCULETTE CHRONOS'!$C$5))</f>
        <v>0</v>
      </c>
      <c r="F90" s="171">
        <v>0</v>
      </c>
      <c r="G90" s="171">
        <f t="shared" si="46"/>
        <v>0</v>
      </c>
      <c r="H90" s="172">
        <f t="shared" si="47"/>
        <v>5549.6132154684055</v>
      </c>
      <c r="I90" s="451">
        <f t="shared" si="27"/>
        <v>0</v>
      </c>
      <c r="J90" s="451">
        <f t="shared" si="28"/>
        <v>-12</v>
      </c>
      <c r="K90" s="170" t="e">
        <f t="shared" si="24"/>
        <v>#N/A</v>
      </c>
      <c r="L90" s="170">
        <f t="shared" si="29"/>
        <v>0</v>
      </c>
      <c r="M90" s="171">
        <f>(IF(I90=0,0,M89*(1+K90*'CALCULETTE CHRONOS'!$C$5)))</f>
        <v>0</v>
      </c>
      <c r="N90" s="171">
        <v>0</v>
      </c>
      <c r="O90" s="170">
        <f t="shared" si="30"/>
        <v>0</v>
      </c>
      <c r="P90" s="173">
        <f t="shared" si="31"/>
        <v>5578.5851016807337</v>
      </c>
      <c r="Q90" s="451">
        <f t="shared" si="32"/>
        <v>0</v>
      </c>
      <c r="R90" s="451">
        <f t="shared" si="33"/>
        <v>-12</v>
      </c>
      <c r="S90" s="170" t="e">
        <f t="shared" si="25"/>
        <v>#N/A</v>
      </c>
      <c r="T90" s="170">
        <f t="shared" si="34"/>
        <v>0</v>
      </c>
      <c r="U90" s="171">
        <f>(IF(Q90=0,0,U89*(1+S90*'CALCULETTE CHRONOS'!$C$5)))</f>
        <v>0</v>
      </c>
      <c r="V90" s="171">
        <v>0</v>
      </c>
      <c r="W90" s="170">
        <f t="shared" si="35"/>
        <v>0</v>
      </c>
      <c r="X90" s="173">
        <f t="shared" si="36"/>
        <v>5614.7321013999999</v>
      </c>
      <c r="Y90" s="451">
        <f t="shared" si="37"/>
        <v>0</v>
      </c>
      <c r="Z90" s="451">
        <f t="shared" si="38"/>
        <v>-12</v>
      </c>
      <c r="AA90" s="170" t="e">
        <f t="shared" si="26"/>
        <v>#N/A</v>
      </c>
      <c r="AB90" s="170">
        <f t="shared" si="39"/>
        <v>0</v>
      </c>
      <c r="AC90" s="171">
        <f>(IF(Y90=0,0,AC89*(1+AA90*'CALCULETTE CHRONOS'!$C$5)))</f>
        <v>0</v>
      </c>
      <c r="AD90" s="171">
        <v>0</v>
      </c>
      <c r="AE90" s="170">
        <f t="shared" si="40"/>
        <v>0</v>
      </c>
      <c r="AF90" s="173">
        <f t="shared" si="41"/>
        <v>5675.6990720338154</v>
      </c>
    </row>
    <row r="91" spans="1:32">
      <c r="A91" s="451">
        <f t="shared" si="43"/>
        <v>0</v>
      </c>
      <c r="B91" s="451">
        <f t="shared" si="42"/>
        <v>-13</v>
      </c>
      <c r="C91" s="170" t="e">
        <f t="shared" si="44"/>
        <v>#N/A</v>
      </c>
      <c r="D91" s="171">
        <f t="shared" si="45"/>
        <v>0</v>
      </c>
      <c r="E91" s="171">
        <f>IF(A91=0,0,E90*(1+C91*'CALCULETTE CHRONOS'!$C$5))</f>
        <v>0</v>
      </c>
      <c r="F91" s="171">
        <v>0</v>
      </c>
      <c r="G91" s="171">
        <f t="shared" si="46"/>
        <v>0</v>
      </c>
      <c r="H91" s="172">
        <f t="shared" si="47"/>
        <v>5549.6132154684055</v>
      </c>
      <c r="I91" s="451">
        <f t="shared" si="27"/>
        <v>0</v>
      </c>
      <c r="J91" s="451">
        <f t="shared" si="28"/>
        <v>-13</v>
      </c>
      <c r="K91" s="170" t="e">
        <f t="shared" si="24"/>
        <v>#N/A</v>
      </c>
      <c r="L91" s="170">
        <f t="shared" si="29"/>
        <v>0</v>
      </c>
      <c r="M91" s="171">
        <f>(IF(I91=0,0,M90*(1+K91*'CALCULETTE CHRONOS'!$C$5)))</f>
        <v>0</v>
      </c>
      <c r="N91" s="171">
        <v>0</v>
      </c>
      <c r="O91" s="170">
        <f t="shared" si="30"/>
        <v>0</v>
      </c>
      <c r="P91" s="173">
        <f t="shared" si="31"/>
        <v>5578.5851016807337</v>
      </c>
      <c r="Q91" s="451">
        <f t="shared" si="32"/>
        <v>0</v>
      </c>
      <c r="R91" s="451">
        <f t="shared" si="33"/>
        <v>-13</v>
      </c>
      <c r="S91" s="170" t="e">
        <f t="shared" si="25"/>
        <v>#N/A</v>
      </c>
      <c r="T91" s="170">
        <f t="shared" si="34"/>
        <v>0</v>
      </c>
      <c r="U91" s="171">
        <f>(IF(Q91=0,0,U90*(1+S91*'CALCULETTE CHRONOS'!$C$5)))</f>
        <v>0</v>
      </c>
      <c r="V91" s="171">
        <v>0</v>
      </c>
      <c r="W91" s="170">
        <f t="shared" si="35"/>
        <v>0</v>
      </c>
      <c r="X91" s="173">
        <f t="shared" si="36"/>
        <v>5614.7321013999999</v>
      </c>
      <c r="Y91" s="451">
        <f t="shared" si="37"/>
        <v>0</v>
      </c>
      <c r="Z91" s="451">
        <f t="shared" si="38"/>
        <v>-13</v>
      </c>
      <c r="AA91" s="170" t="e">
        <f t="shared" si="26"/>
        <v>#N/A</v>
      </c>
      <c r="AB91" s="170">
        <f t="shared" si="39"/>
        <v>0</v>
      </c>
      <c r="AC91" s="171">
        <f>(IF(Y91=0,0,AC90*(1+AA91*'CALCULETTE CHRONOS'!$C$5)))</f>
        <v>0</v>
      </c>
      <c r="AD91" s="171">
        <v>0</v>
      </c>
      <c r="AE91" s="170">
        <f t="shared" si="40"/>
        <v>0</v>
      </c>
      <c r="AF91" s="173">
        <f t="shared" si="41"/>
        <v>5675.6990720338154</v>
      </c>
    </row>
    <row r="92" spans="1:32">
      <c r="A92" s="453"/>
      <c r="B92" s="453"/>
      <c r="D92" s="171"/>
      <c r="E92" s="171"/>
      <c r="F92" s="171"/>
      <c r="G92" s="171"/>
      <c r="H92" s="171"/>
      <c r="I92" s="453"/>
      <c r="J92" s="453"/>
      <c r="M92" s="171"/>
      <c r="N92" s="171"/>
      <c r="Q92" s="453"/>
      <c r="R92" s="453"/>
      <c r="U92" s="171"/>
      <c r="V92" s="171"/>
      <c r="Y92" s="453"/>
      <c r="Z92" s="453"/>
      <c r="AC92" s="171"/>
      <c r="AD92" s="171"/>
    </row>
    <row r="93" spans="1:32">
      <c r="A93" s="453"/>
      <c r="B93" s="453"/>
      <c r="D93" s="171"/>
      <c r="E93" s="171"/>
      <c r="F93" s="171"/>
      <c r="G93" s="171"/>
      <c r="H93" s="171"/>
      <c r="I93" s="453"/>
      <c r="J93" s="453"/>
      <c r="M93" s="171"/>
      <c r="N93" s="171"/>
      <c r="Q93" s="453"/>
      <c r="R93" s="453"/>
      <c r="U93" s="171"/>
      <c r="V93" s="171"/>
      <c r="Y93" s="453"/>
      <c r="Z93" s="453"/>
      <c r="AC93" s="171"/>
      <c r="AD93" s="171"/>
    </row>
    <row r="94" spans="1:32">
      <c r="A94" s="453"/>
      <c r="B94" s="453"/>
      <c r="D94" s="171"/>
      <c r="E94" s="171"/>
      <c r="F94" s="171"/>
      <c r="G94" s="171"/>
      <c r="H94" s="171"/>
      <c r="I94" s="453"/>
      <c r="J94" s="453"/>
      <c r="M94" s="171"/>
      <c r="N94" s="171"/>
      <c r="Q94" s="453"/>
      <c r="R94" s="453"/>
      <c r="U94" s="171"/>
      <c r="V94" s="171"/>
      <c r="Y94" s="453"/>
      <c r="Z94" s="453"/>
      <c r="AC94" s="171"/>
      <c r="AD94" s="171"/>
    </row>
    <row r="95" spans="1:32">
      <c r="A95" s="453"/>
      <c r="B95" s="453"/>
      <c r="D95" s="171"/>
      <c r="E95" s="171"/>
      <c r="F95" s="171"/>
      <c r="G95" s="171"/>
      <c r="H95" s="171"/>
      <c r="I95" s="453"/>
      <c r="J95" s="453"/>
      <c r="M95" s="171"/>
      <c r="N95" s="171"/>
      <c r="Q95" s="453"/>
      <c r="R95" s="453"/>
      <c r="U95" s="171"/>
      <c r="V95" s="171"/>
      <c r="Y95" s="453"/>
      <c r="Z95" s="453"/>
      <c r="AC95" s="171"/>
      <c r="AD95" s="171"/>
    </row>
    <row r="96" spans="1:32">
      <c r="A96" s="453"/>
      <c r="B96" s="453"/>
      <c r="D96" s="171"/>
      <c r="E96" s="171"/>
      <c r="F96" s="171"/>
      <c r="G96" s="171"/>
      <c r="H96" s="171"/>
      <c r="I96" s="453"/>
      <c r="J96" s="453"/>
      <c r="M96" s="171"/>
      <c r="N96" s="171"/>
      <c r="Q96" s="453"/>
      <c r="R96" s="453"/>
      <c r="U96" s="171"/>
      <c r="V96" s="171"/>
      <c r="Y96" s="453"/>
      <c r="Z96" s="453"/>
      <c r="AC96" s="171"/>
      <c r="AD96" s="171"/>
    </row>
    <row r="97" spans="1:30">
      <c r="A97" s="453"/>
      <c r="B97" s="453"/>
      <c r="D97" s="171"/>
      <c r="E97" s="171"/>
      <c r="F97" s="171"/>
      <c r="G97" s="171"/>
      <c r="H97" s="171"/>
      <c r="I97" s="453"/>
      <c r="J97" s="453"/>
      <c r="M97" s="171"/>
      <c r="N97" s="171"/>
      <c r="Q97" s="453"/>
      <c r="R97" s="453"/>
      <c r="U97" s="171"/>
      <c r="V97" s="171"/>
      <c r="Y97" s="453"/>
      <c r="Z97" s="453"/>
      <c r="AC97" s="171"/>
      <c r="AD97" s="171"/>
    </row>
    <row r="98" spans="1:30">
      <c r="A98" s="453"/>
      <c r="B98" s="453"/>
      <c r="D98" s="171"/>
      <c r="E98" s="171"/>
      <c r="F98" s="171"/>
      <c r="G98" s="171"/>
      <c r="H98" s="171"/>
      <c r="I98" s="453"/>
      <c r="J98" s="453"/>
      <c r="M98" s="171"/>
      <c r="N98" s="171"/>
      <c r="Q98" s="453"/>
      <c r="R98" s="453"/>
      <c r="U98" s="171"/>
      <c r="V98" s="171"/>
      <c r="Y98" s="453"/>
      <c r="Z98" s="453"/>
      <c r="AC98" s="171"/>
      <c r="AD98" s="171"/>
    </row>
    <row r="99" spans="1:30">
      <c r="A99" s="453"/>
      <c r="B99" s="453"/>
      <c r="D99" s="171"/>
      <c r="E99" s="171"/>
      <c r="F99" s="171"/>
      <c r="G99" s="171"/>
      <c r="H99" s="171"/>
      <c r="I99" s="453"/>
      <c r="J99" s="453"/>
      <c r="M99" s="171"/>
      <c r="N99" s="171"/>
      <c r="Q99" s="453"/>
      <c r="R99" s="453"/>
      <c r="U99" s="171"/>
      <c r="V99" s="171"/>
      <c r="Y99" s="453"/>
      <c r="Z99" s="453"/>
      <c r="AC99" s="171"/>
      <c r="AD99" s="171"/>
    </row>
    <row r="100" spans="1:30">
      <c r="A100" s="453"/>
      <c r="B100" s="453"/>
      <c r="D100" s="171"/>
      <c r="E100" s="171"/>
      <c r="F100" s="171"/>
      <c r="G100" s="171"/>
      <c r="H100" s="171"/>
      <c r="I100" s="453"/>
      <c r="J100" s="453"/>
      <c r="M100" s="171"/>
      <c r="N100" s="171"/>
      <c r="Q100" s="453"/>
      <c r="R100" s="453"/>
      <c r="U100" s="171"/>
      <c r="V100" s="171"/>
      <c r="Y100" s="453"/>
      <c r="Z100" s="453"/>
      <c r="AC100" s="171"/>
      <c r="AD100" s="171"/>
    </row>
    <row r="101" spans="1:30">
      <c r="A101" s="453"/>
      <c r="B101" s="453"/>
      <c r="D101" s="171"/>
      <c r="E101" s="171"/>
      <c r="F101" s="171"/>
      <c r="G101" s="171"/>
      <c r="H101" s="171"/>
      <c r="I101" s="453"/>
      <c r="J101" s="453"/>
      <c r="M101" s="171"/>
      <c r="N101" s="171"/>
      <c r="Q101" s="453"/>
      <c r="R101" s="453"/>
      <c r="U101" s="171"/>
      <c r="V101" s="171"/>
      <c r="Y101" s="453"/>
      <c r="Z101" s="453"/>
      <c r="AC101" s="171"/>
      <c r="AD101" s="171"/>
    </row>
    <row r="102" spans="1:30">
      <c r="A102" s="453"/>
      <c r="B102" s="453"/>
      <c r="D102" s="171"/>
      <c r="E102" s="171"/>
      <c r="F102" s="171"/>
      <c r="G102" s="171"/>
      <c r="H102" s="171"/>
      <c r="I102" s="453"/>
      <c r="J102" s="453"/>
      <c r="M102" s="171"/>
      <c r="N102" s="171"/>
      <c r="Q102" s="453"/>
      <c r="R102" s="453"/>
      <c r="U102" s="171"/>
      <c r="V102" s="171"/>
      <c r="Y102" s="453"/>
      <c r="Z102" s="453"/>
      <c r="AC102" s="171"/>
      <c r="AD102" s="171"/>
    </row>
    <row r="103" spans="1:30">
      <c r="A103" s="453"/>
      <c r="B103" s="453"/>
      <c r="D103" s="171"/>
      <c r="E103" s="171"/>
      <c r="F103" s="171"/>
      <c r="G103" s="171"/>
      <c r="H103" s="171"/>
      <c r="I103" s="453"/>
      <c r="J103" s="453"/>
      <c r="M103" s="171"/>
      <c r="N103" s="171"/>
      <c r="Q103" s="453"/>
      <c r="R103" s="453"/>
      <c r="U103" s="171"/>
      <c r="V103" s="171"/>
      <c r="Y103" s="453"/>
      <c r="Z103" s="453"/>
      <c r="AC103" s="171"/>
      <c r="AD103" s="171"/>
    </row>
    <row r="104" spans="1:30">
      <c r="A104" s="453"/>
      <c r="B104" s="453"/>
      <c r="D104" s="171"/>
      <c r="E104" s="171"/>
      <c r="F104" s="171"/>
      <c r="G104" s="171"/>
      <c r="H104" s="171"/>
      <c r="I104" s="453"/>
      <c r="J104" s="453"/>
      <c r="M104" s="171"/>
      <c r="N104" s="171"/>
      <c r="Q104" s="453"/>
      <c r="R104" s="453"/>
      <c r="U104" s="171"/>
      <c r="V104" s="171"/>
      <c r="Y104" s="453"/>
      <c r="Z104" s="453"/>
      <c r="AC104" s="171"/>
      <c r="AD104" s="171"/>
    </row>
    <row r="105" spans="1:30">
      <c r="A105" s="453"/>
      <c r="B105" s="453"/>
      <c r="D105" s="171"/>
      <c r="E105" s="171"/>
      <c r="F105" s="171"/>
      <c r="G105" s="171"/>
      <c r="H105" s="171"/>
      <c r="I105" s="453"/>
      <c r="J105" s="453"/>
      <c r="M105" s="171"/>
      <c r="N105" s="171"/>
      <c r="Q105" s="453"/>
      <c r="R105" s="453"/>
      <c r="U105" s="171"/>
      <c r="V105" s="171"/>
      <c r="Y105" s="453"/>
      <c r="Z105" s="453"/>
      <c r="AC105" s="171"/>
      <c r="AD105" s="171"/>
    </row>
    <row r="106" spans="1:30">
      <c r="A106" s="453"/>
      <c r="B106" s="453"/>
      <c r="D106" s="171"/>
      <c r="E106" s="171"/>
      <c r="F106" s="171"/>
      <c r="G106" s="171"/>
      <c r="H106" s="171"/>
      <c r="I106" s="453"/>
      <c r="J106" s="453"/>
      <c r="M106" s="171"/>
      <c r="N106" s="171"/>
      <c r="Q106" s="453"/>
      <c r="R106" s="453"/>
      <c r="U106" s="171"/>
      <c r="V106" s="171"/>
      <c r="Y106" s="453"/>
      <c r="Z106" s="453"/>
      <c r="AC106" s="171"/>
      <c r="AD106" s="171"/>
    </row>
    <row r="107" spans="1:30">
      <c r="A107" s="453"/>
      <c r="B107" s="453"/>
      <c r="D107" s="171"/>
      <c r="E107" s="171"/>
      <c r="F107" s="171"/>
      <c r="G107" s="171"/>
      <c r="H107" s="171"/>
      <c r="I107" s="453"/>
      <c r="J107" s="453"/>
      <c r="M107" s="171"/>
      <c r="N107" s="171"/>
      <c r="Q107" s="453"/>
      <c r="R107" s="453"/>
      <c r="U107" s="171"/>
      <c r="V107" s="171"/>
      <c r="Y107" s="453"/>
      <c r="Z107" s="453"/>
      <c r="AC107" s="171"/>
      <c r="AD107" s="171"/>
    </row>
    <row r="108" spans="1:30">
      <c r="A108" s="453"/>
      <c r="B108" s="453"/>
      <c r="D108" s="171"/>
      <c r="E108" s="171"/>
      <c r="F108" s="171"/>
      <c r="G108" s="171"/>
      <c r="H108" s="171"/>
      <c r="I108" s="453"/>
      <c r="J108" s="453"/>
      <c r="M108" s="171"/>
      <c r="N108" s="171"/>
      <c r="Q108" s="453"/>
      <c r="R108" s="453"/>
      <c r="U108" s="171"/>
      <c r="V108" s="171"/>
      <c r="Y108" s="453"/>
      <c r="Z108" s="453"/>
      <c r="AC108" s="171"/>
      <c r="AD108" s="171"/>
    </row>
    <row r="109" spans="1:30">
      <c r="A109" s="453"/>
      <c r="B109" s="453"/>
      <c r="D109" s="171"/>
      <c r="E109" s="171"/>
      <c r="F109" s="171"/>
      <c r="G109" s="171"/>
      <c r="H109" s="171"/>
      <c r="I109" s="453"/>
      <c r="J109" s="453"/>
      <c r="M109" s="171"/>
      <c r="N109" s="171"/>
      <c r="Q109" s="453"/>
      <c r="R109" s="453"/>
      <c r="U109" s="171"/>
      <c r="V109" s="171"/>
      <c r="Y109" s="453"/>
      <c r="Z109" s="453"/>
      <c r="AC109" s="171"/>
      <c r="AD109" s="171"/>
    </row>
    <row r="110" spans="1:30">
      <c r="A110" s="453"/>
      <c r="B110" s="453"/>
      <c r="D110" s="171"/>
      <c r="E110" s="171"/>
      <c r="F110" s="171"/>
      <c r="G110" s="171"/>
      <c r="H110" s="171"/>
      <c r="I110" s="453"/>
      <c r="J110" s="453"/>
      <c r="M110" s="171"/>
      <c r="N110" s="171"/>
      <c r="Q110" s="453"/>
      <c r="R110" s="453"/>
      <c r="U110" s="171"/>
      <c r="V110" s="171"/>
      <c r="Y110" s="453"/>
      <c r="Z110" s="453"/>
      <c r="AC110" s="171"/>
      <c r="AD110" s="171"/>
    </row>
    <row r="111" spans="1:30">
      <c r="A111" s="453"/>
      <c r="B111" s="453"/>
      <c r="D111" s="171"/>
      <c r="E111" s="171"/>
      <c r="F111" s="171"/>
      <c r="G111" s="171"/>
      <c r="H111" s="171"/>
      <c r="I111" s="453"/>
      <c r="J111" s="453"/>
      <c r="M111" s="171"/>
      <c r="N111" s="171"/>
      <c r="Q111" s="453"/>
      <c r="R111" s="453"/>
      <c r="U111" s="171"/>
      <c r="V111" s="171"/>
      <c r="Y111" s="453"/>
      <c r="Z111" s="453"/>
      <c r="AC111" s="171"/>
      <c r="AD111" s="171"/>
    </row>
    <row r="112" spans="1:30">
      <c r="A112" s="453"/>
      <c r="B112" s="453"/>
      <c r="D112" s="171"/>
      <c r="E112" s="171"/>
      <c r="F112" s="171"/>
      <c r="G112" s="171"/>
      <c r="H112" s="171"/>
      <c r="I112" s="453"/>
      <c r="J112" s="453"/>
      <c r="M112" s="171"/>
      <c r="N112" s="171"/>
      <c r="Q112" s="453"/>
      <c r="R112" s="453"/>
      <c r="U112" s="171"/>
      <c r="V112" s="171"/>
      <c r="Y112" s="453"/>
      <c r="Z112" s="453"/>
      <c r="AC112" s="171"/>
      <c r="AD112" s="171"/>
    </row>
    <row r="113" spans="1:30">
      <c r="A113" s="453"/>
      <c r="B113" s="453"/>
      <c r="D113" s="171"/>
      <c r="E113" s="171"/>
      <c r="F113" s="171"/>
      <c r="G113" s="171"/>
      <c r="H113" s="171"/>
      <c r="I113" s="453"/>
      <c r="J113" s="453"/>
      <c r="M113" s="171"/>
      <c r="N113" s="171"/>
      <c r="Q113" s="453"/>
      <c r="R113" s="453"/>
      <c r="U113" s="171"/>
      <c r="V113" s="171"/>
      <c r="Y113" s="453"/>
      <c r="Z113" s="453"/>
      <c r="AC113" s="171"/>
      <c r="AD113" s="171"/>
    </row>
    <row r="114" spans="1:30">
      <c r="A114" s="453"/>
      <c r="B114" s="453"/>
      <c r="D114" s="171"/>
      <c r="E114" s="171"/>
      <c r="F114" s="171"/>
      <c r="G114" s="171"/>
      <c r="H114" s="171"/>
      <c r="I114" s="453"/>
      <c r="J114" s="453"/>
      <c r="M114" s="171"/>
      <c r="N114" s="171"/>
      <c r="Q114" s="453"/>
      <c r="R114" s="453"/>
      <c r="U114" s="171"/>
      <c r="V114" s="171"/>
      <c r="Y114" s="453"/>
      <c r="Z114" s="453"/>
      <c r="AC114" s="171"/>
      <c r="AD114" s="171"/>
    </row>
    <row r="115" spans="1:30">
      <c r="A115" s="453"/>
      <c r="B115" s="453"/>
      <c r="D115" s="171"/>
      <c r="E115" s="171"/>
      <c r="F115" s="171"/>
      <c r="G115" s="171"/>
      <c r="H115" s="171"/>
      <c r="I115" s="453"/>
      <c r="J115" s="453"/>
      <c r="M115" s="171"/>
      <c r="N115" s="171"/>
      <c r="Q115" s="453"/>
      <c r="R115" s="453"/>
      <c r="U115" s="171"/>
      <c r="V115" s="171"/>
      <c r="Y115" s="453"/>
      <c r="Z115" s="453"/>
      <c r="AC115" s="171"/>
      <c r="AD115" s="171"/>
    </row>
    <row r="116" spans="1:30">
      <c r="A116" s="453"/>
      <c r="B116" s="453"/>
      <c r="D116" s="171"/>
      <c r="E116" s="171"/>
      <c r="F116" s="171"/>
      <c r="G116" s="171"/>
      <c r="H116" s="171"/>
      <c r="I116" s="453"/>
      <c r="J116" s="453"/>
      <c r="M116" s="171"/>
      <c r="N116" s="171"/>
      <c r="Q116" s="453"/>
      <c r="R116" s="453"/>
      <c r="U116" s="171"/>
      <c r="V116" s="171"/>
      <c r="Y116" s="453"/>
      <c r="Z116" s="453"/>
      <c r="AC116" s="171"/>
      <c r="AD116" s="171"/>
    </row>
    <row r="117" spans="1:30">
      <c r="A117" s="453"/>
      <c r="B117" s="453"/>
      <c r="D117" s="171"/>
      <c r="E117" s="171"/>
      <c r="F117" s="171"/>
      <c r="G117" s="171"/>
      <c r="H117" s="171"/>
      <c r="I117" s="453"/>
      <c r="J117" s="453"/>
      <c r="M117" s="171"/>
      <c r="N117" s="171"/>
      <c r="Q117" s="453"/>
      <c r="R117" s="453"/>
      <c r="U117" s="171"/>
      <c r="V117" s="171"/>
      <c r="Y117" s="453"/>
      <c r="Z117" s="453"/>
      <c r="AC117" s="171"/>
      <c r="AD117" s="171"/>
    </row>
    <row r="118" spans="1:30">
      <c r="A118" s="453"/>
      <c r="B118" s="453"/>
      <c r="D118" s="171"/>
      <c r="E118" s="171"/>
      <c r="F118" s="171"/>
      <c r="G118" s="171"/>
      <c r="H118" s="171"/>
      <c r="I118" s="453"/>
      <c r="J118" s="453"/>
      <c r="M118" s="171"/>
      <c r="N118" s="171"/>
      <c r="Q118" s="453"/>
      <c r="R118" s="453"/>
      <c r="U118" s="171"/>
      <c r="V118" s="171"/>
      <c r="Y118" s="453"/>
      <c r="Z118" s="453"/>
      <c r="AC118" s="171"/>
      <c r="AD118" s="171"/>
    </row>
    <row r="119" spans="1:30">
      <c r="A119" s="453"/>
      <c r="B119" s="453"/>
      <c r="D119" s="171"/>
      <c r="E119" s="171"/>
      <c r="F119" s="171"/>
      <c r="G119" s="171"/>
      <c r="H119" s="171"/>
      <c r="I119" s="453"/>
      <c r="J119" s="453"/>
      <c r="M119" s="171"/>
      <c r="N119" s="171"/>
      <c r="Q119" s="453"/>
      <c r="R119" s="453"/>
      <c r="U119" s="171"/>
      <c r="V119" s="171"/>
      <c r="Y119" s="453"/>
      <c r="Z119" s="453"/>
      <c r="AC119" s="171"/>
      <c r="AD119" s="171"/>
    </row>
    <row r="120" spans="1:30">
      <c r="A120" s="453"/>
      <c r="B120" s="453"/>
      <c r="D120" s="171"/>
      <c r="E120" s="171"/>
      <c r="F120" s="171"/>
      <c r="G120" s="171"/>
      <c r="H120" s="171"/>
      <c r="I120" s="453"/>
      <c r="J120" s="453"/>
      <c r="M120" s="171"/>
      <c r="N120" s="171"/>
      <c r="Q120" s="453"/>
      <c r="R120" s="453"/>
      <c r="U120" s="171"/>
      <c r="V120" s="171"/>
      <c r="Y120" s="453"/>
      <c r="Z120" s="453"/>
      <c r="AC120" s="171"/>
      <c r="AD120" s="171"/>
    </row>
    <row r="121" spans="1:30">
      <c r="A121" s="453"/>
      <c r="B121" s="453"/>
      <c r="D121" s="171"/>
      <c r="E121" s="171"/>
      <c r="F121" s="171"/>
      <c r="G121" s="171"/>
      <c r="H121" s="171"/>
      <c r="I121" s="453"/>
      <c r="J121" s="453"/>
      <c r="M121" s="171"/>
      <c r="N121" s="171"/>
      <c r="Q121" s="453"/>
      <c r="R121" s="453"/>
      <c r="U121" s="171"/>
      <c r="V121" s="171"/>
      <c r="Y121" s="453"/>
      <c r="Z121" s="453"/>
      <c r="AC121" s="171"/>
      <c r="AD121" s="171"/>
    </row>
    <row r="122" spans="1:30">
      <c r="A122" s="453"/>
      <c r="B122" s="453"/>
      <c r="D122" s="171"/>
      <c r="E122" s="171"/>
      <c r="F122" s="171"/>
      <c r="G122" s="171"/>
      <c r="H122" s="171"/>
      <c r="I122" s="453"/>
      <c r="J122" s="453"/>
      <c r="M122" s="171"/>
      <c r="N122" s="171"/>
      <c r="Q122" s="453"/>
      <c r="R122" s="453"/>
      <c r="U122" s="171"/>
      <c r="V122" s="171"/>
      <c r="Y122" s="453"/>
      <c r="Z122" s="453"/>
      <c r="AC122" s="171"/>
      <c r="AD122" s="171"/>
    </row>
    <row r="123" spans="1:30">
      <c r="A123" s="453"/>
      <c r="B123" s="453"/>
      <c r="D123" s="171"/>
      <c r="E123" s="171"/>
      <c r="F123" s="171"/>
      <c r="G123" s="171"/>
      <c r="H123" s="171"/>
      <c r="I123" s="453"/>
      <c r="J123" s="453"/>
      <c r="M123" s="171"/>
      <c r="N123" s="171"/>
      <c r="Q123" s="453"/>
      <c r="R123" s="453"/>
      <c r="U123" s="171"/>
      <c r="V123" s="171"/>
      <c r="Y123" s="453"/>
      <c r="Z123" s="453"/>
      <c r="AC123" s="171"/>
      <c r="AD123" s="171"/>
    </row>
    <row r="124" spans="1:30">
      <c r="A124" s="453"/>
      <c r="B124" s="453"/>
      <c r="D124" s="171"/>
      <c r="E124" s="171"/>
      <c r="F124" s="171"/>
      <c r="G124" s="171"/>
      <c r="H124" s="171"/>
      <c r="I124" s="453"/>
      <c r="J124" s="453"/>
      <c r="M124" s="171"/>
      <c r="N124" s="171"/>
      <c r="Q124" s="453"/>
      <c r="R124" s="453"/>
      <c r="U124" s="171"/>
      <c r="V124" s="171"/>
      <c r="Y124" s="453"/>
      <c r="Z124" s="453"/>
      <c r="AC124" s="171"/>
      <c r="AD124" s="171"/>
    </row>
    <row r="125" spans="1:30">
      <c r="A125" s="453"/>
      <c r="B125" s="453"/>
      <c r="D125" s="171"/>
      <c r="E125" s="171"/>
      <c r="F125" s="171"/>
      <c r="G125" s="171"/>
      <c r="H125" s="171"/>
      <c r="I125" s="453"/>
      <c r="J125" s="453"/>
      <c r="M125" s="171"/>
      <c r="N125" s="171"/>
      <c r="Q125" s="453"/>
      <c r="R125" s="453"/>
      <c r="U125" s="171"/>
      <c r="V125" s="171"/>
      <c r="Y125" s="453"/>
      <c r="Z125" s="453"/>
      <c r="AC125" s="171"/>
      <c r="AD125" s="171"/>
    </row>
    <row r="126" spans="1:30">
      <c r="A126" s="453"/>
      <c r="B126" s="453"/>
      <c r="D126" s="171"/>
      <c r="E126" s="171"/>
      <c r="F126" s="171"/>
      <c r="G126" s="171"/>
      <c r="H126" s="171"/>
      <c r="I126" s="453"/>
      <c r="J126" s="453"/>
      <c r="M126" s="171"/>
      <c r="N126" s="171"/>
      <c r="Q126" s="453"/>
      <c r="R126" s="453"/>
      <c r="U126" s="171"/>
      <c r="V126" s="171"/>
      <c r="Y126" s="453"/>
      <c r="Z126" s="453"/>
      <c r="AC126" s="171"/>
      <c r="AD126" s="171"/>
    </row>
    <row r="127" spans="1:30">
      <c r="A127" s="453"/>
      <c r="B127" s="453"/>
      <c r="D127" s="171"/>
      <c r="E127" s="171"/>
      <c r="F127" s="171"/>
      <c r="G127" s="171"/>
      <c r="H127" s="171"/>
      <c r="I127" s="453"/>
      <c r="J127" s="453"/>
      <c r="M127" s="171"/>
      <c r="N127" s="171"/>
      <c r="Q127" s="453"/>
      <c r="R127" s="453"/>
      <c r="U127" s="171"/>
      <c r="V127" s="171"/>
      <c r="Y127" s="453"/>
      <c r="Z127" s="453"/>
      <c r="AC127" s="171"/>
      <c r="AD127" s="171"/>
    </row>
    <row r="128" spans="1:30">
      <c r="A128" s="453"/>
      <c r="B128" s="453"/>
      <c r="D128" s="171"/>
      <c r="E128" s="171"/>
      <c r="F128" s="171"/>
      <c r="G128" s="171"/>
      <c r="H128" s="171"/>
      <c r="I128" s="453"/>
      <c r="J128" s="453"/>
      <c r="M128" s="171"/>
      <c r="N128" s="171"/>
      <c r="Q128" s="453"/>
      <c r="R128" s="453"/>
      <c r="U128" s="171"/>
      <c r="V128" s="171"/>
      <c r="Y128" s="453"/>
      <c r="Z128" s="453"/>
      <c r="AC128" s="171"/>
      <c r="AD128" s="171"/>
    </row>
    <row r="129" spans="1:30">
      <c r="A129" s="453"/>
      <c r="B129" s="453"/>
      <c r="D129" s="171"/>
      <c r="E129" s="171"/>
      <c r="F129" s="171"/>
      <c r="G129" s="171"/>
      <c r="H129" s="171"/>
      <c r="I129" s="453"/>
      <c r="J129" s="453"/>
      <c r="M129" s="171"/>
      <c r="N129" s="171"/>
      <c r="Q129" s="453"/>
      <c r="R129" s="453"/>
      <c r="U129" s="171"/>
      <c r="V129" s="171"/>
      <c r="Y129" s="453"/>
      <c r="Z129" s="453"/>
      <c r="AC129" s="171"/>
      <c r="AD129" s="171"/>
    </row>
    <row r="130" spans="1:30">
      <c r="A130" s="453"/>
      <c r="B130" s="453"/>
      <c r="D130" s="171"/>
      <c r="E130" s="171"/>
      <c r="F130" s="171"/>
      <c r="G130" s="171"/>
      <c r="H130" s="171"/>
      <c r="I130" s="453"/>
      <c r="J130" s="453"/>
      <c r="M130" s="171"/>
      <c r="N130" s="171"/>
      <c r="Q130" s="453"/>
      <c r="R130" s="453"/>
      <c r="U130" s="171"/>
      <c r="V130" s="171"/>
      <c r="Y130" s="453"/>
      <c r="Z130" s="453"/>
      <c r="AC130" s="171"/>
      <c r="AD130" s="171"/>
    </row>
    <row r="131" spans="1:30">
      <c r="A131" s="453"/>
      <c r="B131" s="453"/>
      <c r="D131" s="171"/>
      <c r="E131" s="171"/>
      <c r="F131" s="171"/>
      <c r="G131" s="171"/>
      <c r="H131" s="171"/>
      <c r="I131" s="453"/>
      <c r="J131" s="453"/>
      <c r="M131" s="171"/>
      <c r="N131" s="171"/>
      <c r="Q131" s="453"/>
      <c r="R131" s="453"/>
      <c r="U131" s="171"/>
      <c r="V131" s="171"/>
      <c r="Y131" s="453"/>
      <c r="Z131" s="453"/>
      <c r="AC131" s="171"/>
      <c r="AD131" s="171"/>
    </row>
    <row r="132" spans="1:30">
      <c r="A132" s="453"/>
      <c r="B132" s="453"/>
      <c r="D132" s="171"/>
      <c r="E132" s="171"/>
      <c r="F132" s="171"/>
      <c r="G132" s="171"/>
      <c r="H132" s="171"/>
      <c r="I132" s="453"/>
      <c r="J132" s="453"/>
      <c r="M132" s="171"/>
      <c r="N132" s="171"/>
      <c r="Q132" s="453"/>
      <c r="R132" s="453"/>
      <c r="U132" s="171"/>
      <c r="V132" s="171"/>
      <c r="Y132" s="453"/>
      <c r="Z132" s="453"/>
      <c r="AC132" s="171"/>
      <c r="AD132" s="171"/>
    </row>
    <row r="133" spans="1:30">
      <c r="A133" s="453"/>
      <c r="B133" s="453"/>
      <c r="D133" s="171"/>
      <c r="E133" s="171"/>
      <c r="F133" s="171"/>
      <c r="G133" s="171"/>
      <c r="H133" s="171"/>
      <c r="I133" s="453"/>
      <c r="J133" s="453"/>
      <c r="M133" s="171"/>
      <c r="N133" s="171"/>
      <c r="Q133" s="453"/>
      <c r="R133" s="453"/>
      <c r="U133" s="171"/>
      <c r="V133" s="171"/>
      <c r="Y133" s="453"/>
      <c r="Z133" s="453"/>
      <c r="AC133" s="171"/>
      <c r="AD133" s="171"/>
    </row>
    <row r="134" spans="1:30">
      <c r="A134" s="453"/>
      <c r="B134" s="453"/>
      <c r="D134" s="171"/>
      <c r="E134" s="171"/>
      <c r="F134" s="171"/>
      <c r="G134" s="171"/>
      <c r="H134" s="171"/>
      <c r="I134" s="453"/>
      <c r="J134" s="453"/>
      <c r="M134" s="171"/>
      <c r="N134" s="171"/>
      <c r="Q134" s="453"/>
      <c r="R134" s="453"/>
      <c r="U134" s="171"/>
      <c r="V134" s="171"/>
      <c r="Y134" s="453"/>
      <c r="Z134" s="453"/>
      <c r="AC134" s="171"/>
      <c r="AD134" s="171"/>
    </row>
    <row r="135" spans="1:30">
      <c r="A135" s="453"/>
      <c r="B135" s="453"/>
      <c r="D135" s="171"/>
      <c r="E135" s="171"/>
      <c r="F135" s="171"/>
      <c r="G135" s="171"/>
      <c r="H135" s="171"/>
      <c r="I135" s="453"/>
      <c r="J135" s="453"/>
      <c r="M135" s="171"/>
      <c r="N135" s="171"/>
      <c r="Q135" s="453"/>
      <c r="R135" s="453"/>
      <c r="U135" s="171"/>
      <c r="V135" s="171"/>
      <c r="Y135" s="453"/>
      <c r="Z135" s="453"/>
      <c r="AC135" s="171"/>
      <c r="AD135" s="171"/>
    </row>
    <row r="136" spans="1:30">
      <c r="A136" s="453"/>
      <c r="B136" s="453"/>
      <c r="D136" s="171"/>
      <c r="E136" s="171"/>
      <c r="F136" s="171"/>
      <c r="G136" s="171"/>
      <c r="H136" s="171"/>
      <c r="I136" s="453"/>
      <c r="J136" s="453"/>
      <c r="M136" s="171"/>
      <c r="N136" s="171"/>
      <c r="Q136" s="453"/>
      <c r="R136" s="453"/>
      <c r="U136" s="171"/>
      <c r="V136" s="171"/>
      <c r="Y136" s="453"/>
      <c r="Z136" s="453"/>
      <c r="AC136" s="171"/>
      <c r="AD136" s="171"/>
    </row>
    <row r="137" spans="1:30">
      <c r="A137" s="453"/>
      <c r="B137" s="453"/>
      <c r="D137" s="171"/>
      <c r="E137" s="171"/>
      <c r="F137" s="171"/>
      <c r="G137" s="171"/>
      <c r="H137" s="171"/>
      <c r="I137" s="453"/>
      <c r="J137" s="453"/>
      <c r="M137" s="171"/>
      <c r="N137" s="171"/>
      <c r="Q137" s="453"/>
      <c r="R137" s="453"/>
      <c r="U137" s="171"/>
      <c r="V137" s="171"/>
      <c r="Y137" s="453"/>
      <c r="Z137" s="453"/>
      <c r="AC137" s="171"/>
      <c r="AD137" s="171"/>
    </row>
    <row r="138" spans="1:30">
      <c r="A138" s="453"/>
      <c r="B138" s="453"/>
      <c r="D138" s="171"/>
      <c r="E138" s="171"/>
      <c r="F138" s="171"/>
      <c r="G138" s="171"/>
      <c r="H138" s="171"/>
      <c r="I138" s="453"/>
      <c r="J138" s="453"/>
      <c r="M138" s="171"/>
      <c r="N138" s="171"/>
      <c r="Q138" s="453"/>
      <c r="R138" s="453"/>
      <c r="U138" s="171"/>
      <c r="V138" s="171"/>
      <c r="Y138" s="453"/>
      <c r="Z138" s="453"/>
      <c r="AC138" s="171"/>
      <c r="AD138" s="171"/>
    </row>
    <row r="139" spans="1:30">
      <c r="A139" s="453"/>
      <c r="B139" s="453"/>
      <c r="D139" s="171"/>
      <c r="E139" s="171"/>
      <c r="F139" s="171"/>
      <c r="G139" s="171"/>
      <c r="H139" s="171"/>
      <c r="I139" s="453"/>
      <c r="J139" s="453"/>
      <c r="M139" s="171"/>
      <c r="N139" s="171"/>
      <c r="Q139" s="453"/>
      <c r="R139" s="453"/>
      <c r="U139" s="171"/>
      <c r="V139" s="171"/>
      <c r="Y139" s="453"/>
      <c r="Z139" s="453"/>
      <c r="AC139" s="171"/>
      <c r="AD139" s="171"/>
    </row>
    <row r="140" spans="1:30">
      <c r="A140" s="453"/>
      <c r="B140" s="453"/>
      <c r="D140" s="171"/>
      <c r="E140" s="171"/>
      <c r="F140" s="171"/>
      <c r="G140" s="171"/>
      <c r="H140" s="171"/>
      <c r="I140" s="453"/>
      <c r="J140" s="453"/>
      <c r="M140" s="171"/>
      <c r="N140" s="171"/>
      <c r="Q140" s="453"/>
      <c r="R140" s="453"/>
      <c r="U140" s="171"/>
      <c r="V140" s="171"/>
      <c r="Y140" s="453"/>
      <c r="Z140" s="453"/>
      <c r="AC140" s="171"/>
      <c r="AD140" s="171"/>
    </row>
    <row r="141" spans="1:30">
      <c r="A141" s="453"/>
      <c r="B141" s="453"/>
      <c r="D141" s="171"/>
      <c r="E141" s="171"/>
      <c r="F141" s="171"/>
      <c r="G141" s="171"/>
      <c r="H141" s="171"/>
      <c r="I141" s="453"/>
      <c r="J141" s="453"/>
      <c r="M141" s="171"/>
      <c r="N141" s="171"/>
      <c r="Q141" s="453"/>
      <c r="R141" s="453"/>
      <c r="U141" s="171"/>
      <c r="V141" s="171"/>
      <c r="Y141" s="453"/>
      <c r="Z141" s="453"/>
      <c r="AC141" s="171"/>
      <c r="AD141" s="171"/>
    </row>
    <row r="142" spans="1:30">
      <c r="A142" s="453"/>
      <c r="B142" s="453"/>
      <c r="D142" s="171"/>
      <c r="E142" s="171"/>
      <c r="F142" s="171"/>
      <c r="G142" s="171"/>
      <c r="H142" s="171"/>
      <c r="I142" s="453"/>
      <c r="J142" s="453"/>
      <c r="M142" s="171"/>
      <c r="N142" s="171"/>
      <c r="Q142" s="453"/>
      <c r="R142" s="453"/>
      <c r="U142" s="171"/>
      <c r="V142" s="171"/>
      <c r="Y142" s="453"/>
      <c r="Z142" s="453"/>
      <c r="AC142" s="171"/>
      <c r="AD142" s="171"/>
    </row>
    <row r="143" spans="1:30">
      <c r="A143" s="453"/>
      <c r="B143" s="453"/>
      <c r="D143" s="171"/>
      <c r="E143" s="171"/>
      <c r="F143" s="171"/>
      <c r="G143" s="171"/>
      <c r="H143" s="171"/>
      <c r="I143" s="453"/>
      <c r="J143" s="453"/>
      <c r="M143" s="171"/>
      <c r="N143" s="171"/>
      <c r="Q143" s="453"/>
      <c r="R143" s="453"/>
      <c r="U143" s="171"/>
      <c r="V143" s="171"/>
      <c r="Y143" s="453"/>
      <c r="Z143" s="453"/>
      <c r="AC143" s="171"/>
      <c r="AD143" s="171"/>
    </row>
    <row r="144" spans="1:30">
      <c r="A144" s="453"/>
      <c r="B144" s="453"/>
      <c r="D144" s="171"/>
      <c r="E144" s="171"/>
      <c r="F144" s="171"/>
      <c r="G144" s="171"/>
      <c r="H144" s="171"/>
      <c r="I144" s="453"/>
      <c r="J144" s="453"/>
      <c r="M144" s="171"/>
      <c r="N144" s="171"/>
      <c r="Q144" s="453"/>
      <c r="R144" s="453"/>
      <c r="U144" s="171"/>
      <c r="V144" s="171"/>
      <c r="Y144" s="453"/>
      <c r="Z144" s="453"/>
      <c r="AC144" s="171"/>
      <c r="AD144" s="171"/>
    </row>
    <row r="145" spans="1:30">
      <c r="A145" s="453"/>
      <c r="B145" s="453"/>
      <c r="D145" s="171"/>
      <c r="E145" s="171"/>
      <c r="F145" s="171"/>
      <c r="G145" s="171"/>
      <c r="H145" s="171"/>
      <c r="I145" s="453"/>
      <c r="J145" s="453"/>
      <c r="M145" s="171"/>
      <c r="N145" s="171"/>
      <c r="Q145" s="453"/>
      <c r="R145" s="453"/>
      <c r="U145" s="171"/>
      <c r="V145" s="171"/>
      <c r="Y145" s="453"/>
      <c r="Z145" s="453"/>
      <c r="AC145" s="171"/>
      <c r="AD145" s="171"/>
    </row>
    <row r="146" spans="1:30">
      <c r="A146" s="453"/>
      <c r="B146" s="453"/>
      <c r="D146" s="171"/>
      <c r="E146" s="171"/>
      <c r="F146" s="171"/>
      <c r="G146" s="171"/>
      <c r="H146" s="171"/>
      <c r="I146" s="453"/>
      <c r="J146" s="453"/>
      <c r="M146" s="171"/>
      <c r="N146" s="171"/>
      <c r="Q146" s="453"/>
      <c r="R146" s="453"/>
      <c r="U146" s="171"/>
      <c r="V146" s="171"/>
      <c r="Y146" s="453"/>
      <c r="Z146" s="453"/>
      <c r="AC146" s="171"/>
      <c r="AD146" s="171"/>
    </row>
    <row r="147" spans="1:30">
      <c r="A147" s="453"/>
      <c r="B147" s="453"/>
      <c r="D147" s="171"/>
      <c r="E147" s="171"/>
      <c r="F147" s="171"/>
      <c r="G147" s="171"/>
      <c r="H147" s="171"/>
      <c r="I147" s="453"/>
      <c r="J147" s="453"/>
      <c r="M147" s="171"/>
      <c r="N147" s="171"/>
      <c r="Q147" s="453"/>
      <c r="R147" s="453"/>
      <c r="U147" s="171"/>
      <c r="V147" s="171"/>
      <c r="Y147" s="453"/>
      <c r="Z147" s="453"/>
      <c r="AC147" s="171"/>
      <c r="AD147" s="171"/>
    </row>
    <row r="148" spans="1:30">
      <c r="A148" s="453"/>
      <c r="B148" s="453"/>
      <c r="D148" s="171"/>
      <c r="E148" s="171"/>
      <c r="F148" s="171"/>
      <c r="G148" s="171"/>
      <c r="H148" s="171"/>
      <c r="I148" s="453"/>
      <c r="J148" s="453"/>
      <c r="M148" s="171"/>
      <c r="N148" s="171"/>
      <c r="Q148" s="453"/>
      <c r="R148" s="453"/>
      <c r="U148" s="171"/>
      <c r="V148" s="171"/>
      <c r="Y148" s="453"/>
      <c r="Z148" s="453"/>
      <c r="AC148" s="171"/>
      <c r="AD148" s="171"/>
    </row>
    <row r="149" spans="1:30">
      <c r="A149" s="453"/>
      <c r="B149" s="453"/>
      <c r="D149" s="171"/>
      <c r="E149" s="171"/>
      <c r="F149" s="171"/>
      <c r="G149" s="171"/>
      <c r="H149" s="171"/>
      <c r="I149" s="453"/>
      <c r="J149" s="453"/>
      <c r="M149" s="171"/>
      <c r="N149" s="171"/>
      <c r="Q149" s="453"/>
      <c r="R149" s="453"/>
      <c r="U149" s="171"/>
      <c r="V149" s="171"/>
      <c r="Y149" s="453"/>
      <c r="Z149" s="453"/>
      <c r="AC149" s="171"/>
      <c r="AD149" s="171"/>
    </row>
    <row r="150" spans="1:30">
      <c r="A150" s="453"/>
      <c r="B150" s="453"/>
      <c r="D150" s="171"/>
      <c r="E150" s="171"/>
      <c r="F150" s="171"/>
      <c r="G150" s="171"/>
      <c r="H150" s="171"/>
      <c r="I150" s="453"/>
      <c r="J150" s="453"/>
      <c r="M150" s="171"/>
      <c r="N150" s="171"/>
      <c r="Q150" s="453"/>
      <c r="R150" s="453"/>
      <c r="U150" s="171"/>
      <c r="V150" s="171"/>
      <c r="Y150" s="453"/>
      <c r="Z150" s="453"/>
      <c r="AC150" s="171"/>
      <c r="AD150" s="171"/>
    </row>
    <row r="151" spans="1:30">
      <c r="A151" s="453"/>
      <c r="B151" s="453"/>
      <c r="D151" s="171"/>
      <c r="E151" s="171"/>
      <c r="F151" s="171"/>
      <c r="G151" s="171"/>
      <c r="H151" s="171"/>
      <c r="I151" s="453"/>
      <c r="J151" s="453"/>
      <c r="M151" s="171"/>
      <c r="N151" s="171"/>
      <c r="Q151" s="453"/>
      <c r="R151" s="453"/>
      <c r="U151" s="171"/>
      <c r="V151" s="171"/>
      <c r="Y151" s="453"/>
      <c r="Z151" s="453"/>
      <c r="AC151" s="171"/>
      <c r="AD151" s="171"/>
    </row>
    <row r="152" spans="1:30">
      <c r="A152" s="453"/>
      <c r="B152" s="453"/>
      <c r="D152" s="171"/>
      <c r="E152" s="171"/>
      <c r="F152" s="171"/>
      <c r="G152" s="171"/>
      <c r="H152" s="171"/>
      <c r="I152" s="453"/>
      <c r="J152" s="453"/>
      <c r="M152" s="171"/>
      <c r="N152" s="171"/>
      <c r="Q152" s="453"/>
      <c r="R152" s="453"/>
      <c r="U152" s="171"/>
      <c r="V152" s="171"/>
      <c r="Y152" s="453"/>
      <c r="Z152" s="453"/>
      <c r="AC152" s="171"/>
      <c r="AD152" s="171"/>
    </row>
    <row r="153" spans="1:30">
      <c r="A153" s="453"/>
      <c r="B153" s="453"/>
      <c r="D153" s="171"/>
      <c r="E153" s="171"/>
      <c r="F153" s="171"/>
      <c r="G153" s="171"/>
      <c r="H153" s="171"/>
      <c r="I153" s="453"/>
      <c r="J153" s="453"/>
      <c r="M153" s="171"/>
      <c r="N153" s="171"/>
      <c r="Q153" s="453"/>
      <c r="R153" s="453"/>
      <c r="U153" s="171"/>
      <c r="V153" s="171"/>
      <c r="Y153" s="453"/>
      <c r="Z153" s="453"/>
      <c r="AC153" s="171"/>
      <c r="AD153" s="171"/>
    </row>
    <row r="154" spans="1:30">
      <c r="A154" s="453"/>
      <c r="B154" s="453"/>
      <c r="D154" s="171"/>
      <c r="E154" s="171"/>
      <c r="F154" s="171"/>
      <c r="G154" s="171"/>
      <c r="H154" s="171"/>
      <c r="I154" s="453"/>
      <c r="J154" s="453"/>
      <c r="M154" s="171"/>
      <c r="N154" s="171"/>
      <c r="Q154" s="453"/>
      <c r="R154" s="453"/>
      <c r="U154" s="171"/>
      <c r="V154" s="171"/>
      <c r="Y154" s="453"/>
      <c r="Z154" s="453"/>
      <c r="AC154" s="171"/>
      <c r="AD154" s="171"/>
    </row>
    <row r="155" spans="1:30">
      <c r="A155" s="453"/>
      <c r="B155" s="453"/>
      <c r="D155" s="171"/>
      <c r="E155" s="171"/>
      <c r="F155" s="171"/>
      <c r="G155" s="171"/>
      <c r="H155" s="171"/>
      <c r="I155" s="453"/>
      <c r="J155" s="453"/>
      <c r="M155" s="171"/>
      <c r="N155" s="171"/>
      <c r="Q155" s="453"/>
      <c r="R155" s="453"/>
      <c r="U155" s="171"/>
      <c r="V155" s="171"/>
      <c r="Y155" s="453"/>
      <c r="Z155" s="453"/>
      <c r="AC155" s="171"/>
      <c r="AD155" s="171"/>
    </row>
    <row r="156" spans="1:30">
      <c r="A156" s="453"/>
      <c r="B156" s="453"/>
      <c r="D156" s="171"/>
      <c r="E156" s="171"/>
      <c r="F156" s="171"/>
      <c r="G156" s="171"/>
      <c r="H156" s="171"/>
      <c r="I156" s="453"/>
      <c r="J156" s="453"/>
      <c r="M156" s="171"/>
      <c r="N156" s="171"/>
      <c r="Q156" s="453"/>
      <c r="R156" s="453"/>
      <c r="U156" s="171"/>
      <c r="V156" s="171"/>
      <c r="Y156" s="453"/>
      <c r="Z156" s="453"/>
      <c r="AC156" s="171"/>
      <c r="AD156" s="171"/>
    </row>
    <row r="157" spans="1:30">
      <c r="A157" s="453"/>
      <c r="B157" s="453"/>
      <c r="D157" s="171"/>
      <c r="E157" s="171"/>
      <c r="F157" s="171"/>
      <c r="G157" s="171"/>
      <c r="H157" s="171"/>
      <c r="I157" s="453"/>
      <c r="J157" s="453"/>
      <c r="M157" s="171"/>
      <c r="N157" s="171"/>
      <c r="Q157" s="453"/>
      <c r="R157" s="453"/>
      <c r="U157" s="171"/>
      <c r="V157" s="171"/>
      <c r="Y157" s="453"/>
      <c r="Z157" s="453"/>
      <c r="AC157" s="171"/>
      <c r="AD157" s="171"/>
    </row>
    <row r="158" spans="1:30">
      <c r="A158" s="453"/>
      <c r="B158" s="453"/>
      <c r="D158" s="171"/>
      <c r="E158" s="171"/>
      <c r="F158" s="171"/>
      <c r="G158" s="171"/>
      <c r="H158" s="171"/>
      <c r="I158" s="453"/>
      <c r="J158" s="453"/>
      <c r="M158" s="171"/>
      <c r="N158" s="171"/>
      <c r="Q158" s="453"/>
      <c r="R158" s="453"/>
      <c r="U158" s="171"/>
      <c r="V158" s="171"/>
      <c r="Y158" s="453"/>
      <c r="Z158" s="453"/>
      <c r="AC158" s="171"/>
      <c r="AD158" s="171"/>
    </row>
    <row r="159" spans="1:30">
      <c r="A159" s="453"/>
      <c r="B159" s="453"/>
      <c r="D159" s="171"/>
      <c r="E159" s="171"/>
      <c r="F159" s="171"/>
      <c r="G159" s="171"/>
      <c r="H159" s="171"/>
      <c r="I159" s="453"/>
      <c r="J159" s="453"/>
      <c r="M159" s="171"/>
      <c r="N159" s="171"/>
      <c r="Q159" s="453"/>
      <c r="R159" s="453"/>
      <c r="U159" s="171"/>
      <c r="V159" s="171"/>
      <c r="Y159" s="453"/>
      <c r="Z159" s="453"/>
      <c r="AC159" s="171"/>
      <c r="AD159" s="171"/>
    </row>
    <row r="160" spans="1:30">
      <c r="A160" s="453"/>
      <c r="B160" s="453"/>
      <c r="D160" s="171"/>
      <c r="E160" s="171"/>
      <c r="F160" s="171"/>
      <c r="G160" s="171"/>
      <c r="H160" s="171"/>
      <c r="I160" s="453"/>
      <c r="J160" s="453"/>
      <c r="M160" s="171"/>
      <c r="N160" s="171"/>
      <c r="Q160" s="453"/>
      <c r="R160" s="453"/>
      <c r="U160" s="171"/>
      <c r="V160" s="171"/>
      <c r="Y160" s="453"/>
      <c r="Z160" s="453"/>
      <c r="AC160" s="171"/>
      <c r="AD160" s="171"/>
    </row>
    <row r="161" spans="1:30">
      <c r="A161" s="453"/>
      <c r="B161" s="453"/>
      <c r="D161" s="171"/>
      <c r="E161" s="171"/>
      <c r="F161" s="171"/>
      <c r="G161" s="171"/>
      <c r="H161" s="171"/>
      <c r="I161" s="453"/>
      <c r="J161" s="453"/>
      <c r="M161" s="171"/>
      <c r="N161" s="171"/>
      <c r="Q161" s="453"/>
      <c r="R161" s="453"/>
      <c r="U161" s="171"/>
      <c r="V161" s="171"/>
      <c r="Y161" s="453"/>
      <c r="Z161" s="453"/>
      <c r="AC161" s="171"/>
      <c r="AD161" s="171"/>
    </row>
    <row r="162" spans="1:30">
      <c r="A162" s="453"/>
      <c r="B162" s="453"/>
      <c r="D162" s="171"/>
      <c r="E162" s="171"/>
      <c r="F162" s="171"/>
      <c r="G162" s="171"/>
      <c r="H162" s="171"/>
      <c r="I162" s="453"/>
      <c r="J162" s="453"/>
      <c r="M162" s="171"/>
      <c r="N162" s="171"/>
      <c r="Q162" s="453"/>
      <c r="R162" s="453"/>
      <c r="U162" s="171"/>
      <c r="V162" s="171"/>
      <c r="Y162" s="453"/>
      <c r="Z162" s="453"/>
      <c r="AC162" s="171"/>
      <c r="AD162" s="171"/>
    </row>
    <row r="163" spans="1:30">
      <c r="A163" s="453"/>
      <c r="B163" s="453"/>
      <c r="D163" s="171"/>
      <c r="E163" s="171"/>
      <c r="F163" s="171"/>
      <c r="G163" s="171"/>
      <c r="H163" s="171"/>
      <c r="I163" s="453"/>
      <c r="J163" s="453"/>
      <c r="M163" s="171"/>
      <c r="N163" s="171"/>
      <c r="Q163" s="453"/>
      <c r="R163" s="453"/>
      <c r="U163" s="171"/>
      <c r="V163" s="171"/>
      <c r="Y163" s="453"/>
      <c r="Z163" s="453"/>
      <c r="AC163" s="171"/>
      <c r="AD163" s="171"/>
    </row>
    <row r="164" spans="1:30">
      <c r="A164" s="453"/>
      <c r="B164" s="453"/>
      <c r="D164" s="171"/>
      <c r="E164" s="171"/>
      <c r="F164" s="171"/>
      <c r="G164" s="171"/>
      <c r="H164" s="171"/>
      <c r="I164" s="453"/>
      <c r="J164" s="453"/>
      <c r="M164" s="171"/>
      <c r="N164" s="171"/>
      <c r="Q164" s="453"/>
      <c r="R164" s="453"/>
      <c r="U164" s="171"/>
      <c r="V164" s="171"/>
      <c r="Y164" s="453"/>
      <c r="Z164" s="453"/>
      <c r="AC164" s="171"/>
      <c r="AD164" s="171"/>
    </row>
    <row r="165" spans="1:30">
      <c r="A165" s="453"/>
      <c r="B165" s="453"/>
      <c r="D165" s="171"/>
      <c r="E165" s="171"/>
      <c r="F165" s="171"/>
      <c r="G165" s="171"/>
      <c r="H165" s="171"/>
      <c r="I165" s="453"/>
      <c r="J165" s="453"/>
      <c r="M165" s="171"/>
      <c r="N165" s="171"/>
      <c r="Q165" s="453"/>
      <c r="R165" s="453"/>
      <c r="U165" s="171"/>
      <c r="V165" s="171"/>
      <c r="Y165" s="453"/>
      <c r="Z165" s="453"/>
      <c r="AC165" s="171"/>
      <c r="AD165" s="171"/>
    </row>
    <row r="166" spans="1:30">
      <c r="A166" s="453"/>
      <c r="B166" s="453"/>
      <c r="D166" s="171"/>
      <c r="E166" s="171"/>
      <c r="F166" s="171"/>
      <c r="G166" s="171"/>
      <c r="H166" s="171"/>
      <c r="I166" s="453"/>
      <c r="J166" s="453"/>
      <c r="M166" s="171"/>
      <c r="N166" s="171"/>
      <c r="Q166" s="453"/>
      <c r="R166" s="453"/>
      <c r="U166" s="171"/>
      <c r="V166" s="171"/>
      <c r="Y166" s="453"/>
      <c r="Z166" s="453"/>
      <c r="AC166" s="171"/>
      <c r="AD166" s="171"/>
    </row>
    <row r="167" spans="1:30">
      <c r="A167" s="453"/>
      <c r="B167" s="453"/>
      <c r="D167" s="171"/>
      <c r="E167" s="171"/>
      <c r="F167" s="171"/>
      <c r="G167" s="171"/>
      <c r="H167" s="171"/>
      <c r="I167" s="453"/>
      <c r="J167" s="453"/>
      <c r="M167" s="171"/>
      <c r="N167" s="171"/>
      <c r="Q167" s="453"/>
      <c r="R167" s="453"/>
      <c r="U167" s="171"/>
      <c r="V167" s="171"/>
      <c r="Y167" s="453"/>
      <c r="Z167" s="453"/>
      <c r="AC167" s="171"/>
      <c r="AD167" s="171"/>
    </row>
    <row r="168" spans="1:30">
      <c r="A168" s="453"/>
      <c r="B168" s="453"/>
      <c r="D168" s="171"/>
      <c r="E168" s="171"/>
      <c r="F168" s="171"/>
      <c r="G168" s="171"/>
      <c r="H168" s="171"/>
      <c r="I168" s="453"/>
      <c r="J168" s="453"/>
      <c r="M168" s="171"/>
      <c r="N168" s="171"/>
      <c r="Q168" s="453"/>
      <c r="R168" s="453"/>
      <c r="U168" s="171"/>
      <c r="V168" s="171"/>
      <c r="Y168" s="453"/>
      <c r="Z168" s="453"/>
      <c r="AC168" s="171"/>
      <c r="AD168" s="171"/>
    </row>
    <row r="169" spans="1:30">
      <c r="A169" s="453"/>
      <c r="B169" s="453"/>
      <c r="D169" s="171"/>
      <c r="E169" s="171"/>
      <c r="F169" s="171"/>
      <c r="G169" s="171"/>
      <c r="H169" s="171"/>
      <c r="I169" s="453"/>
      <c r="J169" s="453"/>
      <c r="M169" s="171"/>
      <c r="N169" s="171"/>
      <c r="Q169" s="453"/>
      <c r="R169" s="453"/>
      <c r="U169" s="171"/>
      <c r="V169" s="171"/>
      <c r="Y169" s="453"/>
      <c r="Z169" s="453"/>
      <c r="AC169" s="171"/>
      <c r="AD169" s="171"/>
    </row>
    <row r="170" spans="1:30">
      <c r="A170" s="453"/>
      <c r="B170" s="453"/>
      <c r="D170" s="171"/>
      <c r="E170" s="171"/>
      <c r="F170" s="171"/>
      <c r="G170" s="171"/>
      <c r="H170" s="171"/>
      <c r="I170" s="453"/>
      <c r="J170" s="453"/>
      <c r="M170" s="171"/>
      <c r="N170" s="171"/>
      <c r="Q170" s="453"/>
      <c r="R170" s="453"/>
      <c r="U170" s="171"/>
      <c r="V170" s="171"/>
      <c r="Y170" s="453"/>
      <c r="Z170" s="453"/>
      <c r="AC170" s="171"/>
      <c r="AD170" s="171"/>
    </row>
    <row r="171" spans="1:30">
      <c r="A171" s="453"/>
      <c r="B171" s="453"/>
      <c r="D171" s="171"/>
      <c r="E171" s="171"/>
      <c r="F171" s="171"/>
      <c r="G171" s="171"/>
      <c r="H171" s="171"/>
      <c r="I171" s="453"/>
      <c r="J171" s="453"/>
      <c r="M171" s="171"/>
      <c r="N171" s="171"/>
      <c r="Q171" s="453"/>
      <c r="R171" s="453"/>
      <c r="U171" s="171"/>
      <c r="V171" s="171"/>
      <c r="Y171" s="453"/>
      <c r="Z171" s="453"/>
      <c r="AC171" s="171"/>
      <c r="AD171" s="171"/>
    </row>
    <row r="172" spans="1:30">
      <c r="A172" s="453"/>
      <c r="B172" s="453"/>
      <c r="D172" s="171"/>
      <c r="E172" s="171"/>
      <c r="F172" s="171"/>
      <c r="G172" s="171"/>
      <c r="H172" s="171"/>
      <c r="I172" s="453"/>
      <c r="J172" s="453"/>
      <c r="M172" s="171"/>
      <c r="N172" s="171"/>
      <c r="Q172" s="453"/>
      <c r="R172" s="453"/>
      <c r="U172" s="171"/>
      <c r="V172" s="171"/>
      <c r="Y172" s="453"/>
      <c r="Z172" s="453"/>
      <c r="AC172" s="171"/>
      <c r="AD172" s="171"/>
    </row>
    <row r="173" spans="1:30">
      <c r="A173" s="453"/>
      <c r="B173" s="453"/>
      <c r="D173" s="171"/>
      <c r="E173" s="171"/>
      <c r="F173" s="171"/>
      <c r="G173" s="171"/>
      <c r="H173" s="171"/>
      <c r="I173" s="453"/>
      <c r="J173" s="453"/>
      <c r="M173" s="171"/>
      <c r="N173" s="171"/>
      <c r="Q173" s="453"/>
      <c r="R173" s="453"/>
      <c r="U173" s="171"/>
      <c r="V173" s="171"/>
      <c r="Y173" s="453"/>
      <c r="Z173" s="453"/>
      <c r="AC173" s="171"/>
      <c r="AD173" s="171"/>
    </row>
    <row r="174" spans="1:30">
      <c r="A174" s="453"/>
      <c r="B174" s="453"/>
      <c r="D174" s="171"/>
      <c r="E174" s="171"/>
      <c r="F174" s="171"/>
      <c r="G174" s="171"/>
      <c r="H174" s="171"/>
      <c r="I174" s="453"/>
      <c r="J174" s="453"/>
      <c r="M174" s="171"/>
      <c r="N174" s="171"/>
      <c r="Q174" s="453"/>
      <c r="R174" s="453"/>
      <c r="U174" s="171"/>
      <c r="V174" s="171"/>
      <c r="Y174" s="453"/>
      <c r="Z174" s="453"/>
      <c r="AC174" s="171"/>
      <c r="AD174" s="171"/>
    </row>
    <row r="175" spans="1:30">
      <c r="A175" s="453"/>
      <c r="B175" s="453"/>
      <c r="D175" s="171"/>
      <c r="E175" s="171"/>
      <c r="F175" s="171"/>
      <c r="G175" s="171"/>
      <c r="H175" s="171"/>
      <c r="I175" s="453"/>
      <c r="J175" s="453"/>
      <c r="M175" s="171"/>
      <c r="N175" s="171"/>
      <c r="Q175" s="453"/>
      <c r="R175" s="453"/>
      <c r="U175" s="171"/>
      <c r="V175" s="171"/>
      <c r="Y175" s="453"/>
      <c r="Z175" s="453"/>
      <c r="AC175" s="171"/>
      <c r="AD175" s="171"/>
    </row>
    <row r="176" spans="1:30">
      <c r="A176" s="453"/>
      <c r="B176" s="453"/>
      <c r="D176" s="171"/>
      <c r="E176" s="171"/>
      <c r="F176" s="171"/>
      <c r="G176" s="171"/>
      <c r="H176" s="171"/>
      <c r="I176" s="453"/>
      <c r="J176" s="453"/>
      <c r="M176" s="171"/>
      <c r="N176" s="171"/>
      <c r="Q176" s="453"/>
      <c r="R176" s="453"/>
      <c r="U176" s="171"/>
      <c r="V176" s="171"/>
      <c r="Y176" s="453"/>
      <c r="Z176" s="453"/>
      <c r="AC176" s="171"/>
      <c r="AD176" s="171"/>
    </row>
    <row r="177" spans="1:30">
      <c r="A177" s="453"/>
      <c r="B177" s="453"/>
      <c r="D177" s="171"/>
      <c r="E177" s="171"/>
      <c r="F177" s="171"/>
      <c r="G177" s="171"/>
      <c r="H177" s="171"/>
      <c r="I177" s="453"/>
      <c r="J177" s="453"/>
      <c r="M177" s="171"/>
      <c r="N177" s="171"/>
      <c r="Q177" s="453"/>
      <c r="R177" s="453"/>
      <c r="U177" s="171"/>
      <c r="V177" s="171"/>
      <c r="Y177" s="453"/>
      <c r="Z177" s="453"/>
      <c r="AC177" s="171"/>
      <c r="AD177" s="171"/>
    </row>
    <row r="178" spans="1:30">
      <c r="A178" s="453"/>
      <c r="B178" s="453"/>
      <c r="D178" s="171"/>
      <c r="E178" s="171"/>
      <c r="F178" s="171"/>
      <c r="G178" s="171"/>
      <c r="H178" s="171"/>
      <c r="I178" s="453"/>
      <c r="J178" s="453"/>
      <c r="M178" s="171"/>
      <c r="N178" s="171"/>
      <c r="Q178" s="453"/>
      <c r="R178" s="453"/>
      <c r="U178" s="171"/>
      <c r="V178" s="171"/>
      <c r="Y178" s="453"/>
      <c r="Z178" s="453"/>
      <c r="AC178" s="171"/>
      <c r="AD178" s="171"/>
    </row>
    <row r="179" spans="1:30">
      <c r="A179" s="453"/>
      <c r="B179" s="453"/>
      <c r="D179" s="171"/>
      <c r="E179" s="171"/>
      <c r="F179" s="171"/>
      <c r="G179" s="171"/>
      <c r="H179" s="171"/>
      <c r="I179" s="453"/>
      <c r="J179" s="453"/>
      <c r="M179" s="171"/>
      <c r="N179" s="171"/>
      <c r="Q179" s="453"/>
      <c r="R179" s="453"/>
      <c r="U179" s="171"/>
      <c r="V179" s="171"/>
      <c r="Y179" s="453"/>
      <c r="Z179" s="453"/>
      <c r="AC179" s="171"/>
      <c r="AD179" s="171"/>
    </row>
    <row r="180" spans="1:30">
      <c r="A180" s="453"/>
      <c r="B180" s="453"/>
      <c r="D180" s="171"/>
      <c r="E180" s="171"/>
      <c r="F180" s="171"/>
      <c r="G180" s="171"/>
      <c r="H180" s="171"/>
      <c r="I180" s="453"/>
      <c r="J180" s="453"/>
      <c r="M180" s="171"/>
      <c r="N180" s="171"/>
      <c r="Q180" s="453"/>
      <c r="R180" s="453"/>
      <c r="U180" s="171"/>
      <c r="V180" s="171"/>
      <c r="Y180" s="453"/>
      <c r="Z180" s="453"/>
      <c r="AC180" s="171"/>
      <c r="AD180" s="171"/>
    </row>
    <row r="181" spans="1:30">
      <c r="A181" s="453"/>
      <c r="B181" s="453"/>
      <c r="D181" s="171"/>
      <c r="E181" s="171"/>
      <c r="F181" s="171"/>
      <c r="G181" s="171"/>
      <c r="H181" s="171"/>
      <c r="I181" s="453"/>
      <c r="J181" s="453"/>
      <c r="M181" s="171"/>
      <c r="N181" s="171"/>
      <c r="Q181" s="453"/>
      <c r="R181" s="453"/>
      <c r="U181" s="171"/>
      <c r="V181" s="171"/>
      <c r="Y181" s="453"/>
      <c r="Z181" s="453"/>
      <c r="AC181" s="171"/>
      <c r="AD181" s="171"/>
    </row>
    <row r="182" spans="1:30">
      <c r="A182" s="453"/>
      <c r="B182" s="453"/>
      <c r="D182" s="171"/>
      <c r="E182" s="171"/>
      <c r="F182" s="171"/>
      <c r="G182" s="171"/>
      <c r="H182" s="171"/>
      <c r="I182" s="453"/>
      <c r="J182" s="453"/>
      <c r="M182" s="171"/>
      <c r="N182" s="171"/>
      <c r="Q182" s="453"/>
      <c r="R182" s="453"/>
      <c r="U182" s="171"/>
      <c r="V182" s="171"/>
      <c r="Y182" s="453"/>
      <c r="Z182" s="453"/>
      <c r="AC182" s="171"/>
      <c r="AD182" s="171"/>
    </row>
    <row r="183" spans="1:30">
      <c r="A183" s="453"/>
      <c r="B183" s="453"/>
      <c r="D183" s="171"/>
      <c r="E183" s="171"/>
      <c r="F183" s="171"/>
      <c r="G183" s="171"/>
      <c r="H183" s="171"/>
      <c r="I183" s="453"/>
      <c r="J183" s="453"/>
      <c r="M183" s="171"/>
      <c r="N183" s="171"/>
      <c r="Q183" s="453"/>
      <c r="R183" s="453"/>
      <c r="U183" s="171"/>
      <c r="V183" s="171"/>
      <c r="Y183" s="453"/>
      <c r="Z183" s="453"/>
      <c r="AC183" s="171"/>
      <c r="AD183" s="171"/>
    </row>
    <row r="184" spans="1:30">
      <c r="A184" s="453"/>
      <c r="B184" s="453"/>
      <c r="D184" s="171"/>
      <c r="E184" s="171"/>
      <c r="F184" s="171"/>
      <c r="G184" s="171"/>
      <c r="H184" s="171"/>
      <c r="I184" s="453"/>
      <c r="J184" s="453"/>
      <c r="M184" s="171"/>
      <c r="N184" s="171"/>
      <c r="Q184" s="453"/>
      <c r="R184" s="453"/>
      <c r="U184" s="171"/>
      <c r="V184" s="171"/>
      <c r="Y184" s="453"/>
      <c r="Z184" s="453"/>
      <c r="AC184" s="171"/>
      <c r="AD184" s="171"/>
    </row>
    <row r="185" spans="1:30">
      <c r="A185" s="453"/>
      <c r="B185" s="453"/>
      <c r="D185" s="171"/>
      <c r="E185" s="171"/>
      <c r="F185" s="171"/>
      <c r="G185" s="171"/>
      <c r="H185" s="171"/>
      <c r="I185" s="453"/>
      <c r="J185" s="453"/>
      <c r="M185" s="171"/>
      <c r="N185" s="171"/>
      <c r="Q185" s="453"/>
      <c r="R185" s="453"/>
      <c r="U185" s="171"/>
      <c r="V185" s="171"/>
      <c r="Y185" s="453"/>
      <c r="Z185" s="453"/>
      <c r="AC185" s="171"/>
      <c r="AD185" s="171"/>
    </row>
    <row r="186" spans="1:30">
      <c r="A186" s="453"/>
      <c r="B186" s="453"/>
      <c r="D186" s="171"/>
      <c r="E186" s="171"/>
      <c r="F186" s="171"/>
      <c r="G186" s="171"/>
      <c r="H186" s="171"/>
      <c r="I186" s="453"/>
      <c r="J186" s="453"/>
      <c r="M186" s="171"/>
      <c r="N186" s="171"/>
      <c r="Q186" s="453"/>
      <c r="R186" s="453"/>
      <c r="U186" s="171"/>
      <c r="V186" s="171"/>
      <c r="Y186" s="453"/>
      <c r="Z186" s="453"/>
      <c r="AC186" s="171"/>
      <c r="AD186" s="171"/>
    </row>
    <row r="187" spans="1:30">
      <c r="A187" s="453"/>
      <c r="B187" s="453"/>
      <c r="D187" s="171"/>
      <c r="E187" s="171"/>
      <c r="F187" s="171"/>
      <c r="G187" s="171"/>
      <c r="H187" s="171"/>
      <c r="I187" s="453"/>
      <c r="J187" s="453"/>
      <c r="M187" s="171"/>
      <c r="N187" s="171"/>
      <c r="Q187" s="453"/>
      <c r="R187" s="453"/>
      <c r="U187" s="171"/>
      <c r="V187" s="171"/>
      <c r="Y187" s="453"/>
      <c r="Z187" s="453"/>
      <c r="AC187" s="171"/>
      <c r="AD187" s="171"/>
    </row>
    <row r="188" spans="1:30">
      <c r="A188" s="453"/>
      <c r="B188" s="453"/>
      <c r="D188" s="171"/>
      <c r="E188" s="171"/>
      <c r="F188" s="171"/>
      <c r="G188" s="171"/>
      <c r="H188" s="171"/>
      <c r="I188" s="453"/>
      <c r="J188" s="453"/>
      <c r="M188" s="171"/>
      <c r="N188" s="171"/>
      <c r="Q188" s="453"/>
      <c r="R188" s="453"/>
      <c r="U188" s="171"/>
      <c r="V188" s="171"/>
      <c r="Y188" s="453"/>
      <c r="Z188" s="453"/>
      <c r="AC188" s="171"/>
      <c r="AD188" s="171"/>
    </row>
    <row r="189" spans="1:30">
      <c r="A189" s="453"/>
      <c r="B189" s="453"/>
      <c r="D189" s="171"/>
      <c r="E189" s="171"/>
      <c r="F189" s="171"/>
      <c r="G189" s="171"/>
      <c r="H189" s="171"/>
      <c r="I189" s="453"/>
      <c r="J189" s="453"/>
      <c r="M189" s="171"/>
      <c r="N189" s="171"/>
      <c r="Q189" s="453"/>
      <c r="R189" s="453"/>
      <c r="U189" s="171"/>
      <c r="V189" s="171"/>
      <c r="Y189" s="453"/>
      <c r="Z189" s="453"/>
      <c r="AC189" s="171"/>
      <c r="AD189" s="171"/>
    </row>
    <row r="190" spans="1:30">
      <c r="A190" s="453"/>
      <c r="B190" s="453"/>
      <c r="D190" s="171"/>
      <c r="E190" s="171"/>
      <c r="F190" s="171"/>
      <c r="G190" s="171"/>
      <c r="H190" s="171"/>
      <c r="I190" s="453"/>
      <c r="J190" s="453"/>
      <c r="M190" s="171"/>
      <c r="N190" s="171"/>
      <c r="Q190" s="453"/>
      <c r="R190" s="453"/>
      <c r="U190" s="171"/>
      <c r="V190" s="171"/>
      <c r="Y190" s="453"/>
      <c r="Z190" s="453"/>
      <c r="AC190" s="171"/>
      <c r="AD190" s="171"/>
    </row>
    <row r="191" spans="1:30">
      <c r="A191" s="453"/>
      <c r="B191" s="453"/>
      <c r="D191" s="171"/>
      <c r="E191" s="171"/>
      <c r="F191" s="171"/>
      <c r="G191" s="171"/>
      <c r="H191" s="171"/>
      <c r="I191" s="453"/>
      <c r="J191" s="453"/>
      <c r="M191" s="171"/>
      <c r="N191" s="171"/>
      <c r="Q191" s="453"/>
      <c r="R191" s="453"/>
      <c r="U191" s="171"/>
      <c r="V191" s="171"/>
      <c r="Y191" s="453"/>
      <c r="Z191" s="453"/>
      <c r="AC191" s="171"/>
      <c r="AD191" s="171"/>
    </row>
    <row r="192" spans="1:30">
      <c r="A192" s="453"/>
      <c r="B192" s="453"/>
      <c r="D192" s="171"/>
      <c r="E192" s="171"/>
      <c r="F192" s="171"/>
      <c r="G192" s="171"/>
      <c r="H192" s="171"/>
      <c r="I192" s="453"/>
      <c r="J192" s="453"/>
      <c r="M192" s="171"/>
      <c r="N192" s="171"/>
      <c r="Q192" s="453"/>
      <c r="R192" s="453"/>
      <c r="U192" s="171"/>
      <c r="V192" s="171"/>
      <c r="Y192" s="453"/>
      <c r="Z192" s="453"/>
      <c r="AC192" s="171"/>
      <c r="AD192" s="171"/>
    </row>
    <row r="193" spans="1:30">
      <c r="A193" s="453"/>
      <c r="B193" s="453"/>
      <c r="D193" s="171"/>
      <c r="E193" s="171"/>
      <c r="F193" s="171"/>
      <c r="G193" s="171"/>
      <c r="H193" s="171"/>
      <c r="I193" s="453"/>
      <c r="J193" s="453"/>
      <c r="M193" s="171"/>
      <c r="N193" s="171"/>
      <c r="Q193" s="453"/>
      <c r="R193" s="453"/>
      <c r="U193" s="171"/>
      <c r="V193" s="171"/>
      <c r="Y193" s="453"/>
      <c r="Z193" s="453"/>
      <c r="AC193" s="171"/>
      <c r="AD193" s="171"/>
    </row>
    <row r="194" spans="1:30">
      <c r="A194" s="453"/>
      <c r="B194" s="453"/>
      <c r="D194" s="171"/>
      <c r="E194" s="171"/>
      <c r="F194" s="171"/>
      <c r="G194" s="171"/>
      <c r="H194" s="171"/>
      <c r="I194" s="453"/>
      <c r="J194" s="453"/>
      <c r="M194" s="171"/>
      <c r="N194" s="171"/>
      <c r="Q194" s="453"/>
      <c r="R194" s="453"/>
      <c r="U194" s="171"/>
      <c r="V194" s="171"/>
      <c r="Y194" s="453"/>
      <c r="Z194" s="453"/>
      <c r="AC194" s="171"/>
      <c r="AD194" s="171"/>
    </row>
    <row r="195" spans="1:30">
      <c r="A195" s="453"/>
      <c r="B195" s="453"/>
      <c r="D195" s="171"/>
      <c r="E195" s="171"/>
      <c r="F195" s="171"/>
      <c r="G195" s="171"/>
      <c r="H195" s="171"/>
      <c r="I195" s="453"/>
      <c r="J195" s="453"/>
      <c r="M195" s="171"/>
      <c r="N195" s="171"/>
      <c r="Q195" s="453"/>
      <c r="R195" s="453"/>
      <c r="U195" s="171"/>
      <c r="V195" s="171"/>
      <c r="Y195" s="453"/>
      <c r="Z195" s="453"/>
      <c r="AC195" s="171"/>
      <c r="AD195" s="171"/>
    </row>
    <row r="196" spans="1:30">
      <c r="A196" s="453"/>
      <c r="B196" s="453"/>
      <c r="D196" s="171"/>
      <c r="E196" s="171"/>
      <c r="F196" s="171"/>
      <c r="G196" s="171"/>
      <c r="H196" s="171"/>
      <c r="I196" s="453"/>
      <c r="J196" s="453"/>
      <c r="M196" s="171"/>
      <c r="N196" s="171"/>
      <c r="Q196" s="453"/>
      <c r="R196" s="453"/>
      <c r="U196" s="171"/>
      <c r="V196" s="171"/>
      <c r="Y196" s="453"/>
      <c r="Z196" s="453"/>
      <c r="AC196" s="171"/>
      <c r="AD196" s="171"/>
    </row>
    <row r="197" spans="1:30">
      <c r="A197" s="453"/>
      <c r="B197" s="453"/>
      <c r="D197" s="171"/>
      <c r="E197" s="171"/>
      <c r="F197" s="171"/>
      <c r="G197" s="171"/>
      <c r="H197" s="171"/>
      <c r="I197" s="453"/>
      <c r="J197" s="453"/>
      <c r="M197" s="171"/>
      <c r="N197" s="171"/>
      <c r="Q197" s="453"/>
      <c r="R197" s="453"/>
      <c r="U197" s="171"/>
      <c r="V197" s="171"/>
      <c r="Y197" s="453"/>
      <c r="Z197" s="453"/>
      <c r="AC197" s="171"/>
      <c r="AD197" s="171"/>
    </row>
    <row r="198" spans="1:30">
      <c r="A198" s="453"/>
      <c r="B198" s="453"/>
      <c r="D198" s="171"/>
      <c r="E198" s="171"/>
      <c r="F198" s="171"/>
      <c r="G198" s="171"/>
      <c r="H198" s="171"/>
      <c r="I198" s="453"/>
      <c r="J198" s="453"/>
      <c r="M198" s="171"/>
      <c r="N198" s="171"/>
      <c r="Q198" s="453"/>
      <c r="R198" s="453"/>
      <c r="U198" s="171"/>
      <c r="V198" s="171"/>
      <c r="Y198" s="453"/>
      <c r="Z198" s="453"/>
      <c r="AC198" s="171"/>
      <c r="AD198" s="171"/>
    </row>
    <row r="199" spans="1:30">
      <c r="A199" s="453"/>
      <c r="B199" s="453"/>
      <c r="D199" s="171"/>
      <c r="E199" s="171"/>
      <c r="F199" s="171"/>
      <c r="G199" s="171"/>
      <c r="H199" s="171"/>
      <c r="I199" s="453"/>
      <c r="J199" s="453"/>
      <c r="M199" s="171"/>
      <c r="N199" s="171"/>
      <c r="Q199" s="453"/>
      <c r="R199" s="453"/>
      <c r="U199" s="171"/>
      <c r="V199" s="171"/>
      <c r="Y199" s="453"/>
      <c r="Z199" s="453"/>
      <c r="AC199" s="171"/>
      <c r="AD199" s="171"/>
    </row>
    <row r="200" spans="1:30">
      <c r="A200" s="453"/>
      <c r="B200" s="453"/>
      <c r="D200" s="171"/>
      <c r="E200" s="171"/>
      <c r="F200" s="171"/>
      <c r="G200" s="171"/>
      <c r="H200" s="171"/>
      <c r="I200" s="453"/>
      <c r="J200" s="453"/>
      <c r="M200" s="171"/>
      <c r="N200" s="171"/>
      <c r="Q200" s="453"/>
      <c r="R200" s="453"/>
      <c r="U200" s="171"/>
      <c r="V200" s="171"/>
      <c r="Y200" s="453"/>
      <c r="Z200" s="453"/>
      <c r="AC200" s="171"/>
      <c r="AD200" s="171"/>
    </row>
    <row r="201" spans="1:30">
      <c r="A201" s="453"/>
      <c r="B201" s="453"/>
      <c r="D201" s="171"/>
      <c r="E201" s="171"/>
      <c r="F201" s="171"/>
      <c r="G201" s="171"/>
      <c r="H201" s="171"/>
      <c r="I201" s="453"/>
      <c r="J201" s="453"/>
      <c r="M201" s="171"/>
      <c r="N201" s="171"/>
      <c r="Q201" s="453"/>
      <c r="R201" s="453"/>
      <c r="U201" s="171"/>
      <c r="V201" s="171"/>
      <c r="Y201" s="453"/>
      <c r="Z201" s="453"/>
      <c r="AC201" s="171"/>
      <c r="AD201" s="171"/>
    </row>
    <row r="202" spans="1:30">
      <c r="A202" s="453"/>
      <c r="B202" s="453"/>
      <c r="D202" s="171"/>
      <c r="E202" s="171"/>
      <c r="F202" s="171"/>
      <c r="G202" s="171"/>
      <c r="H202" s="171"/>
      <c r="I202" s="453"/>
      <c r="J202" s="453"/>
      <c r="M202" s="171"/>
      <c r="N202" s="171"/>
      <c r="Q202" s="453"/>
      <c r="R202" s="453"/>
      <c r="U202" s="171"/>
      <c r="V202" s="171"/>
      <c r="Y202" s="453"/>
      <c r="Z202" s="453"/>
      <c r="AC202" s="171"/>
      <c r="AD202" s="171"/>
    </row>
    <row r="203" spans="1:30">
      <c r="A203" s="453"/>
      <c r="B203" s="453"/>
      <c r="D203" s="171"/>
      <c r="E203" s="171"/>
      <c r="F203" s="171"/>
      <c r="G203" s="171"/>
      <c r="H203" s="171"/>
      <c r="I203" s="453"/>
      <c r="J203" s="453"/>
      <c r="M203" s="171"/>
      <c r="N203" s="171"/>
      <c r="Q203" s="453"/>
      <c r="R203" s="453"/>
      <c r="U203" s="171"/>
      <c r="V203" s="171"/>
      <c r="Y203" s="453"/>
      <c r="Z203" s="453"/>
      <c r="AC203" s="171"/>
      <c r="AD203" s="171"/>
    </row>
    <row r="204" spans="1:30">
      <c r="A204" s="453"/>
      <c r="B204" s="453"/>
      <c r="D204" s="171"/>
      <c r="E204" s="171"/>
      <c r="F204" s="171"/>
      <c r="G204" s="171"/>
      <c r="H204" s="171"/>
      <c r="I204" s="453"/>
      <c r="J204" s="453"/>
      <c r="M204" s="171"/>
      <c r="N204" s="171"/>
      <c r="Q204" s="453"/>
      <c r="R204" s="453"/>
      <c r="U204" s="171"/>
      <c r="V204" s="171"/>
      <c r="Y204" s="453"/>
      <c r="Z204" s="453"/>
      <c r="AC204" s="171"/>
      <c r="AD204" s="171"/>
    </row>
    <row r="205" spans="1:30">
      <c r="A205" s="453"/>
      <c r="B205" s="453"/>
      <c r="D205" s="171"/>
      <c r="E205" s="171"/>
      <c r="F205" s="171"/>
      <c r="G205" s="171"/>
      <c r="H205" s="171"/>
      <c r="I205" s="453"/>
      <c r="J205" s="453"/>
      <c r="M205" s="171"/>
      <c r="N205" s="171"/>
      <c r="Q205" s="453"/>
      <c r="R205" s="453"/>
      <c r="U205" s="171"/>
      <c r="V205" s="171"/>
      <c r="Y205" s="453"/>
      <c r="Z205" s="453"/>
      <c r="AC205" s="171"/>
      <c r="AD205" s="171"/>
    </row>
    <row r="206" spans="1:30">
      <c r="A206" s="453"/>
      <c r="B206" s="453"/>
      <c r="D206" s="171"/>
      <c r="E206" s="171"/>
      <c r="F206" s="171"/>
      <c r="G206" s="171"/>
      <c r="H206" s="171"/>
      <c r="I206" s="453"/>
      <c r="J206" s="453"/>
      <c r="M206" s="171"/>
      <c r="N206" s="171"/>
      <c r="Q206" s="453"/>
      <c r="R206" s="453"/>
      <c r="U206" s="171"/>
      <c r="V206" s="171"/>
      <c r="Y206" s="453"/>
      <c r="Z206" s="453"/>
      <c r="AC206" s="171"/>
      <c r="AD206" s="171"/>
    </row>
    <row r="207" spans="1:30">
      <c r="A207" s="453"/>
      <c r="B207" s="453"/>
      <c r="D207" s="171"/>
      <c r="E207" s="171"/>
      <c r="F207" s="171"/>
      <c r="G207" s="171"/>
      <c r="H207" s="171"/>
      <c r="I207" s="453"/>
      <c r="J207" s="453"/>
      <c r="M207" s="171"/>
      <c r="N207" s="171"/>
      <c r="Q207" s="453"/>
      <c r="R207" s="453"/>
      <c r="U207" s="171"/>
      <c r="V207" s="171"/>
      <c r="Y207" s="453"/>
      <c r="Z207" s="453"/>
      <c r="AC207" s="171"/>
      <c r="AD207" s="171"/>
    </row>
    <row r="208" spans="1:30">
      <c r="A208" s="453"/>
      <c r="B208" s="453"/>
      <c r="D208" s="171"/>
      <c r="E208" s="171"/>
      <c r="F208" s="171"/>
      <c r="G208" s="171"/>
      <c r="H208" s="171"/>
      <c r="I208" s="453"/>
      <c r="J208" s="453"/>
      <c r="M208" s="171"/>
      <c r="N208" s="171"/>
      <c r="Q208" s="453"/>
      <c r="R208" s="453"/>
      <c r="U208" s="171"/>
      <c r="V208" s="171"/>
      <c r="Y208" s="453"/>
      <c r="Z208" s="453"/>
      <c r="AC208" s="171"/>
      <c r="AD208" s="171"/>
    </row>
    <row r="209" spans="1:30">
      <c r="A209" s="453"/>
      <c r="B209" s="453"/>
      <c r="D209" s="171"/>
      <c r="E209" s="171"/>
      <c r="F209" s="171"/>
      <c r="G209" s="171"/>
      <c r="H209" s="171"/>
      <c r="I209" s="453"/>
      <c r="J209" s="453"/>
      <c r="M209" s="171"/>
      <c r="N209" s="171"/>
      <c r="Q209" s="453"/>
      <c r="R209" s="453"/>
      <c r="U209" s="171"/>
      <c r="V209" s="171"/>
      <c r="Y209" s="453"/>
      <c r="Z209" s="453"/>
      <c r="AC209" s="171"/>
      <c r="AD209" s="171"/>
    </row>
    <row r="210" spans="1:30">
      <c r="A210" s="453"/>
      <c r="B210" s="453"/>
      <c r="D210" s="171"/>
      <c r="E210" s="171"/>
      <c r="F210" s="171"/>
      <c r="G210" s="171"/>
      <c r="H210" s="171"/>
      <c r="I210" s="453"/>
      <c r="J210" s="453"/>
      <c r="M210" s="171"/>
      <c r="N210" s="171"/>
      <c r="Q210" s="453"/>
      <c r="R210" s="453"/>
      <c r="U210" s="171"/>
      <c r="V210" s="171"/>
      <c r="Y210" s="453"/>
      <c r="Z210" s="453"/>
      <c r="AC210" s="171"/>
      <c r="AD210" s="171"/>
    </row>
    <row r="211" spans="1:30">
      <c r="A211" s="453"/>
      <c r="B211" s="453"/>
      <c r="D211" s="171"/>
      <c r="E211" s="171"/>
      <c r="F211" s="171"/>
      <c r="G211" s="171"/>
      <c r="H211" s="171"/>
      <c r="I211" s="453"/>
      <c r="J211" s="453"/>
      <c r="M211" s="171"/>
      <c r="N211" s="171"/>
      <c r="Q211" s="453"/>
      <c r="R211" s="453"/>
      <c r="U211" s="171"/>
      <c r="V211" s="171"/>
      <c r="Y211" s="453"/>
      <c r="Z211" s="453"/>
      <c r="AC211" s="171"/>
      <c r="AD211" s="171"/>
    </row>
    <row r="212" spans="1:30">
      <c r="K212" s="858" t="s">
        <v>259</v>
      </c>
      <c r="L212" s="858"/>
      <c r="M212" s="858"/>
      <c r="N212" s="442"/>
      <c r="O212" s="858" t="s">
        <v>253</v>
      </c>
      <c r="P212" s="858"/>
      <c r="Q212" s="858"/>
      <c r="R212" s="442"/>
      <c r="S212" s="858" t="s">
        <v>254</v>
      </c>
      <c r="T212" s="858"/>
      <c r="U212" s="858"/>
      <c r="V212" s="442"/>
      <c r="W212" s="858" t="s">
        <v>255</v>
      </c>
      <c r="X212" s="858"/>
      <c r="Y212" s="858"/>
      <c r="Z212" s="442"/>
    </row>
    <row r="213" spans="1:30">
      <c r="K213" s="442">
        <v>0.01</v>
      </c>
      <c r="L213" s="442">
        <f>'Help Me'!Q73</f>
        <v>4</v>
      </c>
      <c r="M213" s="442">
        <f>'Help Me'!I99</f>
        <v>0</v>
      </c>
      <c r="N213" s="442"/>
      <c r="O213" s="442">
        <v>0.01</v>
      </c>
      <c r="P213" s="442">
        <f>'Help Me'!Q81</f>
        <v>4</v>
      </c>
      <c r="Q213" s="442">
        <f>'Help Me'!I100</f>
        <v>0</v>
      </c>
      <c r="R213" s="442"/>
      <c r="S213" s="442">
        <v>0.01</v>
      </c>
      <c r="T213" s="442">
        <f>'Help Me'!Q89</f>
        <v>6</v>
      </c>
      <c r="U213" s="442">
        <f>'Help Me'!I101</f>
        <v>0</v>
      </c>
      <c r="V213" s="442"/>
      <c r="W213" s="442">
        <v>0.01</v>
      </c>
      <c r="X213" s="442">
        <v>7</v>
      </c>
      <c r="Y213" s="442">
        <v>80.370999999999995</v>
      </c>
      <c r="Z213" s="442"/>
    </row>
    <row r="214" spans="1:30">
      <c r="K214" s="442">
        <f>K213/5</f>
        <v>2E-3</v>
      </c>
      <c r="L214" s="442">
        <f>K213/5+1</f>
        <v>1.002</v>
      </c>
      <c r="M214" s="442">
        <f t="shared" ref="M214:M221" si="48">M213*L214</f>
        <v>0</v>
      </c>
      <c r="N214" s="442"/>
      <c r="O214" s="442">
        <f>O213/5</f>
        <v>2E-3</v>
      </c>
      <c r="P214" s="442">
        <f>O213/5+1</f>
        <v>1.002</v>
      </c>
      <c r="Q214" s="442">
        <f t="shared" ref="Q214:Q221" si="49">Q213*P214</f>
        <v>0</v>
      </c>
      <c r="R214" s="442"/>
      <c r="S214" s="442">
        <f>S213/5</f>
        <v>2E-3</v>
      </c>
      <c r="T214" s="442">
        <f>S213/5+1</f>
        <v>1.002</v>
      </c>
      <c r="U214" s="442">
        <f t="shared" ref="U214:U221" si="50">U213*T214</f>
        <v>0</v>
      </c>
      <c r="V214" s="442"/>
      <c r="W214" s="442">
        <f>W213/5</f>
        <v>2E-3</v>
      </c>
      <c r="X214" s="442">
        <f>W213/5+1</f>
        <v>1.002</v>
      </c>
      <c r="Y214" s="442">
        <f t="shared" ref="Y214:Y221" si="51">Y213*X214</f>
        <v>80.531741999999994</v>
      </c>
      <c r="Z214" s="442">
        <f t="shared" ref="Z214:Z221" si="52">Y214-$Y$213</f>
        <v>0.16074199999999905</v>
      </c>
    </row>
    <row r="215" spans="1:30">
      <c r="K215" s="442"/>
      <c r="L215" s="442">
        <f>L214+K214</f>
        <v>1.004</v>
      </c>
      <c r="M215" s="442">
        <f t="shared" si="48"/>
        <v>0</v>
      </c>
      <c r="N215" s="442"/>
      <c r="O215" s="442"/>
      <c r="P215" s="442">
        <f>P214+O214</f>
        <v>1.004</v>
      </c>
      <c r="Q215" s="442">
        <f t="shared" si="49"/>
        <v>0</v>
      </c>
      <c r="R215" s="442"/>
      <c r="S215" s="442"/>
      <c r="T215" s="442">
        <f>T214+S214</f>
        <v>1.004</v>
      </c>
      <c r="U215" s="442">
        <f t="shared" si="50"/>
        <v>0</v>
      </c>
      <c r="V215" s="442"/>
      <c r="W215" s="442"/>
      <c r="X215" s="442">
        <f>X214+W214</f>
        <v>1.004</v>
      </c>
      <c r="Y215" s="442">
        <f t="shared" si="51"/>
        <v>80.853868968</v>
      </c>
      <c r="Z215" s="442">
        <f t="shared" si="52"/>
        <v>0.48286896800000534</v>
      </c>
    </row>
    <row r="216" spans="1:30">
      <c r="K216" s="442"/>
      <c r="L216" s="442">
        <f t="shared" ref="L216:L221" si="53">L215+$K$214</f>
        <v>1.006</v>
      </c>
      <c r="M216" s="442">
        <f t="shared" si="48"/>
        <v>0</v>
      </c>
      <c r="N216" s="442"/>
      <c r="O216" s="442"/>
      <c r="P216" s="442">
        <f t="shared" ref="P216:P221" si="54">P215+$K$214</f>
        <v>1.006</v>
      </c>
      <c r="Q216" s="442">
        <f t="shared" si="49"/>
        <v>0</v>
      </c>
      <c r="R216" s="442"/>
      <c r="S216" s="442"/>
      <c r="T216" s="442">
        <f t="shared" ref="T216:T221" si="55">T215+$K$214</f>
        <v>1.006</v>
      </c>
      <c r="U216" s="442">
        <f t="shared" si="50"/>
        <v>0</v>
      </c>
      <c r="V216" s="442"/>
      <c r="W216" s="442"/>
      <c r="X216" s="442">
        <f t="shared" ref="X216:X221" si="56">X215+$K$214</f>
        <v>1.006</v>
      </c>
      <c r="Y216" s="442">
        <f t="shared" si="51"/>
        <v>81.338992181807996</v>
      </c>
      <c r="Z216" s="442">
        <f t="shared" si="52"/>
        <v>0.9679921818080004</v>
      </c>
    </row>
    <row r="217" spans="1:30">
      <c r="K217" s="442"/>
      <c r="L217" s="442">
        <f t="shared" si="53"/>
        <v>1.008</v>
      </c>
      <c r="M217" s="442">
        <f t="shared" si="48"/>
        <v>0</v>
      </c>
      <c r="N217" s="442"/>
      <c r="O217" s="442"/>
      <c r="P217" s="442">
        <f t="shared" si="54"/>
        <v>1.008</v>
      </c>
      <c r="Q217" s="442">
        <f t="shared" si="49"/>
        <v>0</v>
      </c>
      <c r="R217" s="442"/>
      <c r="S217" s="442"/>
      <c r="T217" s="442">
        <f t="shared" si="55"/>
        <v>1.008</v>
      </c>
      <c r="U217" s="442">
        <f t="shared" si="50"/>
        <v>0</v>
      </c>
      <c r="V217" s="442"/>
      <c r="W217" s="442"/>
      <c r="X217" s="442">
        <f t="shared" si="56"/>
        <v>1.008</v>
      </c>
      <c r="Y217" s="442">
        <f t="shared" si="51"/>
        <v>81.989704119262456</v>
      </c>
      <c r="Z217" s="442">
        <f t="shared" si="52"/>
        <v>1.6187041192624605</v>
      </c>
    </row>
    <row r="218" spans="1:30">
      <c r="K218" s="442"/>
      <c r="L218" s="442">
        <f t="shared" si="53"/>
        <v>1.01</v>
      </c>
      <c r="M218" s="442">
        <f t="shared" si="48"/>
        <v>0</v>
      </c>
      <c r="N218" s="442"/>
      <c r="O218" s="442"/>
      <c r="P218" s="442">
        <f t="shared" si="54"/>
        <v>1.01</v>
      </c>
      <c r="Q218" s="442">
        <f t="shared" si="49"/>
        <v>0</v>
      </c>
      <c r="R218" s="442"/>
      <c r="S218" s="442"/>
      <c r="T218" s="442">
        <f t="shared" si="55"/>
        <v>1.01</v>
      </c>
      <c r="U218" s="442">
        <f t="shared" si="50"/>
        <v>0</v>
      </c>
      <c r="V218" s="442"/>
      <c r="W218" s="442"/>
      <c r="X218" s="442">
        <f t="shared" si="56"/>
        <v>1.01</v>
      </c>
      <c r="Y218" s="442">
        <f t="shared" si="51"/>
        <v>82.809601160455074</v>
      </c>
      <c r="Z218" s="442">
        <f t="shared" si="52"/>
        <v>2.4386011604550788</v>
      </c>
    </row>
    <row r="219" spans="1:30">
      <c r="K219" s="442"/>
      <c r="L219" s="442">
        <f t="shared" si="53"/>
        <v>1.012</v>
      </c>
      <c r="M219" s="442">
        <f t="shared" si="48"/>
        <v>0</v>
      </c>
      <c r="N219" s="442"/>
      <c r="O219" s="442"/>
      <c r="P219" s="442">
        <f t="shared" si="54"/>
        <v>1.012</v>
      </c>
      <c r="Q219" s="442">
        <f t="shared" si="49"/>
        <v>0</v>
      </c>
      <c r="R219" s="442"/>
      <c r="S219" s="442"/>
      <c r="T219" s="442">
        <f t="shared" si="55"/>
        <v>1.012</v>
      </c>
      <c r="U219" s="442">
        <f t="shared" si="50"/>
        <v>0</v>
      </c>
      <c r="V219" s="442"/>
      <c r="W219" s="442"/>
      <c r="X219" s="442">
        <f t="shared" si="56"/>
        <v>1.012</v>
      </c>
      <c r="Y219" s="442">
        <f t="shared" si="51"/>
        <v>83.803316374380529</v>
      </c>
      <c r="Z219" s="442">
        <f t="shared" si="52"/>
        <v>3.4323163743805338</v>
      </c>
    </row>
    <row r="220" spans="1:30">
      <c r="K220" s="442"/>
      <c r="L220" s="442">
        <f t="shared" si="53"/>
        <v>1.014</v>
      </c>
      <c r="M220" s="442">
        <f t="shared" si="48"/>
        <v>0</v>
      </c>
      <c r="N220" s="442"/>
      <c r="O220" s="442"/>
      <c r="P220" s="442">
        <f t="shared" si="54"/>
        <v>1.014</v>
      </c>
      <c r="Q220" s="442">
        <f t="shared" si="49"/>
        <v>0</v>
      </c>
      <c r="R220" s="442"/>
      <c r="S220" s="442"/>
      <c r="T220" s="442">
        <f t="shared" si="55"/>
        <v>1.014</v>
      </c>
      <c r="U220" s="442">
        <f t="shared" si="50"/>
        <v>0</v>
      </c>
      <c r="V220" s="442"/>
      <c r="W220" s="442"/>
      <c r="X220" s="442">
        <f t="shared" si="56"/>
        <v>1.014</v>
      </c>
      <c r="Y220" s="442">
        <f t="shared" si="51"/>
        <v>84.97656280362186</v>
      </c>
      <c r="Z220" s="442">
        <f t="shared" si="52"/>
        <v>4.605562803621865</v>
      </c>
    </row>
    <row r="221" spans="1:30">
      <c r="K221" s="442"/>
      <c r="L221" s="442">
        <f t="shared" si="53"/>
        <v>1.016</v>
      </c>
      <c r="M221" s="442">
        <f t="shared" si="48"/>
        <v>0</v>
      </c>
      <c r="N221" s="442"/>
      <c r="O221" s="442"/>
      <c r="P221" s="442">
        <f t="shared" si="54"/>
        <v>1.016</v>
      </c>
      <c r="Q221" s="442">
        <f t="shared" si="49"/>
        <v>0</v>
      </c>
      <c r="R221" s="442"/>
      <c r="S221" s="442"/>
      <c r="T221" s="442">
        <f t="shared" si="55"/>
        <v>1.016</v>
      </c>
      <c r="U221" s="442">
        <f t="shared" si="50"/>
        <v>0</v>
      </c>
      <c r="V221" s="442"/>
      <c r="W221" s="442"/>
      <c r="X221" s="442">
        <f t="shared" si="56"/>
        <v>1.016</v>
      </c>
      <c r="Y221" s="442">
        <f t="shared" si="51"/>
        <v>86.336187808479806</v>
      </c>
      <c r="Z221" s="442">
        <f t="shared" si="52"/>
        <v>5.9651878084798113</v>
      </c>
    </row>
    <row r="273" spans="1:5">
      <c r="A273" s="170" t="s">
        <v>296</v>
      </c>
      <c r="D273" s="170" t="s">
        <v>297</v>
      </c>
      <c r="E273" s="170" t="s">
        <v>294</v>
      </c>
    </row>
    <row r="274" spans="1:5">
      <c r="A274" s="170" t="s">
        <v>125</v>
      </c>
      <c r="D274" s="170">
        <v>7.3699999999999998E-3</v>
      </c>
      <c r="E274" s="170">
        <v>71</v>
      </c>
    </row>
    <row r="275" spans="1:5">
      <c r="A275" s="170" t="s">
        <v>124</v>
      </c>
      <c r="D275" s="170">
        <v>8.0300000000000007E-3</v>
      </c>
      <c r="E275" s="170">
        <v>79</v>
      </c>
    </row>
    <row r="276" spans="1:5">
      <c r="A276" s="170" t="s">
        <v>122</v>
      </c>
      <c r="D276" s="170">
        <v>7.4609999999999998E-3</v>
      </c>
      <c r="E276" s="170">
        <v>70</v>
      </c>
    </row>
    <row r="277" spans="1:5">
      <c r="A277" s="170" t="s">
        <v>120</v>
      </c>
      <c r="D277" s="170">
        <v>1.286E-2</v>
      </c>
      <c r="E277" s="170">
        <v>65</v>
      </c>
    </row>
    <row r="278" spans="1:5">
      <c r="A278" s="170" t="s">
        <v>119</v>
      </c>
      <c r="D278" s="170">
        <v>7.7499999999999999E-3</v>
      </c>
      <c r="E278" s="170">
        <v>75</v>
      </c>
    </row>
    <row r="279" spans="1:5">
      <c r="A279" s="170" t="s">
        <v>118</v>
      </c>
      <c r="D279" s="170">
        <v>1.2E-2</v>
      </c>
      <c r="E279" s="170">
        <v>55</v>
      </c>
    </row>
    <row r="280" spans="1:5">
      <c r="A280" s="170" t="s">
        <v>116</v>
      </c>
      <c r="D280" s="170">
        <v>1.6799999999999999E-2</v>
      </c>
      <c r="E280" s="170">
        <v>57</v>
      </c>
    </row>
    <row r="281" spans="1:5">
      <c r="A281" s="170" t="s">
        <v>114</v>
      </c>
      <c r="D281" s="170">
        <v>1.4200000000000001E-2</v>
      </c>
      <c r="E281" s="170">
        <v>72</v>
      </c>
    </row>
    <row r="282" spans="1:5">
      <c r="A282" s="170" t="s">
        <v>113</v>
      </c>
      <c r="D282" s="170">
        <v>1.0125E-2</v>
      </c>
      <c r="E282" s="170">
        <v>70</v>
      </c>
    </row>
    <row r="283" spans="1:5">
      <c r="A283" s="170" t="s">
        <v>112</v>
      </c>
      <c r="D283" s="170">
        <v>8.5900000000000004E-3</v>
      </c>
      <c r="E283" s="170">
        <v>79</v>
      </c>
    </row>
    <row r="284" spans="1:5">
      <c r="A284" s="170" t="s">
        <v>111</v>
      </c>
      <c r="D284" s="170">
        <v>1.3650000000000001E-2</v>
      </c>
      <c r="E284" s="170">
        <v>67</v>
      </c>
    </row>
    <row r="285" spans="1:5">
      <c r="A285" s="170" t="s">
        <v>110</v>
      </c>
      <c r="D285" s="170">
        <v>1.035E-2</v>
      </c>
      <c r="E285" s="170">
        <v>67</v>
      </c>
    </row>
    <row r="286" spans="1:5">
      <c r="A286" s="170" t="s">
        <v>109</v>
      </c>
      <c r="D286" s="170">
        <v>7.2700000000000004E-3</v>
      </c>
      <c r="E286" s="170">
        <v>77</v>
      </c>
    </row>
    <row r="287" spans="1:5">
      <c r="A287" s="170" t="s">
        <v>108</v>
      </c>
      <c r="D287" s="170">
        <v>1.2999999999999999E-2</v>
      </c>
      <c r="E287" s="170">
        <v>62</v>
      </c>
    </row>
    <row r="288" spans="1:5">
      <c r="A288" s="170" t="s">
        <v>107</v>
      </c>
      <c r="D288" s="170">
        <v>9.8099999999999993E-3</v>
      </c>
      <c r="E288" s="170">
        <v>73</v>
      </c>
    </row>
    <row r="289" spans="1:5">
      <c r="A289" s="170" t="s">
        <v>105</v>
      </c>
      <c r="D289" s="170">
        <v>1.0800000000000001E-2</v>
      </c>
      <c r="E289" s="170">
        <v>71</v>
      </c>
    </row>
    <row r="290" spans="1:5">
      <c r="A290" s="170" t="s">
        <v>104</v>
      </c>
      <c r="D290" s="170">
        <v>9.2999999999999992E-3</v>
      </c>
      <c r="E290" s="170">
        <v>79</v>
      </c>
    </row>
    <row r="291" spans="1:5">
      <c r="A291" s="170" t="s">
        <v>103</v>
      </c>
      <c r="D291" s="170">
        <v>1.2189999999999999E-2</v>
      </c>
      <c r="E291" s="170">
        <v>58</v>
      </c>
    </row>
    <row r="292" spans="1:5">
      <c r="A292" s="170" t="s">
        <v>102</v>
      </c>
      <c r="D292" s="170">
        <v>1.41E-2</v>
      </c>
      <c r="E292" s="170">
        <v>69</v>
      </c>
    </row>
    <row r="293" spans="1:5">
      <c r="A293" s="170" t="s">
        <v>100</v>
      </c>
      <c r="D293" s="170">
        <v>1.052E-2</v>
      </c>
      <c r="E293" s="170">
        <v>72</v>
      </c>
    </row>
    <row r="294" spans="1:5">
      <c r="A294" s="170" t="s">
        <v>99</v>
      </c>
      <c r="D294" s="170">
        <v>7.7000000000000002E-3</v>
      </c>
      <c r="E294" s="170">
        <v>79</v>
      </c>
    </row>
    <row r="295" spans="1:5">
      <c r="A295" s="170" t="s">
        <v>98</v>
      </c>
      <c r="D295" s="170">
        <v>1.1440000000000001E-2</v>
      </c>
      <c r="E295" s="170">
        <v>72</v>
      </c>
    </row>
    <row r="296" spans="1:5">
      <c r="A296" s="170" t="s">
        <v>97</v>
      </c>
      <c r="D296" s="170">
        <v>1.7100000000000001E-2</v>
      </c>
      <c r="E296" s="170">
        <v>58</v>
      </c>
    </row>
    <row r="297" spans="1:5">
      <c r="A297" s="170" t="s">
        <v>96</v>
      </c>
      <c r="D297" s="170">
        <v>7.2100000000000003E-3</v>
      </c>
      <c r="E297" s="170">
        <v>69</v>
      </c>
    </row>
    <row r="298" spans="1:5">
      <c r="A298" s="170" t="s">
        <v>95</v>
      </c>
      <c r="D298" s="170">
        <v>1.06E-2</v>
      </c>
      <c r="E298" s="170">
        <v>78</v>
      </c>
    </row>
    <row r="299" spans="1:5">
      <c r="A299" s="170" t="s">
        <v>94</v>
      </c>
      <c r="D299" s="170">
        <v>8.9999999999999993E-3</v>
      </c>
      <c r="E299" s="170">
        <v>69</v>
      </c>
    </row>
    <row r="300" spans="1:5">
      <c r="A300" s="170" t="s">
        <v>93</v>
      </c>
      <c r="D300" s="170">
        <v>1.2959999999999999E-2</v>
      </c>
      <c r="E300" s="170">
        <v>53</v>
      </c>
    </row>
    <row r="301" spans="1:5">
      <c r="A301" s="170" t="s">
        <v>67</v>
      </c>
      <c r="D301" s="170">
        <v>1.2999999999999999E-2</v>
      </c>
      <c r="E301" s="170">
        <v>58</v>
      </c>
    </row>
    <row r="302" spans="1:5">
      <c r="A302" s="170" t="s">
        <v>91</v>
      </c>
      <c r="D302" s="170">
        <v>1.2930000000000001E-2</v>
      </c>
      <c r="E302" s="170">
        <v>60</v>
      </c>
    </row>
    <row r="303" spans="1:5">
      <c r="A303" s="170" t="s">
        <v>90</v>
      </c>
      <c r="D303" s="170">
        <v>1.157E-2</v>
      </c>
      <c r="E303" s="170">
        <v>52</v>
      </c>
    </row>
    <row r="304" spans="1:5">
      <c r="A304" s="170" t="s">
        <v>89</v>
      </c>
      <c r="D304" s="170">
        <v>9.4400000000000005E-3</v>
      </c>
      <c r="E304" s="170">
        <v>79</v>
      </c>
    </row>
    <row r="305" spans="1:5">
      <c r="A305" s="170" t="s">
        <v>298</v>
      </c>
      <c r="D305" s="170">
        <v>9.6249999999999999E-3</v>
      </c>
      <c r="E305" s="170">
        <v>75</v>
      </c>
    </row>
    <row r="306" spans="1:5">
      <c r="A306" s="170" t="s">
        <v>85</v>
      </c>
      <c r="D306" s="170">
        <v>1.26E-2</v>
      </c>
      <c r="E306" s="170">
        <v>57</v>
      </c>
    </row>
    <row r="307" spans="1:5">
      <c r="A307" s="170" t="s">
        <v>84</v>
      </c>
      <c r="D307" s="170">
        <v>1.754E-2</v>
      </c>
      <c r="E307" s="170">
        <v>55</v>
      </c>
    </row>
    <row r="308" spans="1:5">
      <c r="A308" s="170" t="s">
        <v>82</v>
      </c>
      <c r="D308" s="170">
        <v>9.7300000000000008E-3</v>
      </c>
      <c r="E308" s="170">
        <v>56</v>
      </c>
    </row>
    <row r="309" spans="1:5">
      <c r="A309" s="170" t="s">
        <v>81</v>
      </c>
      <c r="D309" s="170">
        <v>1.065E-2</v>
      </c>
      <c r="E309" s="170">
        <v>60</v>
      </c>
    </row>
    <row r="310" spans="1:5">
      <c r="A310" s="170" t="s">
        <v>80</v>
      </c>
      <c r="D310" s="170">
        <v>2.23E-2</v>
      </c>
      <c r="E310" s="170">
        <v>61</v>
      </c>
    </row>
    <row r="311" spans="1:5">
      <c r="A311" s="170" t="s">
        <v>78</v>
      </c>
      <c r="D311" s="170">
        <v>2.6929999999999999E-2</v>
      </c>
      <c r="E311" s="170">
        <v>44</v>
      </c>
    </row>
    <row r="312" spans="1:5">
      <c r="A312" s="170" t="s">
        <v>77</v>
      </c>
      <c r="D312" s="170">
        <v>1.405E-2</v>
      </c>
      <c r="E312" s="170">
        <v>53</v>
      </c>
    </row>
    <row r="313" spans="1:5">
      <c r="A313" s="170" t="s">
        <v>76</v>
      </c>
      <c r="D313" s="170">
        <v>2.5999999999999999E-2</v>
      </c>
      <c r="E313" s="170">
        <v>57</v>
      </c>
    </row>
    <row r="314" spans="1:5">
      <c r="A314" s="170" t="s">
        <v>75</v>
      </c>
      <c r="D314" s="170">
        <v>2.12E-2</v>
      </c>
      <c r="E314" s="170">
        <v>55</v>
      </c>
    </row>
    <row r="315" spans="1:5">
      <c r="A315" s="170" t="s">
        <v>74</v>
      </c>
      <c r="E315" s="170">
        <v>55</v>
      </c>
    </row>
    <row r="316" spans="1:5">
      <c r="A316" s="170" t="s">
        <v>73</v>
      </c>
      <c r="D316" s="170">
        <v>1.035E-2</v>
      </c>
      <c r="E316" s="170">
        <v>71</v>
      </c>
    </row>
    <row r="317" spans="1:5">
      <c r="A317" s="170" t="s">
        <v>72</v>
      </c>
      <c r="D317" s="170">
        <v>1.3650000000000001E-2</v>
      </c>
      <c r="E317" s="170">
        <v>70</v>
      </c>
    </row>
  </sheetData>
  <mergeCells count="17">
    <mergeCell ref="A1:B1"/>
    <mergeCell ref="A2:B2"/>
    <mergeCell ref="A3:B3"/>
    <mergeCell ref="A4:B4"/>
    <mergeCell ref="A5:B5"/>
    <mergeCell ref="AA7:AD8"/>
    <mergeCell ref="C9:F10"/>
    <mergeCell ref="K9:N10"/>
    <mergeCell ref="S9:V10"/>
    <mergeCell ref="AA9:AD10"/>
    <mergeCell ref="C7:F8"/>
    <mergeCell ref="K212:M212"/>
    <mergeCell ref="O212:Q212"/>
    <mergeCell ref="S212:U212"/>
    <mergeCell ref="W212:Y212"/>
    <mergeCell ref="K7:N8"/>
    <mergeCell ref="S7:V8"/>
  </mergeCells>
  <conditionalFormatting sqref="H12">
    <cfRule type="expression" dxfId="10" priority="11" stopIfTrue="1">
      <formula>"IF(d16&lt;&gt;0)"</formula>
    </cfRule>
  </conditionalFormatting>
  <conditionalFormatting sqref="H13 X13:X208">
    <cfRule type="expression" dxfId="9" priority="10" stopIfTrue="1">
      <formula>AND(SUM(#REF!)=0,#REF!&lt;&gt;0)</formula>
    </cfRule>
  </conditionalFormatting>
  <conditionalFormatting sqref="P13">
    <cfRule type="expression" dxfId="8" priority="9" stopIfTrue="1">
      <formula>AND(SUM(#REF!)=0,#REF!&lt;&gt;0)</formula>
    </cfRule>
  </conditionalFormatting>
  <conditionalFormatting sqref="H14:H208">
    <cfRule type="expression" dxfId="7" priority="8" stopIfTrue="1">
      <formula>AND(SUM(#REF!)=0,#REF!&lt;&gt;0)</formula>
    </cfRule>
  </conditionalFormatting>
  <conditionalFormatting sqref="P14:P208">
    <cfRule type="expression" dxfId="6" priority="7" stopIfTrue="1">
      <formula>AND(SUM(#REF!)=0,#REF!&lt;&gt;0)</formula>
    </cfRule>
  </conditionalFormatting>
  <conditionalFormatting sqref="AF13">
    <cfRule type="expression" dxfId="5" priority="6" stopIfTrue="1">
      <formula>AND(SUM(#REF!)=0,#REF!&lt;&gt;0)</formula>
    </cfRule>
  </conditionalFormatting>
  <conditionalFormatting sqref="AF14:AF208">
    <cfRule type="expression" dxfId="4" priority="5" stopIfTrue="1">
      <formula>AND(SUM(#REF!)=0,#REF!&lt;&gt;0)</formula>
    </cfRule>
  </conditionalFormatting>
  <conditionalFormatting sqref="X209:X211">
    <cfRule type="expression" dxfId="3" priority="4" stopIfTrue="1">
      <formula>AND(SUM(#REF!)=0,#REF!&lt;&gt;0)</formula>
    </cfRule>
  </conditionalFormatting>
  <conditionalFormatting sqref="H209:H211">
    <cfRule type="expression" dxfId="2" priority="3" stopIfTrue="1">
      <formula>AND(SUM(#REF!)=0,#REF!&lt;&gt;0)</formula>
    </cfRule>
  </conditionalFormatting>
  <conditionalFormatting sqref="P209:P211">
    <cfRule type="expression" dxfId="1" priority="2" stopIfTrue="1">
      <formula>AND(SUM(#REF!)=0,#REF!&lt;&gt;0)</formula>
    </cfRule>
  </conditionalFormatting>
  <conditionalFormatting sqref="AF209:AF211">
    <cfRule type="expression" dxfId="0" priority="1" stopIfTrue="1">
      <formula>AND(SUM(#REF!)=0,#REF!&lt;&gt;0)</formula>
    </cfRule>
  </conditionalFormatting>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11</vt:i4>
      </vt:variant>
      <vt:variant>
        <vt:lpstr>Plages nommées</vt:lpstr>
      </vt:variant>
      <vt:variant>
        <vt:i4>9</vt:i4>
      </vt:variant>
    </vt:vector>
  </HeadingPairs>
  <TitlesOfParts>
    <vt:vector size="20" baseType="lpstr">
      <vt:lpstr>INFO</vt:lpstr>
      <vt:lpstr>calcul pneu pour calculateur</vt:lpstr>
      <vt:lpstr>Creative Commons</vt:lpstr>
      <vt:lpstr>Module</vt:lpstr>
      <vt:lpstr>Help Me</vt:lpstr>
      <vt:lpstr>Ingénierie pneu</vt:lpstr>
      <vt:lpstr>Calcul ws</vt:lpstr>
      <vt:lpstr>SETUP</vt:lpstr>
      <vt:lpstr>DB_COMP</vt:lpstr>
      <vt:lpstr>USURES_PIECES</vt:lpstr>
      <vt:lpstr>CALCULETTE CHRONOS</vt:lpstr>
      <vt:lpstr>a</vt:lpstr>
      <vt:lpstr>b</vt:lpstr>
      <vt:lpstr>g</vt:lpstr>
      <vt:lpstr>HELP</vt:lpstr>
      <vt:lpstr>mx</vt:lpstr>
      <vt:lpstr>my</vt:lpstr>
      <vt:lpstr>u</vt:lpstr>
      <vt:lpstr>v</vt:lpstr>
      <vt:lpstr>w</vt:lpstr>
    </vt:vector>
  </TitlesOfParts>
  <Manager>Jean-Luc Astié</Manager>
  <Company>Aucune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Version 2 Révision 1u</dc:title>
  <dc:creator>Jean-Luc Astié;Auteur Inconnu</dc:creator>
  <cp:keywords>Creative Commons</cp:keywords>
  <dc:description>CC by NC-SA 4.0 DEED</dc:description>
  <cp:lastModifiedBy>Jean-Luc Astié</cp:lastModifiedBy>
  <cp:lastPrinted>2022-01-08T10:03:34Z</cp:lastPrinted>
  <dcterms:created xsi:type="dcterms:W3CDTF">2016-01-31T21:43:09Z</dcterms:created>
  <dcterms:modified xsi:type="dcterms:W3CDTF">2024-01-09T14:46:48Z</dcterms:modified>
  <cp:category>Sous Licence CC</cp:category>
  <cp:contentStatus>Version 2 Révision 1u</cp:contentStatus>
</cp:coreProperties>
</file>