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 Family\Desktop\Statistical Foundations for Data Science\Unit 10\"/>
    </mc:Choice>
  </mc:AlternateContent>
  <xr:revisionPtr revIDLastSave="0" documentId="13_ncr:1_{A8300935-79A6-45DC-87A2-1A13FAF1C202}" xr6:coauthVersionLast="28" xr6:coauthVersionMax="28" xr10:uidLastSave="{00000000-0000-0000-0000-000000000000}"/>
  <bookViews>
    <workbookView xWindow="0" yWindow="0" windowWidth="28800" windowHeight="12480" xr2:uid="{00000000-000D-0000-FFFF-FFFF00000000}"/>
  </bookViews>
  <sheets>
    <sheet name="Male Display Data Set" sheetId="1" r:id="rId1"/>
  </sheets>
  <calcPr calcId="171027"/>
</workbook>
</file>

<file path=xl/calcChain.xml><?xml version="1.0" encoding="utf-8"?>
<calcChain xmlns="http://schemas.openxmlformats.org/spreadsheetml/2006/main">
  <c r="F101" i="1" l="1"/>
  <c r="E101" i="1"/>
  <c r="D101" i="1"/>
  <c r="C101" i="1"/>
  <c r="B25" i="1"/>
  <c r="A55" i="1" l="1"/>
  <c r="C29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2" i="1"/>
  <c r="E17" i="1"/>
  <c r="E16" i="1"/>
  <c r="E15" i="1"/>
  <c r="E14" i="1"/>
  <c r="E9" i="1"/>
  <c r="E8" i="1"/>
  <c r="E7" i="1"/>
  <c r="E6" i="1"/>
  <c r="D22" i="1"/>
  <c r="D21" i="1"/>
  <c r="E21" i="1" s="1"/>
  <c r="D20" i="1"/>
  <c r="E20" i="1" s="1"/>
  <c r="D19" i="1"/>
  <c r="E19" i="1" s="1"/>
  <c r="D18" i="1"/>
  <c r="E18" i="1" s="1"/>
  <c r="D17" i="1"/>
  <c r="D16" i="1"/>
  <c r="D15" i="1"/>
  <c r="D14" i="1"/>
  <c r="D13" i="1"/>
  <c r="E13" i="1" s="1"/>
  <c r="D12" i="1"/>
  <c r="E12" i="1" s="1"/>
  <c r="D11" i="1"/>
  <c r="E11" i="1" s="1"/>
  <c r="D10" i="1"/>
  <c r="E10" i="1" s="1"/>
  <c r="D9" i="1"/>
  <c r="D8" i="1"/>
  <c r="D7" i="1"/>
  <c r="D6" i="1"/>
  <c r="D5" i="1"/>
  <c r="E5" i="1" s="1"/>
  <c r="D4" i="1"/>
  <c r="E4" i="1" s="1"/>
  <c r="D3" i="1"/>
  <c r="E3" i="1" s="1"/>
  <c r="D2" i="1"/>
  <c r="E2" i="1" s="1"/>
  <c r="E23" i="1" s="1"/>
  <c r="F25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5" i="1"/>
  <c r="Z3" i="1"/>
  <c r="Z2" i="1"/>
  <c r="F26" i="1" l="1"/>
  <c r="F23" i="1"/>
  <c r="B72" i="1" l="1"/>
  <c r="C48" i="1"/>
  <c r="D48" i="1" s="1"/>
  <c r="E48" i="1" s="1"/>
  <c r="C40" i="1"/>
  <c r="D40" i="1" s="1"/>
  <c r="E40" i="1" s="1"/>
  <c r="C32" i="1"/>
  <c r="D32" i="1" s="1"/>
  <c r="B61" i="1"/>
  <c r="B73" i="1"/>
  <c r="C47" i="1"/>
  <c r="D47" i="1" s="1"/>
  <c r="E47" i="1" s="1"/>
  <c r="C39" i="1"/>
  <c r="D39" i="1" s="1"/>
  <c r="E39" i="1" s="1"/>
  <c r="B62" i="1"/>
  <c r="B74" i="1"/>
  <c r="C46" i="1"/>
  <c r="D46" i="1" s="1"/>
  <c r="E46" i="1" s="1"/>
  <c r="C38" i="1"/>
  <c r="D38" i="1" s="1"/>
  <c r="E38" i="1" s="1"/>
  <c r="B63" i="1"/>
  <c r="B96" i="1"/>
  <c r="B64" i="1"/>
  <c r="B76" i="1"/>
  <c r="C52" i="1"/>
  <c r="D52" i="1" s="1"/>
  <c r="E52" i="1" s="1"/>
  <c r="C44" i="1"/>
  <c r="D44" i="1" s="1"/>
  <c r="E44" i="1" s="1"/>
  <c r="C36" i="1"/>
  <c r="D36" i="1" s="1"/>
  <c r="E36" i="1" s="1"/>
  <c r="B65" i="1"/>
  <c r="B77" i="1"/>
  <c r="C51" i="1"/>
  <c r="D51" i="1" s="1"/>
  <c r="E51" i="1" s="1"/>
  <c r="C43" i="1"/>
  <c r="D43" i="1" s="1"/>
  <c r="E43" i="1" s="1"/>
  <c r="C35" i="1"/>
  <c r="D35" i="1" s="1"/>
  <c r="E35" i="1" s="1"/>
  <c r="B66" i="1"/>
  <c r="B78" i="1"/>
  <c r="C50" i="1"/>
  <c r="D50" i="1" s="1"/>
  <c r="E50" i="1" s="1"/>
  <c r="C42" i="1"/>
  <c r="D42" i="1" s="1"/>
  <c r="E42" i="1" s="1"/>
  <c r="C34" i="1"/>
  <c r="D34" i="1" s="1"/>
  <c r="E34" i="1" s="1"/>
  <c r="B67" i="1"/>
  <c r="C49" i="1"/>
  <c r="D49" i="1" s="1"/>
  <c r="E49" i="1" s="1"/>
  <c r="C41" i="1"/>
  <c r="D41" i="1" s="1"/>
  <c r="E41" i="1" s="1"/>
  <c r="C33" i="1"/>
  <c r="D33" i="1" s="1"/>
  <c r="E33" i="1" s="1"/>
  <c r="B75" i="1"/>
  <c r="C45" i="1"/>
  <c r="D45" i="1" s="1"/>
  <c r="E45" i="1" s="1"/>
  <c r="C37" i="1"/>
  <c r="D37" i="1" s="1"/>
  <c r="E37" i="1" s="1"/>
  <c r="D53" i="1" l="1"/>
  <c r="E32" i="1"/>
  <c r="E53" i="1" s="1"/>
  <c r="F32" i="1" s="1"/>
  <c r="G32" i="1" l="1"/>
  <c r="C66" i="1"/>
  <c r="C78" i="1"/>
  <c r="C65" i="1"/>
  <c r="C96" i="1"/>
  <c r="D96" i="1" s="1"/>
  <c r="C77" i="1"/>
  <c r="C64" i="1"/>
  <c r="C75" i="1"/>
  <c r="C62" i="1"/>
  <c r="C74" i="1"/>
  <c r="C61" i="1"/>
  <c r="C73" i="1"/>
  <c r="C72" i="1"/>
  <c r="C67" i="1"/>
  <c r="C76" i="1"/>
  <c r="C63" i="1"/>
  <c r="D75" i="1" l="1"/>
  <c r="E75" i="1"/>
  <c r="E96" i="1"/>
  <c r="F96" i="1"/>
  <c r="E65" i="1"/>
  <c r="D65" i="1"/>
  <c r="D77" i="1"/>
  <c r="E77" i="1"/>
  <c r="D76" i="1"/>
  <c r="E76" i="1"/>
  <c r="E67" i="1"/>
  <c r="D67" i="1"/>
  <c r="E73" i="1"/>
  <c r="D73" i="1"/>
  <c r="D78" i="1"/>
  <c r="E78" i="1"/>
  <c r="E66" i="1"/>
  <c r="D66" i="1"/>
  <c r="D63" i="1"/>
  <c r="E63" i="1"/>
  <c r="E64" i="1"/>
  <c r="D64" i="1"/>
  <c r="D72" i="1"/>
  <c r="E72" i="1"/>
  <c r="D61" i="1"/>
  <c r="E61" i="1"/>
  <c r="D74" i="1"/>
  <c r="E74" i="1"/>
  <c r="D62" i="1"/>
  <c r="E62" i="1"/>
  <c r="I32" i="1"/>
  <c r="K32" i="1" s="1"/>
  <c r="M32" i="1" s="1"/>
  <c r="J32" i="1"/>
  <c r="L32" i="1" s="1"/>
  <c r="N32" i="1" s="1"/>
</calcChain>
</file>

<file path=xl/sharedStrings.xml><?xml version="1.0" encoding="utf-8"?>
<sst xmlns="http://schemas.openxmlformats.org/spreadsheetml/2006/main" count="53" uniqueCount="39">
  <si>
    <t>Tcell</t>
  </si>
  <si>
    <t>B0 = Intercept</t>
  </si>
  <si>
    <t>B1 = Slope</t>
  </si>
  <si>
    <t>Mass (x)</t>
  </si>
  <si>
    <t>Tcell (y)</t>
  </si>
  <si>
    <t>(yi-ybar)</t>
  </si>
  <si>
    <t>(xi-xbar)</t>
  </si>
  <si>
    <t>(xi-xbar)*(yi-ybar)</t>
  </si>
  <si>
    <t>(xi-xbar)^2</t>
  </si>
  <si>
    <t>xbar</t>
  </si>
  <si>
    <t>ybar</t>
  </si>
  <si>
    <t>B1=</t>
  </si>
  <si>
    <t>b0=</t>
  </si>
  <si>
    <t>Estimates</t>
  </si>
  <si>
    <t>Residuals</t>
  </si>
  <si>
    <t>Residuals^2</t>
  </si>
  <si>
    <t>DF</t>
  </si>
  <si>
    <t>sigma_hat</t>
  </si>
  <si>
    <t>se(b1hat)</t>
  </si>
  <si>
    <t>sx</t>
  </si>
  <si>
    <t>se(b0hat)</t>
  </si>
  <si>
    <t>RMSE</t>
  </si>
  <si>
    <t>tval(b1hat)</t>
  </si>
  <si>
    <t>tval(b0hat)</t>
  </si>
  <si>
    <t>pval(b1hat)</t>
  </si>
  <si>
    <t>pval(b0hat)</t>
  </si>
  <si>
    <t>SE Mean</t>
  </si>
  <si>
    <t>Lower</t>
  </si>
  <si>
    <t>Upper</t>
  </si>
  <si>
    <t>Confidence Intervals</t>
  </si>
  <si>
    <t>Prediction Intervals</t>
  </si>
  <si>
    <t>SE Predict</t>
  </si>
  <si>
    <t>Calibration Interval for a Mean Tcell</t>
  </si>
  <si>
    <t>Est Mass</t>
  </si>
  <si>
    <t>SSE EST Mass</t>
  </si>
  <si>
    <t>Calibration Interval for a Single Tcell</t>
  </si>
  <si>
    <t>SE PRED</t>
  </si>
  <si>
    <t>SE EST BUDGET</t>
  </si>
  <si>
    <t xml:space="preserve">Lower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</si>
</sst>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 applyBorder="1"/>
    <xf numFmtId="0" fontId="0" fillId="33" borderId="10" xfId="0" applyFill="1" applyBorder="1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Bird Data: CI and 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'Male Display Data Set'!$A$72:$A$78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'Male Display Data Set'!$B$61:$B$67</c:f>
              <c:numCache>
                <c:formatCode>General</c:formatCode>
                <c:ptCount val="7"/>
                <c:pt idx="0">
                  <c:v>0.18596145613479931</c:v>
                </c:pt>
                <c:pt idx="1">
                  <c:v>0.21878294691709871</c:v>
                </c:pt>
                <c:pt idx="2">
                  <c:v>0.25160443769939811</c:v>
                </c:pt>
                <c:pt idx="3">
                  <c:v>0.28442592848169757</c:v>
                </c:pt>
                <c:pt idx="4">
                  <c:v>0.31724741926399691</c:v>
                </c:pt>
                <c:pt idx="5">
                  <c:v>0.35006891004629637</c:v>
                </c:pt>
                <c:pt idx="6">
                  <c:v>0.38289040082859571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3-40E3-A017-7187330E2B8A}"/>
            </c:ext>
          </c:extLst>
        </c:ser>
        <c:ser>
          <c:idx val="1"/>
          <c:order val="1"/>
          <c:tx>
            <c:v>Confidence Interval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'Male Display Data Set'!$A$72:$A$78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'Male Display Data Set'!$E$61:$E$67</c:f>
              <c:numCache>
                <c:formatCode>General</c:formatCode>
                <c:ptCount val="7"/>
                <c:pt idx="0">
                  <c:v>0.21445951635002541</c:v>
                </c:pt>
                <c:pt idx="1">
                  <c:v>0.24144771147293362</c:v>
                </c:pt>
                <c:pt idx="2">
                  <c:v>0.26880362188273632</c:v>
                </c:pt>
                <c:pt idx="3">
                  <c:v>0.29701563017131422</c:v>
                </c:pt>
                <c:pt idx="4">
                  <c:v>0.32733491194329362</c:v>
                </c:pt>
                <c:pt idx="5">
                  <c:v>0.36127527860780528</c:v>
                </c:pt>
                <c:pt idx="6">
                  <c:v>0.39805536545031739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3-40E3-A017-7187330E2B8A}"/>
            </c:ext>
          </c:extLst>
        </c:ser>
        <c:ser>
          <c:idx val="2"/>
          <c:order val="2"/>
          <c:tx>
            <c:v>Confidence 99 Percent Lower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'Male Display Data Set'!$A$72:$A$78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'Male Display Data Set'!$D$61:$D$67</c:f>
              <c:numCache>
                <c:formatCode>General</c:formatCode>
                <c:ptCount val="7"/>
                <c:pt idx="0">
                  <c:v>0.1574633959195732</c:v>
                </c:pt>
                <c:pt idx="1">
                  <c:v>0.1961181823612638</c:v>
                </c:pt>
                <c:pt idx="2">
                  <c:v>0.2344052535160599</c:v>
                </c:pt>
                <c:pt idx="3">
                  <c:v>0.27183622679208091</c:v>
                </c:pt>
                <c:pt idx="4">
                  <c:v>0.3071599265847002</c:v>
                </c:pt>
                <c:pt idx="5">
                  <c:v>0.33886254148478745</c:v>
                </c:pt>
                <c:pt idx="6">
                  <c:v>0.36772543620687403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F3-40E3-A017-7187330E2B8A}"/>
            </c:ext>
          </c:extLst>
        </c:ser>
        <c:ser>
          <c:idx val="3"/>
          <c:order val="3"/>
          <c:tx>
            <c:v>Prediction Interval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'Male Display Data Set'!$A$72:$A$78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'Male Display Data Set'!$E$72:$E$78</c:f>
              <c:numCache>
                <c:formatCode>General</c:formatCode>
                <c:ptCount val="7"/>
                <c:pt idx="0">
                  <c:v>0.22485456412861318</c:v>
                </c:pt>
                <c:pt idx="1">
                  <c:v>0.25362869222063966</c:v>
                </c:pt>
                <c:pt idx="2">
                  <c:v>0.28316939215778769</c:v>
                </c:pt>
                <c:pt idx="3">
                  <c:v>0.31373522738189907</c:v>
                </c:pt>
                <c:pt idx="4">
                  <c:v>0.34557217737316143</c:v>
                </c:pt>
                <c:pt idx="5">
                  <c:v>0.37881116308470991</c:v>
                </c:pt>
                <c:pt idx="6">
                  <c:v>0.41339467209289388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3-40E3-A017-7187330E2B8A}"/>
            </c:ext>
          </c:extLst>
        </c:ser>
        <c:ser>
          <c:idx val="4"/>
          <c:order val="4"/>
          <c:tx>
            <c:v>Prediction Lower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'Male Display Data Set'!$A$72:$A$78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'Male Display Data Set'!$D$72:$D$78</c:f>
              <c:numCache>
                <c:formatCode>General</c:formatCode>
                <c:ptCount val="7"/>
                <c:pt idx="0">
                  <c:v>0.14706834814098543</c:v>
                </c:pt>
                <c:pt idx="1">
                  <c:v>0.18393720161355775</c:v>
                </c:pt>
                <c:pt idx="2">
                  <c:v>0.22003948324100853</c:v>
                </c:pt>
                <c:pt idx="3">
                  <c:v>0.25511662958149606</c:v>
                </c:pt>
                <c:pt idx="4">
                  <c:v>0.28892266115483239</c:v>
                </c:pt>
                <c:pt idx="5">
                  <c:v>0.32132665700788282</c:v>
                </c:pt>
                <c:pt idx="6">
                  <c:v>0.35238612956429755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F3-40E3-A017-7187330E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79984"/>
        <c:axId val="616730432"/>
      </c:lineChart>
      <c:catAx>
        <c:axId val="62427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30432"/>
        <c:crosses val="autoZero"/>
        <c:auto val="1"/>
        <c:lblAlgn val="ctr"/>
        <c:lblOffset val="100"/>
        <c:noMultiLvlLbl val="0"/>
      </c:catAx>
      <c:valAx>
        <c:axId val="616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628649</xdr:colOff>
      <xdr:row>65</xdr:row>
      <xdr:rowOff>19050</xdr:rowOff>
    </xdr:from>
    <xdr:to>
      <xdr:col>18</xdr:col>
      <xdr:colOff>104774</xdr:colOff>
      <xdr:row>90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27F69-F54F-4CE5-8EC5-AA10A24D4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"/>
  <sheetViews>
    <sheetView tabSelected="1" topLeftCell="A72" workbookViewId="0">
      <selection activeCell="A85" sqref="A85"/>
    </sheetView>
  </sheetViews>
  <sheetFormatPr defaultRowHeight="15" x14ac:dyDescent="0.25"/>
  <cols>
    <col min="3" max="4" width="12.7109375" bestFit="1" customWidth="1"/>
    <col min="5" max="5" width="17.42578125" bestFit="1" customWidth="1"/>
    <col min="6" max="6" width="13.28515625" bestFit="1" customWidth="1"/>
    <col min="7" max="7" width="12" bestFit="1" customWidth="1"/>
    <col min="11" max="12" width="10.7109375" bestFit="1" customWidth="1"/>
    <col min="13" max="14" width="12" bestFit="1" customWidth="1"/>
  </cols>
  <sheetData>
    <row r="1" spans="1:26" x14ac:dyDescent="0.25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8</v>
      </c>
    </row>
    <row r="2" spans="1:26" x14ac:dyDescent="0.25">
      <c r="A2">
        <v>3.33</v>
      </c>
      <c r="B2">
        <v>0.252</v>
      </c>
      <c r="C2">
        <f>A2-A$25</f>
        <v>-3.8742857142857137</v>
      </c>
      <c r="D2">
        <f>B2-B$25</f>
        <v>-7.1952380952380934E-2</v>
      </c>
      <c r="E2">
        <f>C2*D2</f>
        <v>0.27876408163265293</v>
      </c>
      <c r="F2">
        <f>C2^2</f>
        <v>15.010089795918363</v>
      </c>
      <c r="Y2" t="s">
        <v>1</v>
      </c>
      <c r="Z2">
        <f>INTERCEPT(B2:B22,A2:A22)</f>
        <v>8.7496983787901078E-2</v>
      </c>
    </row>
    <row r="3" spans="1:26" x14ac:dyDescent="0.25">
      <c r="A3">
        <v>4.62</v>
      </c>
      <c r="B3">
        <v>0.26300000000000001</v>
      </c>
      <c r="C3">
        <f t="shared" ref="C3:C22" si="0">A3-A$25</f>
        <v>-2.5842857142857136</v>
      </c>
      <c r="D3">
        <f t="shared" ref="D3:D22" si="1">B3-B$25</f>
        <v>-6.0952380952380925E-2</v>
      </c>
      <c r="E3">
        <f t="shared" ref="E3:E22" si="2">C3*D3</f>
        <v>0.15751836734693866</v>
      </c>
      <c r="F3">
        <f t="shared" ref="F3:F22" si="3">C3^2</f>
        <v>6.6785326530612208</v>
      </c>
      <c r="Y3" t="s">
        <v>2</v>
      </c>
      <c r="Z3">
        <f>SLOPE(B2:B22,A2:A22)</f>
        <v>3.2821490782299408E-2</v>
      </c>
    </row>
    <row r="4" spans="1:26" x14ac:dyDescent="0.25">
      <c r="A4">
        <v>5.43</v>
      </c>
      <c r="B4">
        <v>0.251</v>
      </c>
      <c r="C4">
        <f t="shared" si="0"/>
        <v>-1.774285714285714</v>
      </c>
      <c r="D4">
        <f t="shared" si="1"/>
        <v>-7.2952380952380935E-2</v>
      </c>
      <c r="E4">
        <f t="shared" si="2"/>
        <v>0.12943836734693873</v>
      </c>
      <c r="F4">
        <f t="shared" si="3"/>
        <v>3.1480897959183665</v>
      </c>
    </row>
    <row r="5" spans="1:26" x14ac:dyDescent="0.25">
      <c r="A5">
        <v>5.73</v>
      </c>
      <c r="B5">
        <v>0.251</v>
      </c>
      <c r="C5">
        <f t="shared" si="0"/>
        <v>-1.4742857142857133</v>
      </c>
      <c r="D5">
        <f t="shared" si="1"/>
        <v>-7.2952380952380935E-2</v>
      </c>
      <c r="E5">
        <f t="shared" si="2"/>
        <v>0.1075526530612244</v>
      </c>
      <c r="F5">
        <f t="shared" si="3"/>
        <v>2.173518367346936</v>
      </c>
    </row>
    <row r="6" spans="1:26" x14ac:dyDescent="0.25">
      <c r="A6">
        <v>6.12</v>
      </c>
      <c r="B6">
        <v>0.183</v>
      </c>
      <c r="C6">
        <f t="shared" si="0"/>
        <v>-1.0842857142857136</v>
      </c>
      <c r="D6">
        <f t="shared" si="1"/>
        <v>-0.14095238095238094</v>
      </c>
      <c r="E6">
        <f t="shared" si="2"/>
        <v>0.15283265306122437</v>
      </c>
      <c r="F6">
        <f t="shared" si="3"/>
        <v>1.1756755102040801</v>
      </c>
    </row>
    <row r="7" spans="1:26" x14ac:dyDescent="0.25">
      <c r="A7">
        <v>6.29</v>
      </c>
      <c r="B7">
        <v>0.21299999999999999</v>
      </c>
      <c r="C7">
        <f t="shared" si="0"/>
        <v>-0.9142857142857137</v>
      </c>
      <c r="D7">
        <f t="shared" si="1"/>
        <v>-0.11095238095238094</v>
      </c>
      <c r="E7">
        <f t="shared" si="2"/>
        <v>0.10144217687074822</v>
      </c>
      <c r="F7">
        <f t="shared" si="3"/>
        <v>0.8359183673469377</v>
      </c>
    </row>
    <row r="8" spans="1:26" x14ac:dyDescent="0.25">
      <c r="A8">
        <v>6.45</v>
      </c>
      <c r="B8">
        <v>0.33200000000000002</v>
      </c>
      <c r="C8">
        <f t="shared" si="0"/>
        <v>-0.75428571428571356</v>
      </c>
      <c r="D8">
        <f t="shared" si="1"/>
        <v>8.0476190476190812E-3</v>
      </c>
      <c r="E8">
        <f t="shared" si="2"/>
        <v>-6.0702040816326729E-3</v>
      </c>
      <c r="F8">
        <f t="shared" si="3"/>
        <v>0.56894693877550906</v>
      </c>
    </row>
    <row r="9" spans="1:26" x14ac:dyDescent="0.25">
      <c r="A9">
        <v>6.51</v>
      </c>
      <c r="B9">
        <v>0.20300000000000001</v>
      </c>
      <c r="C9">
        <f t="shared" si="0"/>
        <v>-0.69428571428571395</v>
      </c>
      <c r="D9">
        <f t="shared" si="1"/>
        <v>-0.12095238095238092</v>
      </c>
      <c r="E9">
        <f t="shared" si="2"/>
        <v>8.3975510204081574E-2</v>
      </c>
      <c r="F9">
        <f t="shared" si="3"/>
        <v>0.482032653061224</v>
      </c>
    </row>
    <row r="10" spans="1:26" x14ac:dyDescent="0.25">
      <c r="A10">
        <v>6.65</v>
      </c>
      <c r="B10">
        <v>0.252</v>
      </c>
      <c r="C10">
        <f t="shared" si="0"/>
        <v>-0.55428571428571338</v>
      </c>
      <c r="D10">
        <f t="shared" si="1"/>
        <v>-7.1952380952380934E-2</v>
      </c>
      <c r="E10">
        <f t="shared" si="2"/>
        <v>3.9882176870748222E-2</v>
      </c>
      <c r="F10">
        <f t="shared" si="3"/>
        <v>0.30723265306122349</v>
      </c>
    </row>
    <row r="11" spans="1:26" x14ac:dyDescent="0.25">
      <c r="A11">
        <v>6.75</v>
      </c>
      <c r="B11">
        <v>0.34200000000000003</v>
      </c>
      <c r="C11">
        <f t="shared" si="0"/>
        <v>-0.45428571428571374</v>
      </c>
      <c r="D11">
        <f t="shared" si="1"/>
        <v>1.804761904761909E-2</v>
      </c>
      <c r="E11">
        <f t="shared" si="2"/>
        <v>-8.1987755102040909E-3</v>
      </c>
      <c r="F11">
        <f t="shared" si="3"/>
        <v>0.20637551020408113</v>
      </c>
    </row>
    <row r="12" spans="1:26" x14ac:dyDescent="0.25">
      <c r="A12">
        <v>6.81</v>
      </c>
      <c r="B12">
        <v>0.47099999999999997</v>
      </c>
      <c r="C12">
        <f t="shared" si="0"/>
        <v>-0.39428571428571413</v>
      </c>
      <c r="D12">
        <f t="shared" si="1"/>
        <v>0.14704761904761904</v>
      </c>
      <c r="E12">
        <f t="shared" si="2"/>
        <v>-5.7978775510204056E-2</v>
      </c>
      <c r="F12">
        <f t="shared" si="3"/>
        <v>0.1554612244897958</v>
      </c>
    </row>
    <row r="13" spans="1:26" x14ac:dyDescent="0.25">
      <c r="A13">
        <v>7.56</v>
      </c>
      <c r="B13">
        <v>0.43099999999999999</v>
      </c>
      <c r="C13">
        <f t="shared" si="0"/>
        <v>0.35571428571428587</v>
      </c>
      <c r="D13">
        <f t="shared" si="1"/>
        <v>0.10704761904761906</v>
      </c>
      <c r="E13">
        <f t="shared" si="2"/>
        <v>3.8078367346938799E-2</v>
      </c>
      <c r="F13">
        <f t="shared" si="3"/>
        <v>0.1265326530612246</v>
      </c>
    </row>
    <row r="14" spans="1:26" x14ac:dyDescent="0.25">
      <c r="A14">
        <v>7.83</v>
      </c>
      <c r="B14">
        <v>0.312</v>
      </c>
      <c r="C14">
        <f t="shared" si="0"/>
        <v>0.62571428571428633</v>
      </c>
      <c r="D14">
        <f t="shared" si="1"/>
        <v>-1.1952380952380937E-2</v>
      </c>
      <c r="E14">
        <f t="shared" si="2"/>
        <v>-7.4787755102040795E-3</v>
      </c>
      <c r="F14">
        <f t="shared" si="3"/>
        <v>0.39151836734693957</v>
      </c>
    </row>
    <row r="15" spans="1:26" x14ac:dyDescent="0.25">
      <c r="A15">
        <v>8.02</v>
      </c>
      <c r="B15">
        <v>0.30399999999999999</v>
      </c>
      <c r="C15">
        <f t="shared" si="0"/>
        <v>0.81571428571428584</v>
      </c>
      <c r="D15">
        <f t="shared" si="1"/>
        <v>-1.9952380952380944E-2</v>
      </c>
      <c r="E15">
        <f t="shared" si="2"/>
        <v>-1.6275442176870745E-2</v>
      </c>
      <c r="F15">
        <f t="shared" si="3"/>
        <v>0.66538979591836755</v>
      </c>
    </row>
    <row r="16" spans="1:26" x14ac:dyDescent="0.25">
      <c r="A16">
        <v>8.06</v>
      </c>
      <c r="B16">
        <v>0.37</v>
      </c>
      <c r="C16">
        <f t="shared" si="0"/>
        <v>0.85571428571428676</v>
      </c>
      <c r="D16">
        <f t="shared" si="1"/>
        <v>4.6047619047619059E-2</v>
      </c>
      <c r="E16">
        <f t="shared" si="2"/>
        <v>3.9403605442176928E-2</v>
      </c>
      <c r="F16">
        <f t="shared" si="3"/>
        <v>0.73224693877551195</v>
      </c>
    </row>
    <row r="17" spans="1:14" x14ac:dyDescent="0.25">
      <c r="A17">
        <v>8.18</v>
      </c>
      <c r="B17">
        <v>0.38100000000000001</v>
      </c>
      <c r="C17">
        <f t="shared" si="0"/>
        <v>0.97571428571428598</v>
      </c>
      <c r="D17">
        <f t="shared" si="1"/>
        <v>5.7047619047619069E-2</v>
      </c>
      <c r="E17">
        <f t="shared" si="2"/>
        <v>5.5662176870748335E-2</v>
      </c>
      <c r="F17">
        <f t="shared" si="3"/>
        <v>0.95201836734693934</v>
      </c>
    </row>
    <row r="18" spans="1:14" x14ac:dyDescent="0.25">
      <c r="A18">
        <v>9.08</v>
      </c>
      <c r="B18">
        <v>0.43</v>
      </c>
      <c r="C18">
        <f t="shared" si="0"/>
        <v>1.8757142857142863</v>
      </c>
      <c r="D18">
        <f t="shared" si="1"/>
        <v>0.10604761904761906</v>
      </c>
      <c r="E18">
        <f t="shared" si="2"/>
        <v>0.19891503401360552</v>
      </c>
      <c r="F18">
        <f t="shared" si="3"/>
        <v>3.5183040816326554</v>
      </c>
    </row>
    <row r="19" spans="1:14" x14ac:dyDescent="0.25">
      <c r="A19">
        <v>9.15</v>
      </c>
      <c r="B19">
        <v>0.43</v>
      </c>
      <c r="C19">
        <f t="shared" si="0"/>
        <v>1.9457142857142866</v>
      </c>
      <c r="D19">
        <f t="shared" si="1"/>
        <v>0.10604761904761906</v>
      </c>
      <c r="E19">
        <f t="shared" si="2"/>
        <v>0.20633836734693889</v>
      </c>
      <c r="F19">
        <f t="shared" si="3"/>
        <v>3.7858040816326564</v>
      </c>
    </row>
    <row r="20" spans="1:14" x14ac:dyDescent="0.25">
      <c r="A20">
        <v>9.35</v>
      </c>
      <c r="B20">
        <v>0.21299999999999999</v>
      </c>
      <c r="C20">
        <f t="shared" si="0"/>
        <v>2.1457142857142859</v>
      </c>
      <c r="D20">
        <f t="shared" si="1"/>
        <v>-0.11095238095238094</v>
      </c>
      <c r="E20">
        <f t="shared" si="2"/>
        <v>-0.23807210884353741</v>
      </c>
      <c r="F20">
        <f t="shared" si="3"/>
        <v>4.6040897959183678</v>
      </c>
    </row>
    <row r="21" spans="1:14" x14ac:dyDescent="0.25">
      <c r="A21">
        <v>9.42</v>
      </c>
      <c r="B21">
        <v>0.50800000000000001</v>
      </c>
      <c r="C21">
        <f t="shared" si="0"/>
        <v>2.2157142857142862</v>
      </c>
      <c r="D21">
        <f t="shared" si="1"/>
        <v>0.18404761904761907</v>
      </c>
      <c r="E21">
        <f t="shared" si="2"/>
        <v>0.40779693877551032</v>
      </c>
      <c r="F21">
        <f t="shared" si="3"/>
        <v>4.9093897959183694</v>
      </c>
    </row>
    <row r="22" spans="1:14" x14ac:dyDescent="0.25">
      <c r="A22">
        <v>9.9499999999999993</v>
      </c>
      <c r="B22">
        <v>0.41099999999999998</v>
      </c>
      <c r="C22">
        <f t="shared" si="0"/>
        <v>2.7457142857142856</v>
      </c>
      <c r="D22">
        <f t="shared" si="1"/>
        <v>8.704761904761904E-2</v>
      </c>
      <c r="E22">
        <f t="shared" si="2"/>
        <v>0.23900789115646254</v>
      </c>
      <c r="F22">
        <f t="shared" si="3"/>
        <v>7.538946938775509</v>
      </c>
    </row>
    <row r="23" spans="1:14" x14ac:dyDescent="0.25">
      <c r="E23">
        <f>SUM(E2:E22)</f>
        <v>1.9025342857142855</v>
      </c>
      <c r="F23">
        <f>SUM(F2:F22)</f>
        <v>57.966114285714283</v>
      </c>
    </row>
    <row r="24" spans="1:14" x14ac:dyDescent="0.25">
      <c r="A24" t="s">
        <v>9</v>
      </c>
      <c r="B24" t="s">
        <v>10</v>
      </c>
    </row>
    <row r="25" spans="1:14" x14ac:dyDescent="0.25">
      <c r="A25">
        <f>AVERAGE(A2:A22)</f>
        <v>7.2042857142857137</v>
      </c>
      <c r="B25">
        <f>AVERAGE(B2:B22)</f>
        <v>0.32395238095238094</v>
      </c>
      <c r="E25" s="1" t="s">
        <v>11</v>
      </c>
      <c r="F25" s="1">
        <f>E23/F23</f>
        <v>3.2821490782299408E-2</v>
      </c>
    </row>
    <row r="26" spans="1:14" x14ac:dyDescent="0.25">
      <c r="E26" s="2" t="s">
        <v>12</v>
      </c>
      <c r="F26" s="2">
        <f>B25-F25*A25</f>
        <v>8.7496983787901078E-2</v>
      </c>
    </row>
    <row r="29" spans="1:14" x14ac:dyDescent="0.25">
      <c r="B29" t="s">
        <v>16</v>
      </c>
      <c r="C29">
        <f>COUNTA(A32:A52)-2</f>
        <v>19</v>
      </c>
    </row>
    <row r="31" spans="1:14" x14ac:dyDescent="0.25">
      <c r="A31" s="3" t="s">
        <v>3</v>
      </c>
      <c r="B31" s="3" t="s">
        <v>4</v>
      </c>
      <c r="C31" s="3" t="s">
        <v>13</v>
      </c>
      <c r="D31" s="3" t="s">
        <v>14</v>
      </c>
      <c r="E31" s="3" t="s">
        <v>15</v>
      </c>
      <c r="F31" s="3" t="s">
        <v>21</v>
      </c>
      <c r="G31" s="3" t="s">
        <v>17</v>
      </c>
      <c r="I31" s="3" t="s">
        <v>18</v>
      </c>
      <c r="J31" s="3" t="s">
        <v>20</v>
      </c>
      <c r="K31" s="4" t="s">
        <v>22</v>
      </c>
      <c r="L31" s="4" t="s">
        <v>23</v>
      </c>
      <c r="M31" s="4" t="s">
        <v>24</v>
      </c>
      <c r="N31" s="4" t="s">
        <v>25</v>
      </c>
    </row>
    <row r="32" spans="1:14" x14ac:dyDescent="0.25">
      <c r="A32">
        <v>3.33</v>
      </c>
      <c r="B32">
        <v>0.252</v>
      </c>
      <c r="C32">
        <f>$F$26+$F$25*A32</f>
        <v>0.1967925480929581</v>
      </c>
      <c r="D32">
        <f>B32-C32</f>
        <v>5.5207451907041905E-2</v>
      </c>
      <c r="E32">
        <f>D32^2</f>
        <v>3.0478627460683448E-3</v>
      </c>
      <c r="F32">
        <f>E53/C29</f>
        <v>6.5641547820722308E-3</v>
      </c>
      <c r="G32">
        <f>SQRT(F32)</f>
        <v>8.1019471623013137E-2</v>
      </c>
      <c r="I32">
        <f>G32*SQRT((1/(20*A55^2)))</f>
        <v>1.0641486837428694E-2</v>
      </c>
      <c r="J32">
        <f>G32*SQRT((1/21)+(A25^2/((20*A55^2))))</f>
        <v>7.8676524278216073E-2</v>
      </c>
      <c r="K32" s="5">
        <f>F25/I32</f>
        <v>3.0842955767100375</v>
      </c>
      <c r="L32" s="5">
        <f>F26/J32</f>
        <v>1.1121104368883159</v>
      </c>
      <c r="M32" s="5">
        <f>TDIST(K32,19,2)</f>
        <v>6.1050220026970413E-3</v>
      </c>
      <c r="N32" s="5">
        <f>TDIST(L32,19,2)</f>
        <v>0.27996479732460927</v>
      </c>
    </row>
    <row r="33" spans="1:5" x14ac:dyDescent="0.25">
      <c r="A33">
        <v>4.62</v>
      </c>
      <c r="B33">
        <v>0.26300000000000001</v>
      </c>
      <c r="C33">
        <f t="shared" ref="C33:C52" si="4">$F$26+$F$25*A33</f>
        <v>0.23913227120212435</v>
      </c>
      <c r="D33">
        <f t="shared" ref="D33:D52" si="5">B33-C33</f>
        <v>2.3867728797875659E-2</v>
      </c>
      <c r="E33">
        <f t="shared" ref="E33:E52" si="6">D33^2</f>
        <v>5.6966847796894302E-4</v>
      </c>
    </row>
    <row r="34" spans="1:5" x14ac:dyDescent="0.25">
      <c r="A34">
        <v>5.43</v>
      </c>
      <c r="B34">
        <v>0.251</v>
      </c>
      <c r="C34">
        <f t="shared" si="4"/>
        <v>0.26571767873578689</v>
      </c>
      <c r="D34">
        <f t="shared" si="5"/>
        <v>-1.4717678735786888E-2</v>
      </c>
      <c r="E34">
        <f t="shared" si="6"/>
        <v>2.1661006736983351E-4</v>
      </c>
    </row>
    <row r="35" spans="1:5" x14ac:dyDescent="0.25">
      <c r="A35">
        <v>5.73</v>
      </c>
      <c r="B35">
        <v>0.251</v>
      </c>
      <c r="C35">
        <f t="shared" si="4"/>
        <v>0.27556412597047669</v>
      </c>
      <c r="D35">
        <f t="shared" si="5"/>
        <v>-2.4564125970476691E-2</v>
      </c>
      <c r="E35">
        <f t="shared" si="6"/>
        <v>6.0339628469344749E-4</v>
      </c>
    </row>
    <row r="36" spans="1:5" x14ac:dyDescent="0.25">
      <c r="A36">
        <v>6.12</v>
      </c>
      <c r="B36">
        <v>0.183</v>
      </c>
      <c r="C36">
        <f t="shared" si="4"/>
        <v>0.28836450737557345</v>
      </c>
      <c r="D36">
        <f t="shared" si="5"/>
        <v>-0.10536450737557346</v>
      </c>
      <c r="E36">
        <f t="shared" si="6"/>
        <v>1.1101679414497273E-2</v>
      </c>
    </row>
    <row r="37" spans="1:5" x14ac:dyDescent="0.25">
      <c r="A37">
        <v>6.29</v>
      </c>
      <c r="B37">
        <v>0.21299999999999999</v>
      </c>
      <c r="C37">
        <f t="shared" si="4"/>
        <v>0.29394416080856434</v>
      </c>
      <c r="D37">
        <f t="shared" si="5"/>
        <v>-8.0944160808564342E-2</v>
      </c>
      <c r="E37">
        <f t="shared" si="6"/>
        <v>6.5519571690027239E-3</v>
      </c>
    </row>
    <row r="38" spans="1:5" x14ac:dyDescent="0.25">
      <c r="A38">
        <v>6.45</v>
      </c>
      <c r="B38">
        <v>0.33200000000000002</v>
      </c>
      <c r="C38">
        <f t="shared" si="4"/>
        <v>0.2991955993337323</v>
      </c>
      <c r="D38">
        <f t="shared" si="5"/>
        <v>3.2804400666267719E-2</v>
      </c>
      <c r="E38">
        <f t="shared" si="6"/>
        <v>1.076128703073026E-3</v>
      </c>
    </row>
    <row r="39" spans="1:5" x14ac:dyDescent="0.25">
      <c r="A39">
        <v>6.51</v>
      </c>
      <c r="B39">
        <v>0.20300000000000001</v>
      </c>
      <c r="C39">
        <f t="shared" si="4"/>
        <v>0.30116488878067021</v>
      </c>
      <c r="D39">
        <f t="shared" si="5"/>
        <v>-9.8164888780670201E-2</v>
      </c>
      <c r="E39">
        <f t="shared" si="6"/>
        <v>9.6363453893213505E-3</v>
      </c>
    </row>
    <row r="40" spans="1:5" x14ac:dyDescent="0.25">
      <c r="A40">
        <v>6.65</v>
      </c>
      <c r="B40">
        <v>0.252</v>
      </c>
      <c r="C40">
        <f t="shared" si="4"/>
        <v>0.30575989749019217</v>
      </c>
      <c r="D40">
        <f t="shared" si="5"/>
        <v>-5.3759897490192166E-2</v>
      </c>
      <c r="E40">
        <f t="shared" si="6"/>
        <v>2.89012657815597E-3</v>
      </c>
    </row>
    <row r="41" spans="1:5" x14ac:dyDescent="0.25">
      <c r="A41">
        <v>6.75</v>
      </c>
      <c r="B41">
        <v>0.34200000000000003</v>
      </c>
      <c r="C41">
        <f t="shared" si="4"/>
        <v>0.30904204656842205</v>
      </c>
      <c r="D41">
        <f t="shared" si="5"/>
        <v>3.295795343157798E-2</v>
      </c>
      <c r="E41">
        <f t="shared" si="6"/>
        <v>1.0862266943980627E-3</v>
      </c>
    </row>
    <row r="42" spans="1:5" x14ac:dyDescent="0.25">
      <c r="A42">
        <v>6.81</v>
      </c>
      <c r="B42">
        <v>0.47099999999999997</v>
      </c>
      <c r="C42">
        <f t="shared" si="4"/>
        <v>0.31101133601536002</v>
      </c>
      <c r="D42">
        <f t="shared" si="5"/>
        <v>0.15998866398463996</v>
      </c>
      <c r="E42">
        <f t="shared" si="6"/>
        <v>2.5596372603590031E-2</v>
      </c>
    </row>
    <row r="43" spans="1:5" x14ac:dyDescent="0.25">
      <c r="A43">
        <v>7.56</v>
      </c>
      <c r="B43">
        <v>0.43099999999999999</v>
      </c>
      <c r="C43">
        <f t="shared" si="4"/>
        <v>0.33562745410208461</v>
      </c>
      <c r="D43">
        <f t="shared" si="5"/>
        <v>9.5372545897915384E-2</v>
      </c>
      <c r="E43">
        <f t="shared" si="6"/>
        <v>9.095922511049976E-3</v>
      </c>
    </row>
    <row r="44" spans="1:5" x14ac:dyDescent="0.25">
      <c r="A44">
        <v>7.83</v>
      </c>
      <c r="B44">
        <v>0.312</v>
      </c>
      <c r="C44">
        <f t="shared" si="4"/>
        <v>0.34448925661330543</v>
      </c>
      <c r="D44">
        <f t="shared" si="5"/>
        <v>-3.2489256613305428E-2</v>
      </c>
      <c r="E44">
        <f t="shared" si="6"/>
        <v>1.0555517952852106E-3</v>
      </c>
    </row>
    <row r="45" spans="1:5" x14ac:dyDescent="0.25">
      <c r="A45">
        <v>8.02</v>
      </c>
      <c r="B45">
        <v>0.30399999999999999</v>
      </c>
      <c r="C45">
        <f t="shared" si="4"/>
        <v>0.35072533986194232</v>
      </c>
      <c r="D45">
        <f t="shared" si="5"/>
        <v>-4.6725339861942328E-2</v>
      </c>
      <c r="E45">
        <f t="shared" si="6"/>
        <v>2.1832573852140166E-3</v>
      </c>
    </row>
    <row r="46" spans="1:5" x14ac:dyDescent="0.25">
      <c r="A46">
        <v>8.06</v>
      </c>
      <c r="B46">
        <v>0.37</v>
      </c>
      <c r="C46">
        <f t="shared" si="4"/>
        <v>0.35203819949323434</v>
      </c>
      <c r="D46">
        <f t="shared" si="5"/>
        <v>1.7961800506765657E-2</v>
      </c>
      <c r="E46">
        <f t="shared" si="6"/>
        <v>3.22626277444847E-4</v>
      </c>
    </row>
    <row r="47" spans="1:5" x14ac:dyDescent="0.25">
      <c r="A47">
        <v>8.18</v>
      </c>
      <c r="B47">
        <v>0.38100000000000001</v>
      </c>
      <c r="C47">
        <f t="shared" si="4"/>
        <v>0.35597677838711017</v>
      </c>
      <c r="D47">
        <f t="shared" si="5"/>
        <v>2.5023221612889834E-2</v>
      </c>
      <c r="E47">
        <f t="shared" si="6"/>
        <v>6.2616161988779688E-4</v>
      </c>
    </row>
    <row r="48" spans="1:5" x14ac:dyDescent="0.25">
      <c r="A48">
        <v>9.08</v>
      </c>
      <c r="B48">
        <v>0.43</v>
      </c>
      <c r="C48">
        <f t="shared" si="4"/>
        <v>0.38551612009117975</v>
      </c>
      <c r="D48">
        <f t="shared" si="5"/>
        <v>4.4483879908820245E-2</v>
      </c>
      <c r="E48">
        <f t="shared" si="6"/>
        <v>1.9788155717423415E-3</v>
      </c>
    </row>
    <row r="49" spans="1:5" x14ac:dyDescent="0.25">
      <c r="A49">
        <v>9.15</v>
      </c>
      <c r="B49">
        <v>0.43</v>
      </c>
      <c r="C49">
        <f t="shared" si="4"/>
        <v>0.3878136244459407</v>
      </c>
      <c r="D49">
        <f t="shared" si="5"/>
        <v>4.2186375554059297E-2</v>
      </c>
      <c r="E49">
        <f t="shared" si="6"/>
        <v>1.7796902823881318E-3</v>
      </c>
    </row>
    <row r="50" spans="1:5" x14ac:dyDescent="0.25">
      <c r="A50">
        <v>9.35</v>
      </c>
      <c r="B50">
        <v>0.21299999999999999</v>
      </c>
      <c r="C50">
        <f t="shared" si="4"/>
        <v>0.39437792260240057</v>
      </c>
      <c r="D50">
        <f t="shared" si="5"/>
        <v>-0.18137792260240057</v>
      </c>
      <c r="E50">
        <f t="shared" si="6"/>
        <v>3.2897950807562415E-2</v>
      </c>
    </row>
    <row r="51" spans="1:5" x14ac:dyDescent="0.25">
      <c r="A51">
        <v>9.42</v>
      </c>
      <c r="B51">
        <v>0.50800000000000001</v>
      </c>
      <c r="C51">
        <f t="shared" si="4"/>
        <v>0.39667542695716151</v>
      </c>
      <c r="D51">
        <f t="shared" si="5"/>
        <v>0.11132457304283849</v>
      </c>
      <c r="E51">
        <f t="shared" si="6"/>
        <v>1.2393160563170283E-2</v>
      </c>
    </row>
    <row r="52" spans="1:5" x14ac:dyDescent="0.25">
      <c r="A52">
        <v>9.9499999999999993</v>
      </c>
      <c r="B52">
        <v>0.41099999999999998</v>
      </c>
      <c r="C52">
        <f t="shared" si="4"/>
        <v>0.41407081707178017</v>
      </c>
      <c r="D52">
        <f t="shared" si="5"/>
        <v>-3.0708170717801964E-3</v>
      </c>
      <c r="E52">
        <f t="shared" si="6"/>
        <v>9.429917488336699E-6</v>
      </c>
    </row>
    <row r="53" spans="1:5" x14ac:dyDescent="0.25">
      <c r="D53">
        <f>SUM(D32:D52)</f>
        <v>-1.3877787807814457E-16</v>
      </c>
      <c r="E53">
        <f>SUM(E32:E52)</f>
        <v>0.12471894085937238</v>
      </c>
    </row>
    <row r="54" spans="1:5" x14ac:dyDescent="0.25">
      <c r="A54" t="s">
        <v>19</v>
      </c>
    </row>
    <row r="55" spans="1:5" x14ac:dyDescent="0.25">
      <c r="A55">
        <f>_xlfn.STDEV.S(A32:A52)</f>
        <v>1.7024411044983967</v>
      </c>
    </row>
    <row r="59" spans="1:5" x14ac:dyDescent="0.25">
      <c r="A59" t="s">
        <v>29</v>
      </c>
    </row>
    <row r="60" spans="1:5" x14ac:dyDescent="0.25">
      <c r="A60" s="3" t="s">
        <v>3</v>
      </c>
      <c r="B60" s="3" t="s">
        <v>13</v>
      </c>
      <c r="C60" s="3" t="s">
        <v>26</v>
      </c>
      <c r="D60" s="3" t="s">
        <v>27</v>
      </c>
      <c r="E60" s="3" t="s">
        <v>28</v>
      </c>
    </row>
    <row r="61" spans="1:5" x14ac:dyDescent="0.25">
      <c r="A61">
        <v>3</v>
      </c>
      <c r="B61">
        <f>$F$26+$F$25*A61</f>
        <v>0.18596145613479931</v>
      </c>
      <c r="C61">
        <f>$F$32*SQRT(1/7+(A61-$A$25)^2/(6*$A$55^2))</f>
        <v>7.067720646676756E-3</v>
      </c>
      <c r="D61">
        <f>B61-_xlfn.T.INV(0.995,5)*C61</f>
        <v>0.1574633959195732</v>
      </c>
      <c r="E61">
        <f>B61+_xlfn.T.INV(0.995,5)*C61</f>
        <v>0.21445951635002541</v>
      </c>
    </row>
    <row r="62" spans="1:5" x14ac:dyDescent="0.25">
      <c r="A62">
        <v>4</v>
      </c>
      <c r="B62">
        <f t="shared" ref="B62:B67" si="7">$F$26+$F$25*A62</f>
        <v>0.21878294691709871</v>
      </c>
      <c r="C62">
        <f t="shared" ref="C62:C67" si="8">$F$32*SQRT(1/7+(A62-$A$25)^2/(6*$A$55^2))</f>
        <v>5.6210220342560614E-3</v>
      </c>
      <c r="D62">
        <f t="shared" ref="D62:D67" si="9">B62-_xlfn.T.INV(0.995,5)*C62</f>
        <v>0.1961181823612638</v>
      </c>
      <c r="E62">
        <f t="shared" ref="E62:E67" si="10">B62+_xlfn.T.INV(0.995,5)*C62</f>
        <v>0.24144771147293362</v>
      </c>
    </row>
    <row r="63" spans="1:5" x14ac:dyDescent="0.25">
      <c r="A63">
        <v>5</v>
      </c>
      <c r="B63">
        <f t="shared" si="7"/>
        <v>0.25160443769939811</v>
      </c>
      <c r="C63">
        <f t="shared" si="8"/>
        <v>4.2655194157260098E-3</v>
      </c>
      <c r="D63">
        <f t="shared" si="9"/>
        <v>0.2344052535160599</v>
      </c>
      <c r="E63">
        <f t="shared" si="10"/>
        <v>0.26880362188273632</v>
      </c>
    </row>
    <row r="64" spans="1:5" x14ac:dyDescent="0.25">
      <c r="A64">
        <v>6</v>
      </c>
      <c r="B64">
        <f t="shared" si="7"/>
        <v>0.28442592848169757</v>
      </c>
      <c r="C64">
        <f t="shared" si="8"/>
        <v>3.1223351307140502E-3</v>
      </c>
      <c r="D64">
        <f t="shared" si="9"/>
        <v>0.27183622679208091</v>
      </c>
      <c r="E64">
        <f t="shared" si="10"/>
        <v>0.29701563017131422</v>
      </c>
    </row>
    <row r="65" spans="1:5" x14ac:dyDescent="0.25">
      <c r="A65">
        <v>7</v>
      </c>
      <c r="B65">
        <f t="shared" si="7"/>
        <v>0.31724741926399691</v>
      </c>
      <c r="C65">
        <f t="shared" si="8"/>
        <v>2.5017695851654387E-3</v>
      </c>
      <c r="D65">
        <f t="shared" si="9"/>
        <v>0.3071599265847002</v>
      </c>
      <c r="E65">
        <f t="shared" si="10"/>
        <v>0.32733491194329362</v>
      </c>
    </row>
    <row r="66" spans="1:5" x14ac:dyDescent="0.25">
      <c r="A66">
        <v>8</v>
      </c>
      <c r="B66">
        <f t="shared" si="7"/>
        <v>0.35006891004629637</v>
      </c>
      <c r="C66">
        <f t="shared" si="8"/>
        <v>2.7792587235158112E-3</v>
      </c>
      <c r="D66">
        <f t="shared" si="9"/>
        <v>0.33886254148478745</v>
      </c>
      <c r="E66">
        <f t="shared" si="10"/>
        <v>0.36127527860780528</v>
      </c>
    </row>
    <row r="67" spans="1:5" x14ac:dyDescent="0.25">
      <c r="A67">
        <v>9</v>
      </c>
      <c r="B67">
        <f t="shared" si="7"/>
        <v>0.38289040082859571</v>
      </c>
      <c r="C67">
        <f t="shared" si="8"/>
        <v>3.761018565951354E-3</v>
      </c>
      <c r="D67">
        <f t="shared" si="9"/>
        <v>0.36772543620687403</v>
      </c>
      <c r="E67">
        <f t="shared" si="10"/>
        <v>0.39805536545031739</v>
      </c>
    </row>
    <row r="70" spans="1:5" x14ac:dyDescent="0.25">
      <c r="A70" t="s">
        <v>30</v>
      </c>
    </row>
    <row r="71" spans="1:5" x14ac:dyDescent="0.25">
      <c r="A71" s="3" t="s">
        <v>3</v>
      </c>
      <c r="B71" s="3" t="s">
        <v>13</v>
      </c>
      <c r="C71" t="s">
        <v>31</v>
      </c>
      <c r="D71" t="s">
        <v>27</v>
      </c>
      <c r="E71" t="s">
        <v>28</v>
      </c>
    </row>
    <row r="72" spans="1:5" x14ac:dyDescent="0.25">
      <c r="A72">
        <v>3</v>
      </c>
      <c r="B72">
        <f>$F$26+$F$25*A72</f>
        <v>0.18596145613479931</v>
      </c>
      <c r="C72">
        <f>$F$32*SQRT(1+1/7+(A72-$A$25)^2/(6*$A$55^2))</f>
        <v>9.6457660733848746E-3</v>
      </c>
      <c r="D72">
        <f>B72-_xlfn.T.INV(0.995,5)*C72</f>
        <v>0.14706834814098543</v>
      </c>
      <c r="E72">
        <f>B72+_xlfn.T.INV(0.995,5)*C72</f>
        <v>0.22485456412861318</v>
      </c>
    </row>
    <row r="73" spans="1:5" x14ac:dyDescent="0.25">
      <c r="A73">
        <v>4</v>
      </c>
      <c r="B73">
        <f t="shared" ref="B73:B78" si="11">$F$26+$F$25*A73</f>
        <v>0.21878294691709871</v>
      </c>
      <c r="C73">
        <f t="shared" ref="C73:C78" si="12">$F$32*SQRT(1+1/7+(A73-$A$25)^2/(6*$A$55^2))</f>
        <v>8.6419914783916491E-3</v>
      </c>
      <c r="D73">
        <f t="shared" ref="D73:D78" si="13">B73-_xlfn.T.INV(0.995,5)*C73</f>
        <v>0.18393720161355775</v>
      </c>
      <c r="E73">
        <f t="shared" ref="E73:E78" si="14">B73+_xlfn.T.INV(0.995,5)*C73</f>
        <v>0.25362869222063966</v>
      </c>
    </row>
    <row r="74" spans="1:5" x14ac:dyDescent="0.25">
      <c r="A74">
        <v>5</v>
      </c>
      <c r="B74">
        <f t="shared" si="11"/>
        <v>0.25160443769939811</v>
      </c>
      <c r="C74">
        <f t="shared" si="12"/>
        <v>7.8283321268925021E-3</v>
      </c>
      <c r="D74">
        <f t="shared" si="13"/>
        <v>0.22003948324100853</v>
      </c>
      <c r="E74">
        <f t="shared" si="14"/>
        <v>0.28316939215778769</v>
      </c>
    </row>
    <row r="75" spans="1:5" x14ac:dyDescent="0.25">
      <c r="A75">
        <v>6</v>
      </c>
      <c r="B75">
        <f t="shared" si="11"/>
        <v>0.28442592848169757</v>
      </c>
      <c r="C75">
        <f t="shared" si="12"/>
        <v>7.2689135826128001E-3</v>
      </c>
      <c r="D75">
        <f t="shared" si="13"/>
        <v>0.25511662958149606</v>
      </c>
      <c r="E75">
        <f t="shared" si="14"/>
        <v>0.31373522738189907</v>
      </c>
    </row>
    <row r="76" spans="1:5" x14ac:dyDescent="0.25">
      <c r="A76">
        <v>7</v>
      </c>
      <c r="B76">
        <f t="shared" si="11"/>
        <v>0.31724741926399691</v>
      </c>
      <c r="C76">
        <f t="shared" si="12"/>
        <v>7.0247404977166646E-3</v>
      </c>
      <c r="D76">
        <f t="shared" si="13"/>
        <v>0.28892266115483239</v>
      </c>
      <c r="E76">
        <f t="shared" si="14"/>
        <v>0.34557217737316143</v>
      </c>
    </row>
    <row r="77" spans="1:5" x14ac:dyDescent="0.25">
      <c r="A77">
        <v>8</v>
      </c>
      <c r="B77">
        <f t="shared" si="11"/>
        <v>0.35006891004629637</v>
      </c>
      <c r="C77">
        <f t="shared" si="12"/>
        <v>7.1282821952585798E-3</v>
      </c>
      <c r="D77">
        <f t="shared" si="13"/>
        <v>0.32132665700788282</v>
      </c>
      <c r="E77">
        <f t="shared" si="14"/>
        <v>0.37881116308470991</v>
      </c>
    </row>
    <row r="78" spans="1:5" x14ac:dyDescent="0.25">
      <c r="A78">
        <v>9</v>
      </c>
      <c r="B78">
        <f t="shared" si="11"/>
        <v>0.38289040082859571</v>
      </c>
      <c r="C78">
        <f t="shared" si="12"/>
        <v>7.5652751870921731E-3</v>
      </c>
      <c r="D78">
        <f t="shared" si="13"/>
        <v>0.35238612956429755</v>
      </c>
      <c r="E78">
        <f t="shared" si="14"/>
        <v>0.41339467209289388</v>
      </c>
    </row>
    <row r="94" spans="1:6" x14ac:dyDescent="0.25">
      <c r="A94" t="s">
        <v>32</v>
      </c>
    </row>
    <row r="95" spans="1:6" x14ac:dyDescent="0.25">
      <c r="A95" t="s">
        <v>0</v>
      </c>
      <c r="B95" t="s">
        <v>33</v>
      </c>
      <c r="C95" t="s">
        <v>26</v>
      </c>
      <c r="D95" t="s">
        <v>34</v>
      </c>
      <c r="E95" t="s">
        <v>27</v>
      </c>
      <c r="F95" t="s">
        <v>28</v>
      </c>
    </row>
    <row r="96" spans="1:6" x14ac:dyDescent="0.25">
      <c r="A96">
        <v>0.3</v>
      </c>
      <c r="B96">
        <f>(A96-$F$26)/F25</f>
        <v>6.4745083525182698</v>
      </c>
      <c r="C96">
        <f>$F$32*SQRT(1/21+(B96-A25)^2/(20*A55^2))</f>
        <v>1.564511493019794E-3</v>
      </c>
      <c r="D96">
        <f>C96/(ABS(F25))</f>
        <v>4.7667289197708636E-2</v>
      </c>
      <c r="E96">
        <f>B96-_xlfn.T.INV(0.995,19)*D96</f>
        <v>6.3381353552561706</v>
      </c>
      <c r="F96">
        <f>B96+_xlfn.T.INV(0.995,19)*D96</f>
        <v>6.6108813497803691</v>
      </c>
    </row>
    <row r="99" spans="1:6" x14ac:dyDescent="0.25">
      <c r="A99" t="s">
        <v>35</v>
      </c>
    </row>
    <row r="100" spans="1:6" x14ac:dyDescent="0.25">
      <c r="A100" t="s">
        <v>0</v>
      </c>
      <c r="B100" t="s">
        <v>33</v>
      </c>
      <c r="C100" t="s">
        <v>36</v>
      </c>
      <c r="D100" t="s">
        <v>37</v>
      </c>
      <c r="E100" t="s">
        <v>38</v>
      </c>
      <c r="F100" t="s">
        <v>28</v>
      </c>
    </row>
    <row r="101" spans="1:6" x14ac:dyDescent="0.25">
      <c r="A101">
        <v>0.3</v>
      </c>
      <c r="B101">
        <v>6.4745083525182698</v>
      </c>
      <c r="C101">
        <f>SQRT(F32^2+C96^2)</f>
        <v>6.7480237266026831E-3</v>
      </c>
      <c r="D101">
        <f>C101/ABS(F25)</f>
        <v>0.20559772166844673</v>
      </c>
      <c r="E101">
        <f>B101-_xlfn.T.INV(0.995,20)*D101</f>
        <v>5.8895129908134862</v>
      </c>
      <c r="F101">
        <f>B101+_xlfn.T.INV(0.995,20)*D101</f>
        <v>7.0595037142230534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 Display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Family</cp:lastModifiedBy>
  <dcterms:created xsi:type="dcterms:W3CDTF">2018-03-10T05:45:40Z</dcterms:created>
  <dcterms:modified xsi:type="dcterms:W3CDTF">2018-03-19T00:41:52Z</dcterms:modified>
</cp:coreProperties>
</file>