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/>
  <xr:revisionPtr revIDLastSave="0" documentId="13_ncr:1_{3DCF51A1-C04C-4C0D-983B-0CAECA761EBB}" xr6:coauthVersionLast="47" xr6:coauthVersionMax="47" xr10:uidLastSave="{00000000-0000-0000-0000-000000000000}"/>
  <bookViews>
    <workbookView xWindow="-110" yWindow="30" windowWidth="19420" windowHeight="10880" xr2:uid="{00000000-000D-0000-FFFF-FFFF00000000}"/>
  </bookViews>
  <sheets>
    <sheet name="Widegreen 2010" sheetId="1" r:id="rId1"/>
    <sheet name="Morrison 2021" sheetId="36" r:id="rId2"/>
    <sheet name="Aernecke 2015" sheetId="2" r:id="rId3"/>
    <sheet name="Cuddy 2014" sheetId="4" r:id="rId4"/>
    <sheet name="Gorn 2020" sheetId="5" r:id="rId5"/>
    <sheet name="Rogers 1973" sheetId="10" r:id="rId6"/>
    <sheet name="Rivera 2011" sheetId="11" r:id="rId7"/>
    <sheet name="Liu 2013" sheetId="12" r:id="rId8"/>
    <sheet name="Zhang 2014" sheetId="6" r:id="rId9"/>
    <sheet name="Brady 2012" sheetId="39" r:id="rId10"/>
    <sheet name="Stejfa 2021" sheetId="13" r:id="rId11"/>
    <sheet name="Ruzika 2015" sheetId="14" r:id="rId12"/>
    <sheet name="Rauch 2007" sheetId="15" r:id="rId13"/>
    <sheet name="Sucesca 2010" sheetId="16" r:id="rId14"/>
    <sheet name="Hikal 2011" sheetId="17" r:id="rId15"/>
    <sheet name="Hikal 2014" sheetId="23" r:id="rId16"/>
    <sheet name="Egorshev 2013" sheetId="33" r:id="rId17"/>
    <sheet name="Hartel 2017" sheetId="34" r:id="rId18"/>
    <sheet name="NMP" sheetId="19" r:id="rId19"/>
    <sheet name="Tunnell 2015" sheetId="20" r:id="rId20"/>
    <sheet name="Bikelytė 2020" sheetId="21" r:id="rId21"/>
    <sheet name="Fettaka 2016" sheetId="22" r:id="rId22"/>
    <sheet name="Aniline" sheetId="18" r:id="rId23"/>
    <sheet name="Menzies 1920" sheetId="37" r:id="rId24"/>
    <sheet name="Brandner 1962" sheetId="38" r:id="rId25"/>
    <sheet name="Aim 1994" sheetId="35" r:id="rId26"/>
    <sheet name="llnl website data" sheetId="9" r:id="rId27"/>
    <sheet name="NIST" sheetId="8" r:id="rId28"/>
  </sheets>
  <definedNames>
    <definedName name="solver_adj" localSheetId="2" hidden="1">'Aernecke 2015'!$E$25:$G$25</definedName>
    <definedName name="solver_adj" localSheetId="25" hidden="1">'Aim 1994'!#REF!</definedName>
    <definedName name="solver_adj" localSheetId="22" hidden="1">Aniline!$E$50:$G$50</definedName>
    <definedName name="solver_adj" localSheetId="20" hidden="1">'Bikelytė 2020'!$E$26:$G$26</definedName>
    <definedName name="solver_adj" localSheetId="16" hidden="1">'Egorshev 2013'!$E$14:$F$14</definedName>
    <definedName name="solver_adj" localSheetId="21" hidden="1">'Fettaka 2016'!$E$3:$F$3</definedName>
    <definedName name="solver_adj" localSheetId="17" hidden="1">'Hartel 2017'!$E$21:$G$21</definedName>
    <definedName name="solver_adj" localSheetId="7" hidden="1">'Liu 2013'!$E$52:$F$52</definedName>
    <definedName name="solver_adj" localSheetId="1" hidden="1">'Morrison 2021'!$D$47:$E$47</definedName>
    <definedName name="solver_adj" localSheetId="18" hidden="1">NMP!$E$57:$G$57</definedName>
    <definedName name="solver_adj" localSheetId="6" hidden="1">'Rivera 2011'!#REF!</definedName>
    <definedName name="solver_adj" localSheetId="5" hidden="1">'Rogers 1973'!$E$3:$F$3</definedName>
    <definedName name="solver_adj" localSheetId="11" hidden="1">'Ruzika 2015'!$E$58:$G$58</definedName>
    <definedName name="solver_adj" localSheetId="10" hidden="1">'Stejfa 2021'!$E$83:$G$83</definedName>
    <definedName name="solver_adj" localSheetId="13" hidden="1">'Sucesca 2010'!$E$3:$G$3</definedName>
    <definedName name="solver_adj" localSheetId="19" hidden="1">'Tunnell 2015'!$E$2:$F$2</definedName>
    <definedName name="solver_adj" localSheetId="0" hidden="1">'Widegreen 2010'!$D$2:$E$2</definedName>
    <definedName name="solver_adj" localSheetId="8" hidden="1">'Zhang 2014'!$E$3:$F$3</definedName>
    <definedName name="solver_cvg" localSheetId="2" hidden="1">0.000000001</definedName>
    <definedName name="solver_cvg" localSheetId="25" hidden="1">0.0000001</definedName>
    <definedName name="solver_cvg" localSheetId="22" hidden="1">0.0000001</definedName>
    <definedName name="solver_cvg" localSheetId="20" hidden="1">0.0000001</definedName>
    <definedName name="solver_cvg" localSheetId="16" hidden="1">0.00000001</definedName>
    <definedName name="solver_cvg" localSheetId="21" hidden="1">0.000001</definedName>
    <definedName name="solver_cvg" localSheetId="17" hidden="1">0.0000001</definedName>
    <definedName name="solver_cvg" localSheetId="7" hidden="1">0.000001</definedName>
    <definedName name="solver_cvg" localSheetId="1" hidden="1">0.0000001</definedName>
    <definedName name="solver_cvg" localSheetId="18" hidden="1">0.0000001</definedName>
    <definedName name="solver_cvg" localSheetId="6" hidden="1">0.000001</definedName>
    <definedName name="solver_cvg" localSheetId="5" hidden="1">0.0000001</definedName>
    <definedName name="solver_cvg" localSheetId="11" hidden="1">0.0000001</definedName>
    <definedName name="solver_cvg" localSheetId="10" hidden="1">0.0000001</definedName>
    <definedName name="solver_cvg" localSheetId="13" hidden="1">0.0000001</definedName>
    <definedName name="solver_cvg" localSheetId="19" hidden="1">0.000001</definedName>
    <definedName name="solver_cvg" localSheetId="0" hidden="1">0.0001</definedName>
    <definedName name="solver_cvg" localSheetId="8" hidden="1">0.0001</definedName>
    <definedName name="solver_drv" localSheetId="2" hidden="1">2</definedName>
    <definedName name="solver_drv" localSheetId="25" hidden="1">2</definedName>
    <definedName name="solver_drv" localSheetId="22" hidden="1">2</definedName>
    <definedName name="solver_drv" localSheetId="20" hidden="1">2</definedName>
    <definedName name="solver_drv" localSheetId="16" hidden="1">2</definedName>
    <definedName name="solver_drv" localSheetId="21" hidden="1">2</definedName>
    <definedName name="solver_drv" localSheetId="17" hidden="1">2</definedName>
    <definedName name="solver_drv" localSheetId="7" hidden="1">2</definedName>
    <definedName name="solver_drv" localSheetId="1" hidden="1">2</definedName>
    <definedName name="solver_drv" localSheetId="18" hidden="1">2</definedName>
    <definedName name="solver_drv" localSheetId="6" hidden="1">2</definedName>
    <definedName name="solver_drv" localSheetId="5" hidden="1">2</definedName>
    <definedName name="solver_drv" localSheetId="11" hidden="1">2</definedName>
    <definedName name="solver_drv" localSheetId="10" hidden="1">2</definedName>
    <definedName name="solver_drv" localSheetId="13" hidden="1">2</definedName>
    <definedName name="solver_drv" localSheetId="19" hidden="1">2</definedName>
    <definedName name="solver_drv" localSheetId="0" hidden="1">2</definedName>
    <definedName name="solver_drv" localSheetId="8" hidden="1">1</definedName>
    <definedName name="solver_eng" localSheetId="2" hidden="1">1</definedName>
    <definedName name="solver_eng" localSheetId="25" hidden="1">1</definedName>
    <definedName name="solver_eng" localSheetId="22" hidden="1">1</definedName>
    <definedName name="solver_eng" localSheetId="20" hidden="1">1</definedName>
    <definedName name="solver_eng" localSheetId="16" hidden="1">1</definedName>
    <definedName name="solver_eng" localSheetId="21" hidden="1">1</definedName>
    <definedName name="solver_eng" localSheetId="17" hidden="1">1</definedName>
    <definedName name="solver_eng" localSheetId="7" hidden="1">1</definedName>
    <definedName name="solver_eng" localSheetId="1" hidden="1">1</definedName>
    <definedName name="solver_eng" localSheetId="18" hidden="1">1</definedName>
    <definedName name="solver_eng" localSheetId="6" hidden="1">1</definedName>
    <definedName name="solver_eng" localSheetId="5" hidden="1">1</definedName>
    <definedName name="solver_eng" localSheetId="11" hidden="1">1</definedName>
    <definedName name="solver_eng" localSheetId="10" hidden="1">1</definedName>
    <definedName name="solver_eng" localSheetId="13" hidden="1">1</definedName>
    <definedName name="solver_eng" localSheetId="19" hidden="1">1</definedName>
    <definedName name="solver_eng" localSheetId="0" hidden="1">1</definedName>
    <definedName name="solver_eng" localSheetId="8" hidden="1">1</definedName>
    <definedName name="solver_est" localSheetId="2" hidden="1">1</definedName>
    <definedName name="solver_est" localSheetId="25" hidden="1">1</definedName>
    <definedName name="solver_est" localSheetId="22" hidden="1">1</definedName>
    <definedName name="solver_est" localSheetId="20" hidden="1">1</definedName>
    <definedName name="solver_est" localSheetId="16" hidden="1">1</definedName>
    <definedName name="solver_est" localSheetId="21" hidden="1">1</definedName>
    <definedName name="solver_est" localSheetId="17" hidden="1">1</definedName>
    <definedName name="solver_est" localSheetId="7" hidden="1">1</definedName>
    <definedName name="solver_est" localSheetId="1" hidden="1">1</definedName>
    <definedName name="solver_est" localSheetId="18" hidden="1">1</definedName>
    <definedName name="solver_est" localSheetId="6" hidden="1">1</definedName>
    <definedName name="solver_est" localSheetId="5" hidden="1">1</definedName>
    <definedName name="solver_est" localSheetId="11" hidden="1">1</definedName>
    <definedName name="solver_est" localSheetId="10" hidden="1">1</definedName>
    <definedName name="solver_est" localSheetId="13" hidden="1">1</definedName>
    <definedName name="solver_est" localSheetId="19" hidden="1">1</definedName>
    <definedName name="solver_est" localSheetId="0" hidden="1">1</definedName>
    <definedName name="solver_est" localSheetId="8" hidden="1">1</definedName>
    <definedName name="solver_itr" localSheetId="2" hidden="1">2147483647</definedName>
    <definedName name="solver_itr" localSheetId="25" hidden="1">2147483647</definedName>
    <definedName name="solver_itr" localSheetId="22" hidden="1">2147483647</definedName>
    <definedName name="solver_itr" localSheetId="20" hidden="1">2147483647</definedName>
    <definedName name="solver_itr" localSheetId="16" hidden="1">2147483647</definedName>
    <definedName name="solver_itr" localSheetId="21" hidden="1">2147483647</definedName>
    <definedName name="solver_itr" localSheetId="17" hidden="1">2147483647</definedName>
    <definedName name="solver_itr" localSheetId="7" hidden="1">2147483647</definedName>
    <definedName name="solver_itr" localSheetId="1" hidden="1">2147483647</definedName>
    <definedName name="solver_itr" localSheetId="18" hidden="1">2147483647</definedName>
    <definedName name="solver_itr" localSheetId="6" hidden="1">2147483647</definedName>
    <definedName name="solver_itr" localSheetId="5" hidden="1">2147483647</definedName>
    <definedName name="solver_itr" localSheetId="11" hidden="1">2147483647</definedName>
    <definedName name="solver_itr" localSheetId="10" hidden="1">2147483647</definedName>
    <definedName name="solver_itr" localSheetId="13" hidden="1">2147483647</definedName>
    <definedName name="solver_itr" localSheetId="19" hidden="1">2147483647</definedName>
    <definedName name="solver_itr" localSheetId="0" hidden="1">2147483647</definedName>
    <definedName name="solver_itr" localSheetId="8" hidden="1">2147483647</definedName>
    <definedName name="solver_mip" localSheetId="2" hidden="1">2147483647</definedName>
    <definedName name="solver_mip" localSheetId="25" hidden="1">2147483647</definedName>
    <definedName name="solver_mip" localSheetId="22" hidden="1">2147483647</definedName>
    <definedName name="solver_mip" localSheetId="20" hidden="1">2147483647</definedName>
    <definedName name="solver_mip" localSheetId="16" hidden="1">2147483647</definedName>
    <definedName name="solver_mip" localSheetId="21" hidden="1">2147483647</definedName>
    <definedName name="solver_mip" localSheetId="17" hidden="1">2147483647</definedName>
    <definedName name="solver_mip" localSheetId="7" hidden="1">2147483647</definedName>
    <definedName name="solver_mip" localSheetId="1" hidden="1">2147483647</definedName>
    <definedName name="solver_mip" localSheetId="18" hidden="1">2147483647</definedName>
    <definedName name="solver_mip" localSheetId="6" hidden="1">2147483647</definedName>
    <definedName name="solver_mip" localSheetId="5" hidden="1">2147483647</definedName>
    <definedName name="solver_mip" localSheetId="11" hidden="1">2147483647</definedName>
    <definedName name="solver_mip" localSheetId="10" hidden="1">2147483647</definedName>
    <definedName name="solver_mip" localSheetId="13" hidden="1">2147483647</definedName>
    <definedName name="solver_mip" localSheetId="19" hidden="1">2147483647</definedName>
    <definedName name="solver_mip" localSheetId="0" hidden="1">2147483647</definedName>
    <definedName name="solver_mip" localSheetId="8" hidden="1">2147483647</definedName>
    <definedName name="solver_mni" localSheetId="2" hidden="1">30</definedName>
    <definedName name="solver_mni" localSheetId="25" hidden="1">30</definedName>
    <definedName name="solver_mni" localSheetId="22" hidden="1">30</definedName>
    <definedName name="solver_mni" localSheetId="20" hidden="1">30</definedName>
    <definedName name="solver_mni" localSheetId="16" hidden="1">30</definedName>
    <definedName name="solver_mni" localSheetId="21" hidden="1">30</definedName>
    <definedName name="solver_mni" localSheetId="17" hidden="1">30</definedName>
    <definedName name="solver_mni" localSheetId="7" hidden="1">30</definedName>
    <definedName name="solver_mni" localSheetId="1" hidden="1">30</definedName>
    <definedName name="solver_mni" localSheetId="18" hidden="1">30</definedName>
    <definedName name="solver_mni" localSheetId="6" hidden="1">30</definedName>
    <definedName name="solver_mni" localSheetId="5" hidden="1">30</definedName>
    <definedName name="solver_mni" localSheetId="11" hidden="1">30</definedName>
    <definedName name="solver_mni" localSheetId="10" hidden="1">30</definedName>
    <definedName name="solver_mni" localSheetId="13" hidden="1">30</definedName>
    <definedName name="solver_mni" localSheetId="19" hidden="1">30</definedName>
    <definedName name="solver_mni" localSheetId="0" hidden="1">30</definedName>
    <definedName name="solver_mni" localSheetId="8" hidden="1">30</definedName>
    <definedName name="solver_mrt" localSheetId="2" hidden="1">0.075</definedName>
    <definedName name="solver_mrt" localSheetId="25" hidden="1">0.075</definedName>
    <definedName name="solver_mrt" localSheetId="22" hidden="1">0.075</definedName>
    <definedName name="solver_mrt" localSheetId="20" hidden="1">0.075</definedName>
    <definedName name="solver_mrt" localSheetId="16" hidden="1">0.075</definedName>
    <definedName name="solver_mrt" localSheetId="21" hidden="1">0.075</definedName>
    <definedName name="solver_mrt" localSheetId="17" hidden="1">0.075</definedName>
    <definedName name="solver_mrt" localSheetId="7" hidden="1">0.075</definedName>
    <definedName name="solver_mrt" localSheetId="1" hidden="1">0.075</definedName>
    <definedName name="solver_mrt" localSheetId="18" hidden="1">0.075</definedName>
    <definedName name="solver_mrt" localSheetId="6" hidden="1">0.075</definedName>
    <definedName name="solver_mrt" localSheetId="5" hidden="1">0.075</definedName>
    <definedName name="solver_mrt" localSheetId="11" hidden="1">0.075</definedName>
    <definedName name="solver_mrt" localSheetId="10" hidden="1">0.075</definedName>
    <definedName name="solver_mrt" localSheetId="13" hidden="1">0.075</definedName>
    <definedName name="solver_mrt" localSheetId="19" hidden="1">0.075</definedName>
    <definedName name="solver_mrt" localSheetId="0" hidden="1">0.075</definedName>
    <definedName name="solver_mrt" localSheetId="8" hidden="1">0.075</definedName>
    <definedName name="solver_msl" localSheetId="2" hidden="1">2</definedName>
    <definedName name="solver_msl" localSheetId="25" hidden="1">2</definedName>
    <definedName name="solver_msl" localSheetId="22" hidden="1">2</definedName>
    <definedName name="solver_msl" localSheetId="20" hidden="1">2</definedName>
    <definedName name="solver_msl" localSheetId="16" hidden="1">2</definedName>
    <definedName name="solver_msl" localSheetId="21" hidden="1">2</definedName>
    <definedName name="solver_msl" localSheetId="17" hidden="1">2</definedName>
    <definedName name="solver_msl" localSheetId="7" hidden="1">2</definedName>
    <definedName name="solver_msl" localSheetId="1" hidden="1">2</definedName>
    <definedName name="solver_msl" localSheetId="18" hidden="1">2</definedName>
    <definedName name="solver_msl" localSheetId="6" hidden="1">2</definedName>
    <definedName name="solver_msl" localSheetId="5" hidden="1">2</definedName>
    <definedName name="solver_msl" localSheetId="11" hidden="1">2</definedName>
    <definedName name="solver_msl" localSheetId="10" hidden="1">2</definedName>
    <definedName name="solver_msl" localSheetId="13" hidden="1">2</definedName>
    <definedName name="solver_msl" localSheetId="19" hidden="1">2</definedName>
    <definedName name="solver_msl" localSheetId="0" hidden="1">2</definedName>
    <definedName name="solver_msl" localSheetId="8" hidden="1">2</definedName>
    <definedName name="solver_neg" localSheetId="2" hidden="1">2</definedName>
    <definedName name="solver_neg" localSheetId="25" hidden="1">2</definedName>
    <definedName name="solver_neg" localSheetId="22" hidden="1">2</definedName>
    <definedName name="solver_neg" localSheetId="20" hidden="1">2</definedName>
    <definedName name="solver_neg" localSheetId="16" hidden="1">2</definedName>
    <definedName name="solver_neg" localSheetId="21" hidden="1">1</definedName>
    <definedName name="solver_neg" localSheetId="17" hidden="1">2</definedName>
    <definedName name="solver_neg" localSheetId="7" hidden="1">1</definedName>
    <definedName name="solver_neg" localSheetId="1" hidden="1">1</definedName>
    <definedName name="solver_neg" localSheetId="18" hidden="1">2</definedName>
    <definedName name="solver_neg" localSheetId="6" hidden="1">1</definedName>
    <definedName name="solver_neg" localSheetId="5" hidden="1">1</definedName>
    <definedName name="solver_neg" localSheetId="11" hidden="1">2</definedName>
    <definedName name="solver_neg" localSheetId="10" hidden="1">2</definedName>
    <definedName name="solver_neg" localSheetId="13" hidden="1">2</definedName>
    <definedName name="solver_neg" localSheetId="19" hidden="1">1</definedName>
    <definedName name="solver_neg" localSheetId="0" hidden="1">1</definedName>
    <definedName name="solver_neg" localSheetId="8" hidden="1">1</definedName>
    <definedName name="solver_nod" localSheetId="2" hidden="1">2147483647</definedName>
    <definedName name="solver_nod" localSheetId="25" hidden="1">2147483647</definedName>
    <definedName name="solver_nod" localSheetId="22" hidden="1">2147483647</definedName>
    <definedName name="solver_nod" localSheetId="20" hidden="1">2147483647</definedName>
    <definedName name="solver_nod" localSheetId="16" hidden="1">2147483647</definedName>
    <definedName name="solver_nod" localSheetId="21" hidden="1">2147483647</definedName>
    <definedName name="solver_nod" localSheetId="17" hidden="1">2147483647</definedName>
    <definedName name="solver_nod" localSheetId="7" hidden="1">2147483647</definedName>
    <definedName name="solver_nod" localSheetId="1" hidden="1">2147483647</definedName>
    <definedName name="solver_nod" localSheetId="18" hidden="1">2147483647</definedName>
    <definedName name="solver_nod" localSheetId="6" hidden="1">2147483647</definedName>
    <definedName name="solver_nod" localSheetId="5" hidden="1">2147483647</definedName>
    <definedName name="solver_nod" localSheetId="11" hidden="1">2147483647</definedName>
    <definedName name="solver_nod" localSheetId="10" hidden="1">2147483647</definedName>
    <definedName name="solver_nod" localSheetId="13" hidden="1">2147483647</definedName>
    <definedName name="solver_nod" localSheetId="19" hidden="1">2147483647</definedName>
    <definedName name="solver_nod" localSheetId="0" hidden="1">2147483647</definedName>
    <definedName name="solver_nod" localSheetId="8" hidden="1">2147483647</definedName>
    <definedName name="solver_num" localSheetId="2" hidden="1">0</definedName>
    <definedName name="solver_num" localSheetId="25" hidden="1">0</definedName>
    <definedName name="solver_num" localSheetId="22" hidden="1">0</definedName>
    <definedName name="solver_num" localSheetId="20" hidden="1">0</definedName>
    <definedName name="solver_num" localSheetId="16" hidden="1">0</definedName>
    <definedName name="solver_num" localSheetId="21" hidden="1">0</definedName>
    <definedName name="solver_num" localSheetId="17" hidden="1">0</definedName>
    <definedName name="solver_num" localSheetId="7" hidden="1">0</definedName>
    <definedName name="solver_num" localSheetId="1" hidden="1">0</definedName>
    <definedName name="solver_num" localSheetId="18" hidden="1">0</definedName>
    <definedName name="solver_num" localSheetId="6" hidden="1">0</definedName>
    <definedName name="solver_num" localSheetId="5" hidden="1">0</definedName>
    <definedName name="solver_num" localSheetId="11" hidden="1">0</definedName>
    <definedName name="solver_num" localSheetId="10" hidden="1">0</definedName>
    <definedName name="solver_num" localSheetId="13" hidden="1">0</definedName>
    <definedName name="solver_num" localSheetId="19" hidden="1">0</definedName>
    <definedName name="solver_num" localSheetId="0" hidden="1">0</definedName>
    <definedName name="solver_num" localSheetId="8" hidden="1">0</definedName>
    <definedName name="solver_nwt" localSheetId="2" hidden="1">1</definedName>
    <definedName name="solver_nwt" localSheetId="25" hidden="1">1</definedName>
    <definedName name="solver_nwt" localSheetId="22" hidden="1">1</definedName>
    <definedName name="solver_nwt" localSheetId="20" hidden="1">1</definedName>
    <definedName name="solver_nwt" localSheetId="16" hidden="1">1</definedName>
    <definedName name="solver_nwt" localSheetId="21" hidden="1">1</definedName>
    <definedName name="solver_nwt" localSheetId="17" hidden="1">1</definedName>
    <definedName name="solver_nwt" localSheetId="7" hidden="1">1</definedName>
    <definedName name="solver_nwt" localSheetId="1" hidden="1">1</definedName>
    <definedName name="solver_nwt" localSheetId="18" hidden="1">1</definedName>
    <definedName name="solver_nwt" localSheetId="6" hidden="1">1</definedName>
    <definedName name="solver_nwt" localSheetId="5" hidden="1">1</definedName>
    <definedName name="solver_nwt" localSheetId="11" hidden="1">1</definedName>
    <definedName name="solver_nwt" localSheetId="10" hidden="1">1</definedName>
    <definedName name="solver_nwt" localSheetId="13" hidden="1">1</definedName>
    <definedName name="solver_nwt" localSheetId="19" hidden="1">1</definedName>
    <definedName name="solver_nwt" localSheetId="0" hidden="1">1</definedName>
    <definedName name="solver_nwt" localSheetId="8" hidden="1">1</definedName>
    <definedName name="solver_opt" localSheetId="2" hidden="1">'Aernecke 2015'!$I$41</definedName>
    <definedName name="solver_opt" localSheetId="25" hidden="1">'Aim 1994'!#REF!</definedName>
    <definedName name="solver_opt" localSheetId="22" hidden="1">Aniline!$I$56</definedName>
    <definedName name="solver_opt" localSheetId="20" hidden="1">'Bikelytė 2020'!$I$42</definedName>
    <definedName name="solver_opt" localSheetId="16" hidden="1">'Egorshev 2013'!$I$34</definedName>
    <definedName name="solver_opt" localSheetId="21" hidden="1">'Fettaka 2016'!$I$7</definedName>
    <definedName name="solver_opt" localSheetId="17" hidden="1">'Hartel 2017'!$I$36</definedName>
    <definedName name="solver_opt" localSheetId="7" hidden="1">'Liu 2013'!$H$57</definedName>
    <definedName name="solver_opt" localSheetId="1" hidden="1">'Morrison 2021'!$H$71</definedName>
    <definedName name="solver_opt" localSheetId="18" hidden="1">NMP!$I$72</definedName>
    <definedName name="solver_opt" localSheetId="6" hidden="1">'Rivera 2011'!#REF!</definedName>
    <definedName name="solver_opt" localSheetId="5" hidden="1">'Rogers 1973'!$H$7</definedName>
    <definedName name="solver_opt" localSheetId="11" hidden="1">'Ruzika 2015'!$I$81</definedName>
    <definedName name="solver_opt" localSheetId="10" hidden="1">'Stejfa 2021'!$I$111</definedName>
    <definedName name="solver_opt" localSheetId="13" hidden="1">'Sucesca 2010'!$I$26</definedName>
    <definedName name="solver_opt" localSheetId="19" hidden="1">'Tunnell 2015'!$I$6</definedName>
    <definedName name="solver_opt" localSheetId="0" hidden="1">'Widegreen 2010'!$H$7</definedName>
    <definedName name="solver_opt" localSheetId="8" hidden="1">'Zhang 2014'!$I$7</definedName>
    <definedName name="solver_pre" localSheetId="2" hidden="1">0.000001</definedName>
    <definedName name="solver_pre" localSheetId="25" hidden="1">0.000001</definedName>
    <definedName name="solver_pre" localSheetId="22" hidden="1">0.000001</definedName>
    <definedName name="solver_pre" localSheetId="20" hidden="1">0.000001</definedName>
    <definedName name="solver_pre" localSheetId="16" hidden="1">0.000001</definedName>
    <definedName name="solver_pre" localSheetId="21" hidden="1">0.000001</definedName>
    <definedName name="solver_pre" localSheetId="17" hidden="1">0.000001</definedName>
    <definedName name="solver_pre" localSheetId="7" hidden="1">0.00000001</definedName>
    <definedName name="solver_pre" localSheetId="1" hidden="1">0.000001</definedName>
    <definedName name="solver_pre" localSheetId="18" hidden="1">0.000001</definedName>
    <definedName name="solver_pre" localSheetId="6" hidden="1">0.00000001</definedName>
    <definedName name="solver_pre" localSheetId="5" hidden="1">0.00000001</definedName>
    <definedName name="solver_pre" localSheetId="11" hidden="1">0.000001</definedName>
    <definedName name="solver_pre" localSheetId="10" hidden="1">0.000001</definedName>
    <definedName name="solver_pre" localSheetId="13" hidden="1">0.000001</definedName>
    <definedName name="solver_pre" localSheetId="19" hidden="1">0.000001</definedName>
    <definedName name="solver_pre" localSheetId="0" hidden="1">0.000001</definedName>
    <definedName name="solver_pre" localSheetId="8" hidden="1">0.000001</definedName>
    <definedName name="solver_rbv" localSheetId="2" hidden="1">1</definedName>
    <definedName name="solver_rbv" localSheetId="25" hidden="1">1</definedName>
    <definedName name="solver_rbv" localSheetId="22" hidden="1">1</definedName>
    <definedName name="solver_rbv" localSheetId="20" hidden="1">1</definedName>
    <definedName name="solver_rbv" localSheetId="16" hidden="1">1</definedName>
    <definedName name="solver_rbv" localSheetId="21" hidden="1">1</definedName>
    <definedName name="solver_rbv" localSheetId="17" hidden="1">1</definedName>
    <definedName name="solver_rbv" localSheetId="7" hidden="1">1</definedName>
    <definedName name="solver_rbv" localSheetId="1" hidden="1">1</definedName>
    <definedName name="solver_rbv" localSheetId="18" hidden="1">1</definedName>
    <definedName name="solver_rbv" localSheetId="6" hidden="1">1</definedName>
    <definedName name="solver_rbv" localSheetId="5" hidden="1">1</definedName>
    <definedName name="solver_rbv" localSheetId="11" hidden="1">1</definedName>
    <definedName name="solver_rbv" localSheetId="10" hidden="1">1</definedName>
    <definedName name="solver_rbv" localSheetId="13" hidden="1">1</definedName>
    <definedName name="solver_rbv" localSheetId="19" hidden="1">1</definedName>
    <definedName name="solver_rbv" localSheetId="0" hidden="1">2</definedName>
    <definedName name="solver_rbv" localSheetId="8" hidden="1">1</definedName>
    <definedName name="solver_rlx" localSheetId="2" hidden="1">2</definedName>
    <definedName name="solver_rlx" localSheetId="25" hidden="1">2</definedName>
    <definedName name="solver_rlx" localSheetId="22" hidden="1">2</definedName>
    <definedName name="solver_rlx" localSheetId="20" hidden="1">2</definedName>
    <definedName name="solver_rlx" localSheetId="16" hidden="1">2</definedName>
    <definedName name="solver_rlx" localSheetId="21" hidden="1">2</definedName>
    <definedName name="solver_rlx" localSheetId="17" hidden="1">2</definedName>
    <definedName name="solver_rlx" localSheetId="7" hidden="1">2</definedName>
    <definedName name="solver_rlx" localSheetId="1" hidden="1">2</definedName>
    <definedName name="solver_rlx" localSheetId="18" hidden="1">2</definedName>
    <definedName name="solver_rlx" localSheetId="6" hidden="1">2</definedName>
    <definedName name="solver_rlx" localSheetId="5" hidden="1">2</definedName>
    <definedName name="solver_rlx" localSheetId="11" hidden="1">2</definedName>
    <definedName name="solver_rlx" localSheetId="10" hidden="1">2</definedName>
    <definedName name="solver_rlx" localSheetId="13" hidden="1">2</definedName>
    <definedName name="solver_rlx" localSheetId="19" hidden="1">2</definedName>
    <definedName name="solver_rlx" localSheetId="0" hidden="1">2</definedName>
    <definedName name="solver_rlx" localSheetId="8" hidden="1">2</definedName>
    <definedName name="solver_rsd" localSheetId="2" hidden="1">0</definedName>
    <definedName name="solver_rsd" localSheetId="25" hidden="1">0</definedName>
    <definedName name="solver_rsd" localSheetId="22" hidden="1">0</definedName>
    <definedName name="solver_rsd" localSheetId="20" hidden="1">0</definedName>
    <definedName name="solver_rsd" localSheetId="16" hidden="1">0</definedName>
    <definedName name="solver_rsd" localSheetId="21" hidden="1">0</definedName>
    <definedName name="solver_rsd" localSheetId="17" hidden="1">0</definedName>
    <definedName name="solver_rsd" localSheetId="7" hidden="1">0</definedName>
    <definedName name="solver_rsd" localSheetId="1" hidden="1">0</definedName>
    <definedName name="solver_rsd" localSheetId="18" hidden="1">0</definedName>
    <definedName name="solver_rsd" localSheetId="6" hidden="1">0</definedName>
    <definedName name="solver_rsd" localSheetId="5" hidden="1">0</definedName>
    <definedName name="solver_rsd" localSheetId="11" hidden="1">0</definedName>
    <definedName name="solver_rsd" localSheetId="10" hidden="1">0</definedName>
    <definedName name="solver_rsd" localSheetId="13" hidden="1">0</definedName>
    <definedName name="solver_rsd" localSheetId="19" hidden="1">0</definedName>
    <definedName name="solver_rsd" localSheetId="0" hidden="1">0</definedName>
    <definedName name="solver_rsd" localSheetId="8" hidden="1">0</definedName>
    <definedName name="solver_scl" localSheetId="2" hidden="1">1</definedName>
    <definedName name="solver_scl" localSheetId="25" hidden="1">1</definedName>
    <definedName name="solver_scl" localSheetId="22" hidden="1">1</definedName>
    <definedName name="solver_scl" localSheetId="20" hidden="1">1</definedName>
    <definedName name="solver_scl" localSheetId="16" hidden="1">1</definedName>
    <definedName name="solver_scl" localSheetId="21" hidden="1">1</definedName>
    <definedName name="solver_scl" localSheetId="17" hidden="1">1</definedName>
    <definedName name="solver_scl" localSheetId="7" hidden="1">1</definedName>
    <definedName name="solver_scl" localSheetId="1" hidden="1">1</definedName>
    <definedName name="solver_scl" localSheetId="18" hidden="1">1</definedName>
    <definedName name="solver_scl" localSheetId="6" hidden="1">1</definedName>
    <definedName name="solver_scl" localSheetId="5" hidden="1">1</definedName>
    <definedName name="solver_scl" localSheetId="11" hidden="1">1</definedName>
    <definedName name="solver_scl" localSheetId="10" hidden="1">1</definedName>
    <definedName name="solver_scl" localSheetId="13" hidden="1">1</definedName>
    <definedName name="solver_scl" localSheetId="19" hidden="1">1</definedName>
    <definedName name="solver_scl" localSheetId="0" hidden="1">2</definedName>
    <definedName name="solver_scl" localSheetId="8" hidden="1">1</definedName>
    <definedName name="solver_sho" localSheetId="2" hidden="1">2</definedName>
    <definedName name="solver_sho" localSheetId="25" hidden="1">2</definedName>
    <definedName name="solver_sho" localSheetId="22" hidden="1">2</definedName>
    <definedName name="solver_sho" localSheetId="20" hidden="1">2</definedName>
    <definedName name="solver_sho" localSheetId="16" hidden="1">2</definedName>
    <definedName name="solver_sho" localSheetId="21" hidden="1">2</definedName>
    <definedName name="solver_sho" localSheetId="17" hidden="1">2</definedName>
    <definedName name="solver_sho" localSheetId="7" hidden="1">2</definedName>
    <definedName name="solver_sho" localSheetId="1" hidden="1">2</definedName>
    <definedName name="solver_sho" localSheetId="18" hidden="1">2</definedName>
    <definedName name="solver_sho" localSheetId="6" hidden="1">2</definedName>
    <definedName name="solver_sho" localSheetId="5" hidden="1">2</definedName>
    <definedName name="solver_sho" localSheetId="11" hidden="1">2</definedName>
    <definedName name="solver_sho" localSheetId="10" hidden="1">2</definedName>
    <definedName name="solver_sho" localSheetId="13" hidden="1">2</definedName>
    <definedName name="solver_sho" localSheetId="19" hidden="1">2</definedName>
    <definedName name="solver_sho" localSheetId="0" hidden="1">2</definedName>
    <definedName name="solver_sho" localSheetId="8" hidden="1">2</definedName>
    <definedName name="solver_ssz" localSheetId="2" hidden="1">100</definedName>
    <definedName name="solver_ssz" localSheetId="25" hidden="1">100</definedName>
    <definedName name="solver_ssz" localSheetId="22" hidden="1">100</definedName>
    <definedName name="solver_ssz" localSheetId="20" hidden="1">100</definedName>
    <definedName name="solver_ssz" localSheetId="16" hidden="1">100</definedName>
    <definedName name="solver_ssz" localSheetId="21" hidden="1">100</definedName>
    <definedName name="solver_ssz" localSheetId="17" hidden="1">100</definedName>
    <definedName name="solver_ssz" localSheetId="7" hidden="1">100</definedName>
    <definedName name="solver_ssz" localSheetId="1" hidden="1">100</definedName>
    <definedName name="solver_ssz" localSheetId="18" hidden="1">100</definedName>
    <definedName name="solver_ssz" localSheetId="6" hidden="1">100</definedName>
    <definedName name="solver_ssz" localSheetId="5" hidden="1">100</definedName>
    <definedName name="solver_ssz" localSheetId="11" hidden="1">100</definedName>
    <definedName name="solver_ssz" localSheetId="10" hidden="1">100</definedName>
    <definedName name="solver_ssz" localSheetId="13" hidden="1">100</definedName>
    <definedName name="solver_ssz" localSheetId="19" hidden="1">100</definedName>
    <definedName name="solver_ssz" localSheetId="0" hidden="1">100</definedName>
    <definedName name="solver_ssz" localSheetId="8" hidden="1">100</definedName>
    <definedName name="solver_tim" localSheetId="2" hidden="1">2147483647</definedName>
    <definedName name="solver_tim" localSheetId="25" hidden="1">2147483647</definedName>
    <definedName name="solver_tim" localSheetId="22" hidden="1">2147483647</definedName>
    <definedName name="solver_tim" localSheetId="20" hidden="1">2147483647</definedName>
    <definedName name="solver_tim" localSheetId="16" hidden="1">2147483647</definedName>
    <definedName name="solver_tim" localSheetId="21" hidden="1">2147483647</definedName>
    <definedName name="solver_tim" localSheetId="17" hidden="1">2147483647</definedName>
    <definedName name="solver_tim" localSheetId="7" hidden="1">2147483647</definedName>
    <definedName name="solver_tim" localSheetId="1" hidden="1">2147483647</definedName>
    <definedName name="solver_tim" localSheetId="18" hidden="1">2147483647</definedName>
    <definedName name="solver_tim" localSheetId="6" hidden="1">2147483647</definedName>
    <definedName name="solver_tim" localSheetId="5" hidden="1">2147483647</definedName>
    <definedName name="solver_tim" localSheetId="11" hidden="1">2147483647</definedName>
    <definedName name="solver_tim" localSheetId="10" hidden="1">2147483647</definedName>
    <definedName name="solver_tim" localSheetId="13" hidden="1">2147483647</definedName>
    <definedName name="solver_tim" localSheetId="19" hidden="1">2147483647</definedName>
    <definedName name="solver_tim" localSheetId="0" hidden="1">2147483647</definedName>
    <definedName name="solver_tim" localSheetId="8" hidden="1">2147483647</definedName>
    <definedName name="solver_tol" localSheetId="2" hidden="1">0.01</definedName>
    <definedName name="solver_tol" localSheetId="25" hidden="1">0.01</definedName>
    <definedName name="solver_tol" localSheetId="22" hidden="1">0.01</definedName>
    <definedName name="solver_tol" localSheetId="20" hidden="1">0.01</definedName>
    <definedName name="solver_tol" localSheetId="16" hidden="1">0.01</definedName>
    <definedName name="solver_tol" localSheetId="21" hidden="1">0.01</definedName>
    <definedName name="solver_tol" localSheetId="17" hidden="1">0.01</definedName>
    <definedName name="solver_tol" localSheetId="7" hidden="1">0.01</definedName>
    <definedName name="solver_tol" localSheetId="1" hidden="1">0.01</definedName>
    <definedName name="solver_tol" localSheetId="18" hidden="1">0.01</definedName>
    <definedName name="solver_tol" localSheetId="6" hidden="1">0.01</definedName>
    <definedName name="solver_tol" localSheetId="5" hidden="1">0.01</definedName>
    <definedName name="solver_tol" localSheetId="11" hidden="1">0.01</definedName>
    <definedName name="solver_tol" localSheetId="10" hidden="1">0.01</definedName>
    <definedName name="solver_tol" localSheetId="13" hidden="1">0.01</definedName>
    <definedName name="solver_tol" localSheetId="19" hidden="1">0.01</definedName>
    <definedName name="solver_tol" localSheetId="0" hidden="1">0.01</definedName>
    <definedName name="solver_tol" localSheetId="8" hidden="1">0.01</definedName>
    <definedName name="solver_typ" localSheetId="2" hidden="1">2</definedName>
    <definedName name="solver_typ" localSheetId="25" hidden="1">2</definedName>
    <definedName name="solver_typ" localSheetId="22" hidden="1">2</definedName>
    <definedName name="solver_typ" localSheetId="20" hidden="1">2</definedName>
    <definedName name="solver_typ" localSheetId="16" hidden="1">2</definedName>
    <definedName name="solver_typ" localSheetId="21" hidden="1">2</definedName>
    <definedName name="solver_typ" localSheetId="17" hidden="1">2</definedName>
    <definedName name="solver_typ" localSheetId="7" hidden="1">2</definedName>
    <definedName name="solver_typ" localSheetId="1" hidden="1">2</definedName>
    <definedName name="solver_typ" localSheetId="18" hidden="1">2</definedName>
    <definedName name="solver_typ" localSheetId="6" hidden="1">2</definedName>
    <definedName name="solver_typ" localSheetId="5" hidden="1">2</definedName>
    <definedName name="solver_typ" localSheetId="11" hidden="1">2</definedName>
    <definedName name="solver_typ" localSheetId="10" hidden="1">2</definedName>
    <definedName name="solver_typ" localSheetId="13" hidden="1">2</definedName>
    <definedName name="solver_typ" localSheetId="19" hidden="1">2</definedName>
    <definedName name="solver_typ" localSheetId="0" hidden="1">2</definedName>
    <definedName name="solver_typ" localSheetId="8" hidden="1">2</definedName>
    <definedName name="solver_val" localSheetId="2" hidden="1">0</definedName>
    <definedName name="solver_val" localSheetId="25" hidden="1">0</definedName>
    <definedName name="solver_val" localSheetId="22" hidden="1">0</definedName>
    <definedName name="solver_val" localSheetId="20" hidden="1">0</definedName>
    <definedName name="solver_val" localSheetId="16" hidden="1">0</definedName>
    <definedName name="solver_val" localSheetId="21" hidden="1">0</definedName>
    <definedName name="solver_val" localSheetId="17" hidden="1">0</definedName>
    <definedName name="solver_val" localSheetId="7" hidden="1">0</definedName>
    <definedName name="solver_val" localSheetId="1" hidden="1">0</definedName>
    <definedName name="solver_val" localSheetId="18" hidden="1">0</definedName>
    <definedName name="solver_val" localSheetId="6" hidden="1">0</definedName>
    <definedName name="solver_val" localSheetId="5" hidden="1">0</definedName>
    <definedName name="solver_val" localSheetId="11" hidden="1">0</definedName>
    <definedName name="solver_val" localSheetId="10" hidden="1">0</definedName>
    <definedName name="solver_val" localSheetId="13" hidden="1">0</definedName>
    <definedName name="solver_val" localSheetId="19" hidden="1">0</definedName>
    <definedName name="solver_val" localSheetId="0" hidden="1">0</definedName>
    <definedName name="solver_val" localSheetId="8" hidden="1">0</definedName>
    <definedName name="solver_ver" localSheetId="2" hidden="1">3</definedName>
    <definedName name="solver_ver" localSheetId="25" hidden="1">3</definedName>
    <definedName name="solver_ver" localSheetId="22" hidden="1">3</definedName>
    <definedName name="solver_ver" localSheetId="20" hidden="1">3</definedName>
    <definedName name="solver_ver" localSheetId="16" hidden="1">3</definedName>
    <definedName name="solver_ver" localSheetId="21" hidden="1">3</definedName>
    <definedName name="solver_ver" localSheetId="17" hidden="1">3</definedName>
    <definedName name="solver_ver" localSheetId="7" hidden="1">3</definedName>
    <definedName name="solver_ver" localSheetId="1" hidden="1">3</definedName>
    <definedName name="solver_ver" localSheetId="18" hidden="1">3</definedName>
    <definedName name="solver_ver" localSheetId="6" hidden="1">3</definedName>
    <definedName name="solver_ver" localSheetId="5" hidden="1">3</definedName>
    <definedName name="solver_ver" localSheetId="11" hidden="1">3</definedName>
    <definedName name="solver_ver" localSheetId="10" hidden="1">3</definedName>
    <definedName name="solver_ver" localSheetId="13" hidden="1">3</definedName>
    <definedName name="solver_ver" localSheetId="19" hidden="1">3</definedName>
    <definedName name="solver_ver" localSheetId="0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6" l="1"/>
  <c r="C4" i="39"/>
  <c r="C5" i="39"/>
  <c r="C6" i="39"/>
  <c r="C7" i="39"/>
  <c r="C8" i="39"/>
  <c r="C9" i="39"/>
  <c r="C10" i="39"/>
  <c r="C11" i="39"/>
  <c r="C12" i="39"/>
  <c r="C3" i="39"/>
  <c r="E12" i="39"/>
  <c r="E11" i="39"/>
  <c r="E10" i="39"/>
  <c r="B12" i="39"/>
  <c r="H12" i="39" s="1"/>
  <c r="I12" i="39" s="1"/>
  <c r="B11" i="39"/>
  <c r="H11" i="39"/>
  <c r="B10" i="39"/>
  <c r="H10" i="39"/>
  <c r="E9" i="39"/>
  <c r="B9" i="39"/>
  <c r="H9" i="39" s="1"/>
  <c r="E8" i="39"/>
  <c r="B8" i="39"/>
  <c r="H8" i="39" s="1"/>
  <c r="E7" i="39"/>
  <c r="B7" i="39"/>
  <c r="H7" i="39" s="1"/>
  <c r="E6" i="39"/>
  <c r="B6" i="39"/>
  <c r="H6" i="39" s="1"/>
  <c r="E5" i="39"/>
  <c r="B5" i="39"/>
  <c r="E4" i="39"/>
  <c r="B4" i="39"/>
  <c r="H4" i="39" s="1"/>
  <c r="E3" i="39"/>
  <c r="B3" i="39"/>
  <c r="H3" i="39" s="1"/>
  <c r="H55" i="12"/>
  <c r="G52" i="12"/>
  <c r="H21" i="38"/>
  <c r="H22" i="38"/>
  <c r="H23" i="38"/>
  <c r="H24" i="38"/>
  <c r="H25" i="38"/>
  <c r="H26" i="38"/>
  <c r="H27" i="38"/>
  <c r="H20" i="38"/>
  <c r="E27" i="38"/>
  <c r="B27" i="38"/>
  <c r="E26" i="38"/>
  <c r="B26" i="38"/>
  <c r="E25" i="38"/>
  <c r="B25" i="38"/>
  <c r="C25" i="38" s="1"/>
  <c r="E24" i="38"/>
  <c r="B24" i="38"/>
  <c r="C24" i="38" s="1"/>
  <c r="E23" i="38"/>
  <c r="B23" i="38"/>
  <c r="E22" i="38"/>
  <c r="B22" i="38"/>
  <c r="E21" i="38"/>
  <c r="B21" i="38"/>
  <c r="E20" i="38"/>
  <c r="B20" i="38"/>
  <c r="I20" i="38" s="1"/>
  <c r="H8" i="38"/>
  <c r="I8" i="38" s="1"/>
  <c r="H9" i="38"/>
  <c r="I9" i="38" s="1"/>
  <c r="H10" i="38"/>
  <c r="I10" i="38" s="1"/>
  <c r="H11" i="38"/>
  <c r="I11" i="38" s="1"/>
  <c r="E4" i="38"/>
  <c r="E5" i="38"/>
  <c r="E6" i="38"/>
  <c r="E7" i="38"/>
  <c r="E8" i="38"/>
  <c r="E9" i="38"/>
  <c r="E10" i="38"/>
  <c r="E11" i="38"/>
  <c r="E12" i="38"/>
  <c r="E13" i="38"/>
  <c r="E14" i="38"/>
  <c r="E3" i="38"/>
  <c r="B4" i="38"/>
  <c r="C4" i="38" s="1"/>
  <c r="B5" i="38"/>
  <c r="C5" i="38" s="1"/>
  <c r="B6" i="38"/>
  <c r="C6" i="38" s="1"/>
  <c r="B7" i="38"/>
  <c r="C7" i="38" s="1"/>
  <c r="B8" i="38"/>
  <c r="C8" i="38" s="1"/>
  <c r="B9" i="38"/>
  <c r="C9" i="38" s="1"/>
  <c r="B10" i="38"/>
  <c r="C10" i="38" s="1"/>
  <c r="B11" i="38"/>
  <c r="C11" i="38" s="1"/>
  <c r="B12" i="38"/>
  <c r="C12" i="38" s="1"/>
  <c r="B13" i="38"/>
  <c r="H13" i="38" s="1"/>
  <c r="I13" i="38" s="1"/>
  <c r="B14" i="38"/>
  <c r="H14" i="38" s="1"/>
  <c r="I14" i="38" s="1"/>
  <c r="B3" i="38"/>
  <c r="H3" i="38" s="1"/>
  <c r="D3" i="15"/>
  <c r="D2" i="15"/>
  <c r="C4" i="37"/>
  <c r="C5" i="37"/>
  <c r="C3" i="37"/>
  <c r="H5" i="37"/>
  <c r="I5" i="37" s="1"/>
  <c r="E4" i="37"/>
  <c r="E5" i="37"/>
  <c r="E3" i="37"/>
  <c r="B5" i="37"/>
  <c r="B4" i="37"/>
  <c r="H4" i="37" s="1"/>
  <c r="I4" i="37" s="1"/>
  <c r="B3" i="37"/>
  <c r="H3" i="37" s="1"/>
  <c r="G53" i="36"/>
  <c r="H53" i="36" s="1"/>
  <c r="B48" i="36"/>
  <c r="G48" i="36" s="1"/>
  <c r="H48" i="36" s="1"/>
  <c r="B49" i="36"/>
  <c r="G49" i="36" s="1"/>
  <c r="H49" i="36" s="1"/>
  <c r="B50" i="36"/>
  <c r="G50" i="36" s="1"/>
  <c r="H50" i="36" s="1"/>
  <c r="B51" i="36"/>
  <c r="G51" i="36" s="1"/>
  <c r="H51" i="36" s="1"/>
  <c r="B52" i="36"/>
  <c r="G52" i="36" s="1"/>
  <c r="H52" i="36" s="1"/>
  <c r="B53" i="36"/>
  <c r="B54" i="36"/>
  <c r="G54" i="36" s="1"/>
  <c r="H54" i="36" s="1"/>
  <c r="B55" i="36"/>
  <c r="G55" i="36" s="1"/>
  <c r="H55" i="36" s="1"/>
  <c r="B56" i="36"/>
  <c r="G56" i="36" s="1"/>
  <c r="H56" i="36" s="1"/>
  <c r="B57" i="36"/>
  <c r="G57" i="36" s="1"/>
  <c r="H57" i="36" s="1"/>
  <c r="B58" i="36"/>
  <c r="G58" i="36" s="1"/>
  <c r="H58" i="36" s="1"/>
  <c r="B59" i="36"/>
  <c r="G59" i="36" s="1"/>
  <c r="H59" i="36" s="1"/>
  <c r="B60" i="36"/>
  <c r="G60" i="36" s="1"/>
  <c r="H60" i="36" s="1"/>
  <c r="B61" i="36"/>
  <c r="G61" i="36" s="1"/>
  <c r="H61" i="36" s="1"/>
  <c r="B62" i="36"/>
  <c r="G62" i="36" s="1"/>
  <c r="H62" i="36" s="1"/>
  <c r="B63" i="36"/>
  <c r="G63" i="36" s="1"/>
  <c r="H63" i="36" s="1"/>
  <c r="B64" i="36"/>
  <c r="G64" i="36" s="1"/>
  <c r="H64" i="36" s="1"/>
  <c r="B65" i="36"/>
  <c r="G65" i="36" s="1"/>
  <c r="H65" i="36" s="1"/>
  <c r="B66" i="36"/>
  <c r="G66" i="36" s="1"/>
  <c r="H66" i="36" s="1"/>
  <c r="B67" i="36"/>
  <c r="G67" i="36" s="1"/>
  <c r="H67" i="36" s="1"/>
  <c r="B68" i="36"/>
  <c r="G68" i="36" s="1"/>
  <c r="H68" i="36" s="1"/>
  <c r="B69" i="36"/>
  <c r="G69" i="36" s="1"/>
  <c r="H69" i="36" s="1"/>
  <c r="B70" i="36"/>
  <c r="G70" i="36" s="1"/>
  <c r="H70" i="36" s="1"/>
  <c r="B47" i="36"/>
  <c r="G47" i="36" s="1"/>
  <c r="G8" i="36"/>
  <c r="H8" i="36" s="1"/>
  <c r="G9" i="36"/>
  <c r="H9" i="36" s="1"/>
  <c r="G10" i="36"/>
  <c r="H10" i="36" s="1"/>
  <c r="G11" i="36"/>
  <c r="H11" i="36" s="1"/>
  <c r="G16" i="36"/>
  <c r="H16" i="36" s="1"/>
  <c r="G17" i="36"/>
  <c r="H17" i="36" s="1"/>
  <c r="G18" i="36"/>
  <c r="H18" i="36" s="1"/>
  <c r="G19" i="36"/>
  <c r="H19" i="36" s="1"/>
  <c r="G24" i="36"/>
  <c r="H24" i="36" s="1"/>
  <c r="G25" i="36"/>
  <c r="H25" i="36" s="1"/>
  <c r="G26" i="36"/>
  <c r="H26" i="36" s="1"/>
  <c r="G27" i="36"/>
  <c r="H27" i="36" s="1"/>
  <c r="G32" i="36"/>
  <c r="H32" i="36" s="1"/>
  <c r="G33" i="36"/>
  <c r="H33" i="36" s="1"/>
  <c r="G34" i="36"/>
  <c r="H34" i="36" s="1"/>
  <c r="G35" i="36"/>
  <c r="H35" i="36" s="1"/>
  <c r="G40" i="36"/>
  <c r="H40" i="36" s="1"/>
  <c r="G41" i="36"/>
  <c r="H41" i="36" s="1"/>
  <c r="G3" i="36"/>
  <c r="B4" i="36"/>
  <c r="G4" i="36" s="1"/>
  <c r="H4" i="36" s="1"/>
  <c r="B5" i="36"/>
  <c r="G5" i="36" s="1"/>
  <c r="H5" i="36" s="1"/>
  <c r="B6" i="36"/>
  <c r="G6" i="36" s="1"/>
  <c r="H6" i="36" s="1"/>
  <c r="B7" i="36"/>
  <c r="G7" i="36" s="1"/>
  <c r="H7" i="36" s="1"/>
  <c r="B8" i="36"/>
  <c r="B9" i="36"/>
  <c r="B10" i="36"/>
  <c r="B11" i="36"/>
  <c r="B12" i="36"/>
  <c r="G12" i="36" s="1"/>
  <c r="H12" i="36" s="1"/>
  <c r="B13" i="36"/>
  <c r="G13" i="36" s="1"/>
  <c r="H13" i="36" s="1"/>
  <c r="B14" i="36"/>
  <c r="G14" i="36" s="1"/>
  <c r="H14" i="36" s="1"/>
  <c r="B15" i="36"/>
  <c r="G15" i="36" s="1"/>
  <c r="H15" i="36" s="1"/>
  <c r="B16" i="36"/>
  <c r="B17" i="36"/>
  <c r="B18" i="36"/>
  <c r="B19" i="36"/>
  <c r="B20" i="36"/>
  <c r="G20" i="36" s="1"/>
  <c r="H20" i="36" s="1"/>
  <c r="B21" i="36"/>
  <c r="G21" i="36" s="1"/>
  <c r="H21" i="36" s="1"/>
  <c r="B22" i="36"/>
  <c r="G22" i="36" s="1"/>
  <c r="H22" i="36" s="1"/>
  <c r="B23" i="36"/>
  <c r="G23" i="36" s="1"/>
  <c r="H23" i="36" s="1"/>
  <c r="B24" i="36"/>
  <c r="B25" i="36"/>
  <c r="B26" i="36"/>
  <c r="B27" i="36"/>
  <c r="B28" i="36"/>
  <c r="G28" i="36" s="1"/>
  <c r="H28" i="36" s="1"/>
  <c r="B29" i="36"/>
  <c r="G29" i="36" s="1"/>
  <c r="H29" i="36" s="1"/>
  <c r="B30" i="36"/>
  <c r="G30" i="36" s="1"/>
  <c r="H30" i="36" s="1"/>
  <c r="B31" i="36"/>
  <c r="G31" i="36" s="1"/>
  <c r="H31" i="36" s="1"/>
  <c r="B32" i="36"/>
  <c r="B33" i="36"/>
  <c r="B34" i="36"/>
  <c r="B35" i="36"/>
  <c r="B36" i="36"/>
  <c r="G36" i="36" s="1"/>
  <c r="H36" i="36" s="1"/>
  <c r="B37" i="36"/>
  <c r="G37" i="36" s="1"/>
  <c r="H37" i="36" s="1"/>
  <c r="B38" i="36"/>
  <c r="G38" i="36" s="1"/>
  <c r="H38" i="36" s="1"/>
  <c r="B39" i="36"/>
  <c r="G39" i="36" s="1"/>
  <c r="H39" i="36" s="1"/>
  <c r="B40" i="36"/>
  <c r="B41" i="36"/>
  <c r="B3" i="36"/>
  <c r="I10" i="39" l="1"/>
  <c r="I11" i="39"/>
  <c r="I9" i="39"/>
  <c r="I8" i="39"/>
  <c r="I6" i="39"/>
  <c r="H5" i="39"/>
  <c r="I5" i="39" s="1"/>
  <c r="I7" i="39"/>
  <c r="I4" i="39"/>
  <c r="I3" i="39"/>
  <c r="I21" i="38"/>
  <c r="I23" i="38"/>
  <c r="H7" i="38"/>
  <c r="I7" i="38" s="1"/>
  <c r="I22" i="38"/>
  <c r="I26" i="38"/>
  <c r="H6" i="38"/>
  <c r="I6" i="38" s="1"/>
  <c r="H5" i="38"/>
  <c r="I5" i="38" s="1"/>
  <c r="I27" i="38"/>
  <c r="H12" i="38"/>
  <c r="I12" i="38" s="1"/>
  <c r="H4" i="38"/>
  <c r="I4" i="38" s="1"/>
  <c r="C21" i="38"/>
  <c r="C26" i="38"/>
  <c r="I24" i="38"/>
  <c r="C27" i="38"/>
  <c r="I25" i="38"/>
  <c r="C23" i="38"/>
  <c r="C20" i="38"/>
  <c r="C22" i="38"/>
  <c r="C3" i="38"/>
  <c r="C14" i="38"/>
  <c r="C13" i="38"/>
  <c r="I3" i="38"/>
  <c r="I3" i="37"/>
  <c r="H47" i="36"/>
  <c r="I14" i="39" l="1"/>
  <c r="I13" i="39"/>
  <c r="I28" i="38"/>
  <c r="I16" i="38"/>
  <c r="I29" i="38"/>
  <c r="I15" i="38"/>
  <c r="I6" i="37"/>
  <c r="I7" i="37"/>
  <c r="H71" i="36"/>
  <c r="H72" i="36"/>
  <c r="P22" i="35"/>
  <c r="M3" i="35"/>
  <c r="M4" i="35"/>
  <c r="M5" i="35"/>
  <c r="M6" i="35"/>
  <c r="M7" i="35"/>
  <c r="M8" i="35"/>
  <c r="M9" i="35"/>
  <c r="M10" i="35"/>
  <c r="M11" i="35"/>
  <c r="M12" i="35"/>
  <c r="M13" i="35"/>
  <c r="M14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M27" i="35"/>
  <c r="M2" i="35"/>
  <c r="D26" i="21"/>
  <c r="N23" i="35"/>
  <c r="O6" i="35"/>
  <c r="P3" i="35"/>
  <c r="P4" i="35"/>
  <c r="P5" i="35"/>
  <c r="P6" i="35"/>
  <c r="P7" i="35"/>
  <c r="P8" i="35"/>
  <c r="P9" i="35"/>
  <c r="P10" i="35"/>
  <c r="P11" i="35"/>
  <c r="P12" i="35"/>
  <c r="P13" i="35"/>
  <c r="P14" i="35"/>
  <c r="P15" i="35"/>
  <c r="P16" i="35"/>
  <c r="P17" i="35"/>
  <c r="P18" i="35"/>
  <c r="P19" i="35"/>
  <c r="P20" i="35"/>
  <c r="P21" i="35"/>
  <c r="P23" i="35"/>
  <c r="P24" i="35"/>
  <c r="P25" i="35"/>
  <c r="P26" i="35"/>
  <c r="P27" i="35"/>
  <c r="P2" i="35"/>
  <c r="O3" i="35"/>
  <c r="O4" i="35"/>
  <c r="O5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" i="35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4" i="35"/>
  <c r="N25" i="35"/>
  <c r="N26" i="35"/>
  <c r="N27" i="35"/>
  <c r="N2" i="35"/>
  <c r="J3" i="35"/>
  <c r="K3" i="35"/>
  <c r="J4" i="35"/>
  <c r="K4" i="35"/>
  <c r="J5" i="35"/>
  <c r="K5" i="35"/>
  <c r="J6" i="35"/>
  <c r="K6" i="35"/>
  <c r="J7" i="35"/>
  <c r="K7" i="35"/>
  <c r="J8" i="35"/>
  <c r="K8" i="35"/>
  <c r="J9" i="35"/>
  <c r="K9" i="35"/>
  <c r="J10" i="35"/>
  <c r="K10" i="35"/>
  <c r="J11" i="35"/>
  <c r="K11" i="35"/>
  <c r="J12" i="35"/>
  <c r="K12" i="35"/>
  <c r="J13" i="35"/>
  <c r="K13" i="35"/>
  <c r="J14" i="35"/>
  <c r="K14" i="35"/>
  <c r="J15" i="35"/>
  <c r="K15" i="35"/>
  <c r="J16" i="35"/>
  <c r="K16" i="35"/>
  <c r="J17" i="35"/>
  <c r="K17" i="35"/>
  <c r="J18" i="35"/>
  <c r="K18" i="35"/>
  <c r="J19" i="35"/>
  <c r="K19" i="35"/>
  <c r="J20" i="35"/>
  <c r="K20" i="35"/>
  <c r="J21" i="35"/>
  <c r="K21" i="35"/>
  <c r="J22" i="35"/>
  <c r="K22" i="35"/>
  <c r="J23" i="35"/>
  <c r="K23" i="35"/>
  <c r="J24" i="35"/>
  <c r="K24" i="35"/>
  <c r="J25" i="35"/>
  <c r="K25" i="35"/>
  <c r="J26" i="35"/>
  <c r="K26" i="35"/>
  <c r="J27" i="35"/>
  <c r="K27" i="35"/>
  <c r="K2" i="35"/>
  <c r="J2" i="35"/>
  <c r="H22" i="34"/>
  <c r="H23" i="34"/>
  <c r="H24" i="34"/>
  <c r="H25" i="34"/>
  <c r="H26" i="34"/>
  <c r="H27" i="34"/>
  <c r="H28" i="34"/>
  <c r="I28" i="34" s="1"/>
  <c r="H29" i="34"/>
  <c r="H30" i="34"/>
  <c r="H31" i="34"/>
  <c r="H32" i="34"/>
  <c r="H33" i="34"/>
  <c r="H34" i="34"/>
  <c r="H35" i="34"/>
  <c r="H21" i="34"/>
  <c r="D22" i="34"/>
  <c r="D23" i="34"/>
  <c r="D24" i="34"/>
  <c r="I24" i="34" s="1"/>
  <c r="D25" i="34"/>
  <c r="D26" i="34"/>
  <c r="D27" i="34"/>
  <c r="D28" i="34"/>
  <c r="D29" i="34"/>
  <c r="D30" i="34"/>
  <c r="D31" i="34"/>
  <c r="D32" i="34"/>
  <c r="D33" i="34"/>
  <c r="D34" i="34"/>
  <c r="D35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D21" i="34"/>
  <c r="A21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3" i="34"/>
  <c r="D3" i="23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3" i="34"/>
  <c r="H45" i="33"/>
  <c r="I45" i="33" s="1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B59" i="33"/>
  <c r="H59" i="33" s="1"/>
  <c r="I59" i="33" s="1"/>
  <c r="B39" i="33"/>
  <c r="H39" i="33" s="1"/>
  <c r="B40" i="33"/>
  <c r="H40" i="33" s="1"/>
  <c r="B41" i="33"/>
  <c r="H41" i="33" s="1"/>
  <c r="I41" i="33" s="1"/>
  <c r="B42" i="33"/>
  <c r="H42" i="33" s="1"/>
  <c r="B43" i="33"/>
  <c r="H43" i="33" s="1"/>
  <c r="I43" i="33" s="1"/>
  <c r="B44" i="33"/>
  <c r="H44" i="33" s="1"/>
  <c r="I44" i="33" s="1"/>
  <c r="B45" i="33"/>
  <c r="B46" i="33"/>
  <c r="H46" i="33" s="1"/>
  <c r="B47" i="33"/>
  <c r="H47" i="33" s="1"/>
  <c r="B48" i="33"/>
  <c r="H48" i="33" s="1"/>
  <c r="B49" i="33"/>
  <c r="H49" i="33" s="1"/>
  <c r="I49" i="33" s="1"/>
  <c r="B50" i="33"/>
  <c r="H50" i="33" s="1"/>
  <c r="B51" i="33"/>
  <c r="H51" i="33" s="1"/>
  <c r="I51" i="33" s="1"/>
  <c r="B52" i="33"/>
  <c r="H52" i="33" s="1"/>
  <c r="I52" i="33" s="1"/>
  <c r="B53" i="33"/>
  <c r="H53" i="33" s="1"/>
  <c r="I53" i="33" s="1"/>
  <c r="B54" i="33"/>
  <c r="H54" i="33" s="1"/>
  <c r="B55" i="33"/>
  <c r="H55" i="33" s="1"/>
  <c r="B56" i="33"/>
  <c r="H56" i="33" s="1"/>
  <c r="B57" i="33"/>
  <c r="H57" i="33" s="1"/>
  <c r="I57" i="33" s="1"/>
  <c r="B58" i="33"/>
  <c r="H58" i="33" s="1"/>
  <c r="D38" i="33"/>
  <c r="B38" i="33"/>
  <c r="H38" i="33" s="1"/>
  <c r="H18" i="33"/>
  <c r="H28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B15" i="33"/>
  <c r="H15" i="33" s="1"/>
  <c r="I15" i="33" s="1"/>
  <c r="B16" i="33"/>
  <c r="H16" i="33" s="1"/>
  <c r="B17" i="33"/>
  <c r="H17" i="33" s="1"/>
  <c r="B18" i="33"/>
  <c r="B19" i="33"/>
  <c r="H19" i="33" s="1"/>
  <c r="I19" i="33" s="1"/>
  <c r="B20" i="33"/>
  <c r="H20" i="33" s="1"/>
  <c r="B21" i="33"/>
  <c r="H21" i="33" s="1"/>
  <c r="B22" i="33"/>
  <c r="H22" i="33" s="1"/>
  <c r="B23" i="33"/>
  <c r="H23" i="33" s="1"/>
  <c r="I23" i="33" s="1"/>
  <c r="B24" i="33"/>
  <c r="H24" i="33" s="1"/>
  <c r="B25" i="33"/>
  <c r="H25" i="33" s="1"/>
  <c r="I25" i="33" s="1"/>
  <c r="B26" i="33"/>
  <c r="H26" i="33" s="1"/>
  <c r="B27" i="33"/>
  <c r="H27" i="33" s="1"/>
  <c r="I27" i="33" s="1"/>
  <c r="B28" i="33"/>
  <c r="B29" i="33"/>
  <c r="H29" i="33" s="1"/>
  <c r="B30" i="33"/>
  <c r="H30" i="33" s="1"/>
  <c r="B31" i="33"/>
  <c r="H31" i="33" s="1"/>
  <c r="I31" i="33" s="1"/>
  <c r="B32" i="33"/>
  <c r="H32" i="33" s="1"/>
  <c r="B33" i="33"/>
  <c r="H33" i="33" s="1"/>
  <c r="I33" i="33" s="1"/>
  <c r="D14" i="33"/>
  <c r="B14" i="33"/>
  <c r="H14" i="33" s="1"/>
  <c r="D4" i="33"/>
  <c r="D5" i="33"/>
  <c r="D6" i="33"/>
  <c r="D7" i="33"/>
  <c r="D8" i="33"/>
  <c r="D9" i="33"/>
  <c r="D3" i="33"/>
  <c r="H9" i="33"/>
  <c r="B4" i="33"/>
  <c r="H4" i="33" s="1"/>
  <c r="I4" i="33" s="1"/>
  <c r="B5" i="33"/>
  <c r="H5" i="33" s="1"/>
  <c r="I5" i="33" s="1"/>
  <c r="B6" i="33"/>
  <c r="H6" i="33" s="1"/>
  <c r="I6" i="33" s="1"/>
  <c r="B7" i="33"/>
  <c r="H7" i="33" s="1"/>
  <c r="B8" i="33"/>
  <c r="H8" i="33" s="1"/>
  <c r="B9" i="33"/>
  <c r="B3" i="33"/>
  <c r="H3" i="33" s="1"/>
  <c r="D4" i="23"/>
  <c r="E4" i="23"/>
  <c r="D2" i="23"/>
  <c r="E3" i="23"/>
  <c r="E2" i="23"/>
  <c r="I18" i="33" l="1"/>
  <c r="I14" i="34"/>
  <c r="I6" i="34"/>
  <c r="I30" i="34"/>
  <c r="I22" i="34"/>
  <c r="I29" i="34"/>
  <c r="I35" i="34"/>
  <c r="I27" i="34"/>
  <c r="I58" i="33"/>
  <c r="I50" i="33"/>
  <c r="I42" i="33"/>
  <c r="I34" i="34"/>
  <c r="I26" i="34"/>
  <c r="I33" i="34"/>
  <c r="I25" i="34"/>
  <c r="I56" i="33"/>
  <c r="I48" i="33"/>
  <c r="I40" i="33"/>
  <c r="I16" i="34"/>
  <c r="I8" i="34"/>
  <c r="I32" i="34"/>
  <c r="I32" i="33"/>
  <c r="I24" i="33"/>
  <c r="I16" i="33"/>
  <c r="I55" i="33"/>
  <c r="I47" i="33"/>
  <c r="I39" i="33"/>
  <c r="I31" i="34"/>
  <c r="I23" i="34"/>
  <c r="I5" i="34"/>
  <c r="I13" i="34"/>
  <c r="I9" i="34"/>
  <c r="I21" i="34"/>
  <c r="I15" i="34"/>
  <c r="I7" i="34"/>
  <c r="I12" i="34"/>
  <c r="I4" i="34"/>
  <c r="I11" i="34"/>
  <c r="I10" i="34"/>
  <c r="I3" i="34"/>
  <c r="I18" i="34" s="1"/>
  <c r="I54" i="33"/>
  <c r="I46" i="33"/>
  <c r="I26" i="33"/>
  <c r="I17" i="33"/>
  <c r="I30" i="33"/>
  <c r="I22" i="33"/>
  <c r="I29" i="33"/>
  <c r="I21" i="33"/>
  <c r="I28" i="33"/>
  <c r="I20" i="33"/>
  <c r="I38" i="33"/>
  <c r="I14" i="33"/>
  <c r="I7" i="33"/>
  <c r="I9" i="33"/>
  <c r="I8" i="33"/>
  <c r="I3" i="33"/>
  <c r="I11" i="33" s="1"/>
  <c r="H4" i="22"/>
  <c r="H5" i="22"/>
  <c r="H6" i="22"/>
  <c r="H3" i="22"/>
  <c r="D4" i="22"/>
  <c r="D5" i="22"/>
  <c r="D6" i="22"/>
  <c r="A4" i="22"/>
  <c r="A5" i="22"/>
  <c r="A6" i="22"/>
  <c r="D3" i="22"/>
  <c r="A3" i="22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H27" i="21"/>
  <c r="H28" i="21"/>
  <c r="I28" i="21" s="1"/>
  <c r="H29" i="21"/>
  <c r="H30" i="21"/>
  <c r="I30" i="21" s="1"/>
  <c r="H31" i="21"/>
  <c r="I31" i="21" s="1"/>
  <c r="H32" i="21"/>
  <c r="H33" i="21"/>
  <c r="I33" i="21" s="1"/>
  <c r="H34" i="21"/>
  <c r="I34" i="21" s="1"/>
  <c r="H35" i="21"/>
  <c r="H36" i="21"/>
  <c r="I36" i="21" s="1"/>
  <c r="H37" i="21"/>
  <c r="H38" i="21"/>
  <c r="I38" i="21" s="1"/>
  <c r="H39" i="21"/>
  <c r="I39" i="21" s="1"/>
  <c r="H40" i="21"/>
  <c r="H41" i="21"/>
  <c r="I41" i="21" s="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H26" i="21"/>
  <c r="A26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3" i="21"/>
  <c r="H4" i="21"/>
  <c r="I4" i="21" s="1"/>
  <c r="H5" i="21"/>
  <c r="H6" i="21"/>
  <c r="H7" i="21"/>
  <c r="H8" i="21"/>
  <c r="H9" i="21"/>
  <c r="H10" i="21"/>
  <c r="H11" i="21"/>
  <c r="H12" i="21"/>
  <c r="I12" i="21" s="1"/>
  <c r="H13" i="21"/>
  <c r="H14" i="21"/>
  <c r="H15" i="21"/>
  <c r="H16" i="21"/>
  <c r="H17" i="21"/>
  <c r="H18" i="21"/>
  <c r="H19" i="21"/>
  <c r="H20" i="21"/>
  <c r="I20" i="21" s="1"/>
  <c r="H21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H3" i="21"/>
  <c r="D3" i="21"/>
  <c r="H3" i="20"/>
  <c r="D3" i="20"/>
  <c r="D4" i="20"/>
  <c r="D5" i="20"/>
  <c r="B3" i="20"/>
  <c r="B4" i="20"/>
  <c r="H4" i="20" s="1"/>
  <c r="I4" i="20" s="1"/>
  <c r="B5" i="20"/>
  <c r="H5" i="20" s="1"/>
  <c r="I5" i="20" s="1"/>
  <c r="B2" i="20"/>
  <c r="H2" i="20" s="1"/>
  <c r="D2" i="20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H58" i="19"/>
  <c r="H59" i="19"/>
  <c r="I59" i="19" s="1"/>
  <c r="H60" i="19"/>
  <c r="I60" i="19" s="1"/>
  <c r="H61" i="19"/>
  <c r="H62" i="19"/>
  <c r="H63" i="19"/>
  <c r="I63" i="19" s="1"/>
  <c r="H64" i="19"/>
  <c r="I64" i="19" s="1"/>
  <c r="H65" i="19"/>
  <c r="I65" i="19" s="1"/>
  <c r="H66" i="19"/>
  <c r="H67" i="19"/>
  <c r="I67" i="19" s="1"/>
  <c r="H68" i="19"/>
  <c r="I68" i="19" s="1"/>
  <c r="H69" i="19"/>
  <c r="H70" i="19"/>
  <c r="H71" i="19"/>
  <c r="I71" i="19" s="1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57" i="19"/>
  <c r="H57" i="19"/>
  <c r="A57" i="19"/>
  <c r="H51" i="19"/>
  <c r="I51" i="19" s="1"/>
  <c r="H52" i="19"/>
  <c r="I52" i="19" s="1"/>
  <c r="D49" i="19"/>
  <c r="D50" i="19"/>
  <c r="D51" i="19"/>
  <c r="D52" i="19"/>
  <c r="D48" i="19"/>
  <c r="B49" i="19"/>
  <c r="H49" i="19" s="1"/>
  <c r="I49" i="19" s="1"/>
  <c r="B50" i="19"/>
  <c r="H50" i="19" s="1"/>
  <c r="I50" i="19" s="1"/>
  <c r="B51" i="19"/>
  <c r="B52" i="19"/>
  <c r="B48" i="19"/>
  <c r="H48" i="19" s="1"/>
  <c r="A36" i="19"/>
  <c r="A37" i="19"/>
  <c r="A38" i="19"/>
  <c r="A39" i="19"/>
  <c r="A40" i="19"/>
  <c r="A41" i="19"/>
  <c r="A42" i="19"/>
  <c r="A43" i="19"/>
  <c r="H36" i="19"/>
  <c r="H37" i="19"/>
  <c r="H38" i="19"/>
  <c r="H39" i="19"/>
  <c r="I39" i="19" s="1"/>
  <c r="H40" i="19"/>
  <c r="I40" i="19" s="1"/>
  <c r="H41" i="19"/>
  <c r="H42" i="19"/>
  <c r="H43" i="19"/>
  <c r="D36" i="19"/>
  <c r="D37" i="19"/>
  <c r="D38" i="19"/>
  <c r="D39" i="19"/>
  <c r="D40" i="19"/>
  <c r="D41" i="19"/>
  <c r="D42" i="19"/>
  <c r="D43" i="19"/>
  <c r="H35" i="19"/>
  <c r="D35" i="19"/>
  <c r="A35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H19" i="19"/>
  <c r="H20" i="19"/>
  <c r="I20" i="19" s="1"/>
  <c r="H21" i="19"/>
  <c r="I21" i="19" s="1"/>
  <c r="H22" i="19"/>
  <c r="H23" i="19"/>
  <c r="I23" i="19" s="1"/>
  <c r="H24" i="19"/>
  <c r="I24" i="19" s="1"/>
  <c r="H25" i="19"/>
  <c r="H26" i="19"/>
  <c r="H27" i="19"/>
  <c r="H28" i="19"/>
  <c r="I28" i="19" s="1"/>
  <c r="H29" i="19"/>
  <c r="I29" i="19" s="1"/>
  <c r="H30" i="19"/>
  <c r="H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18" i="19"/>
  <c r="A18" i="19"/>
  <c r="A8" i="19"/>
  <c r="A9" i="19"/>
  <c r="A10" i="19"/>
  <c r="A11" i="19"/>
  <c r="A12" i="19"/>
  <c r="A13" i="19"/>
  <c r="H8" i="19"/>
  <c r="I8" i="19" s="1"/>
  <c r="H12" i="19"/>
  <c r="I12" i="19" s="1"/>
  <c r="H10" i="19"/>
  <c r="H11" i="19"/>
  <c r="I11" i="19" s="1"/>
  <c r="H13" i="19"/>
  <c r="I13" i="19" s="1"/>
  <c r="H7" i="19"/>
  <c r="D8" i="19"/>
  <c r="D9" i="19"/>
  <c r="D10" i="19"/>
  <c r="D11" i="19"/>
  <c r="D12" i="19"/>
  <c r="D13" i="19"/>
  <c r="D7" i="19"/>
  <c r="A7" i="19"/>
  <c r="G3" i="19"/>
  <c r="E3" i="19"/>
  <c r="F3" i="19"/>
  <c r="H51" i="18"/>
  <c r="I51" i="18" s="1"/>
  <c r="H52" i="18"/>
  <c r="H53" i="18"/>
  <c r="I53" i="18" s="1"/>
  <c r="H54" i="18"/>
  <c r="I54" i="18" s="1"/>
  <c r="D51" i="18"/>
  <c r="D52" i="18"/>
  <c r="D53" i="18"/>
  <c r="D54" i="18"/>
  <c r="D55" i="18"/>
  <c r="D50" i="18"/>
  <c r="B51" i="18"/>
  <c r="B52" i="18"/>
  <c r="B53" i="18"/>
  <c r="B54" i="18"/>
  <c r="B55" i="18"/>
  <c r="H55" i="18" s="1"/>
  <c r="I55" i="18" s="1"/>
  <c r="B50" i="18"/>
  <c r="H50" i="18" s="1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H31" i="18"/>
  <c r="H32" i="18"/>
  <c r="H33" i="18"/>
  <c r="I33" i="18" s="1"/>
  <c r="H34" i="18"/>
  <c r="H35" i="18"/>
  <c r="H36" i="18"/>
  <c r="I36" i="18" s="1"/>
  <c r="H37" i="18"/>
  <c r="H38" i="18"/>
  <c r="H39" i="18"/>
  <c r="H40" i="18"/>
  <c r="H41" i="18"/>
  <c r="I41" i="18" s="1"/>
  <c r="H42" i="18"/>
  <c r="H43" i="18"/>
  <c r="H44" i="18"/>
  <c r="I44" i="18" s="1"/>
  <c r="H45" i="18"/>
  <c r="H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D30" i="18"/>
  <c r="A30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H5" i="18"/>
  <c r="I5" i="18" s="1"/>
  <c r="H6" i="18"/>
  <c r="I6" i="18" s="1"/>
  <c r="H7" i="18"/>
  <c r="H8" i="18"/>
  <c r="I8" i="18" s="1"/>
  <c r="H9" i="18"/>
  <c r="I9" i="18" s="1"/>
  <c r="H10" i="18"/>
  <c r="H11" i="18"/>
  <c r="H12" i="18"/>
  <c r="H13" i="18"/>
  <c r="I13" i="18" s="1"/>
  <c r="H14" i="18"/>
  <c r="I14" i="18" s="1"/>
  <c r="H15" i="18"/>
  <c r="H16" i="18"/>
  <c r="I16" i="18" s="1"/>
  <c r="H17" i="18"/>
  <c r="I17" i="18" s="1"/>
  <c r="H18" i="18"/>
  <c r="H19" i="18"/>
  <c r="H20" i="18"/>
  <c r="H21" i="18"/>
  <c r="I21" i="18" s="1"/>
  <c r="H22" i="18"/>
  <c r="I22" i="18" s="1"/>
  <c r="H23" i="18"/>
  <c r="H24" i="18"/>
  <c r="I24" i="18" s="1"/>
  <c r="H25" i="18"/>
  <c r="I25" i="18" s="1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L7" i="8"/>
  <c r="M7" i="8"/>
  <c r="N7" i="8"/>
  <c r="K7" i="8"/>
  <c r="J7" i="8"/>
  <c r="I7" i="8"/>
  <c r="H4" i="18"/>
  <c r="D4" i="18"/>
  <c r="A4" i="18"/>
  <c r="H3" i="18"/>
  <c r="D3" i="18"/>
  <c r="A3" i="18"/>
  <c r="E3" i="17"/>
  <c r="D3" i="17"/>
  <c r="E2" i="17"/>
  <c r="D2" i="17"/>
  <c r="H4" i="16"/>
  <c r="H5" i="16"/>
  <c r="H6" i="16"/>
  <c r="I6" i="16" s="1"/>
  <c r="H7" i="16"/>
  <c r="H8" i="16"/>
  <c r="H9" i="16"/>
  <c r="H10" i="16"/>
  <c r="H11" i="16"/>
  <c r="H12" i="16"/>
  <c r="H13" i="16"/>
  <c r="H14" i="16"/>
  <c r="I14" i="16" s="1"/>
  <c r="H15" i="16"/>
  <c r="H16" i="16"/>
  <c r="H17" i="16"/>
  <c r="H18" i="16"/>
  <c r="H19" i="16"/>
  <c r="H20" i="16"/>
  <c r="H21" i="16"/>
  <c r="H22" i="16"/>
  <c r="I22" i="16" s="1"/>
  <c r="H23" i="16"/>
  <c r="H24" i="16"/>
  <c r="H25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A3" i="16"/>
  <c r="D3" i="16"/>
  <c r="I3" i="16" s="1"/>
  <c r="E3" i="15"/>
  <c r="E2" i="15"/>
  <c r="H59" i="14"/>
  <c r="I59" i="14" s="1"/>
  <c r="H60" i="14"/>
  <c r="I60" i="14" s="1"/>
  <c r="H61" i="14"/>
  <c r="H62" i="14"/>
  <c r="H63" i="14"/>
  <c r="I63" i="14" s="1"/>
  <c r="H64" i="14"/>
  <c r="H65" i="14"/>
  <c r="I65" i="14" s="1"/>
  <c r="H66" i="14"/>
  <c r="H67" i="14"/>
  <c r="I67" i="14" s="1"/>
  <c r="H68" i="14"/>
  <c r="I68" i="14" s="1"/>
  <c r="H69" i="14"/>
  <c r="H70" i="14"/>
  <c r="H71" i="14"/>
  <c r="I71" i="14" s="1"/>
  <c r="H72" i="14"/>
  <c r="H73" i="14"/>
  <c r="I73" i="14" s="1"/>
  <c r="H74" i="14"/>
  <c r="H75" i="14"/>
  <c r="I75" i="14" s="1"/>
  <c r="H76" i="14"/>
  <c r="I76" i="14" s="1"/>
  <c r="H77" i="14"/>
  <c r="H78" i="14"/>
  <c r="H79" i="14"/>
  <c r="I79" i="14" s="1"/>
  <c r="H80" i="14"/>
  <c r="H58" i="14"/>
  <c r="I58" i="14" s="1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D58" i="14"/>
  <c r="A58" i="14"/>
  <c r="H32" i="14"/>
  <c r="H33" i="14"/>
  <c r="I33" i="14" s="1"/>
  <c r="H34" i="14"/>
  <c r="H35" i="14"/>
  <c r="I35" i="14" s="1"/>
  <c r="H36" i="14"/>
  <c r="I36" i="14" s="1"/>
  <c r="H37" i="14"/>
  <c r="H38" i="14"/>
  <c r="H39" i="14"/>
  <c r="I39" i="14" s="1"/>
  <c r="H40" i="14"/>
  <c r="H41" i="14"/>
  <c r="I41" i="14" s="1"/>
  <c r="H42" i="14"/>
  <c r="H43" i="14"/>
  <c r="I43" i="14" s="1"/>
  <c r="H44" i="14"/>
  <c r="I44" i="14" s="1"/>
  <c r="H45" i="14"/>
  <c r="H46" i="14"/>
  <c r="H47" i="14"/>
  <c r="I47" i="14" s="1"/>
  <c r="H48" i="14"/>
  <c r="H49" i="14"/>
  <c r="I49" i="14" s="1"/>
  <c r="H50" i="14"/>
  <c r="H51" i="14"/>
  <c r="I51" i="14" s="1"/>
  <c r="H52" i="14"/>
  <c r="I52" i="14" s="1"/>
  <c r="H53" i="14"/>
  <c r="H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D31" i="14"/>
  <c r="A31" i="14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181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15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83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58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3" i="13"/>
  <c r="H4" i="14"/>
  <c r="H5" i="14"/>
  <c r="H6" i="14"/>
  <c r="H7" i="14"/>
  <c r="H8" i="14"/>
  <c r="I8" i="14" s="1"/>
  <c r="H9" i="14"/>
  <c r="H10" i="14"/>
  <c r="H11" i="14"/>
  <c r="I11" i="14" s="1"/>
  <c r="H12" i="14"/>
  <c r="H13" i="14"/>
  <c r="H14" i="14"/>
  <c r="I14" i="14" s="1"/>
  <c r="H15" i="14"/>
  <c r="H16" i="14"/>
  <c r="I16" i="14" s="1"/>
  <c r="H17" i="14"/>
  <c r="H18" i="14"/>
  <c r="H19" i="14"/>
  <c r="I19" i="14" s="1"/>
  <c r="H20" i="14"/>
  <c r="H21" i="14"/>
  <c r="H22" i="14"/>
  <c r="I22" i="14" s="1"/>
  <c r="H23" i="14"/>
  <c r="H24" i="14"/>
  <c r="I24" i="14" s="1"/>
  <c r="H25" i="14"/>
  <c r="H26" i="14"/>
  <c r="H3" i="14"/>
  <c r="H158" i="13"/>
  <c r="N3" i="8"/>
  <c r="N4" i="8"/>
  <c r="N5" i="8"/>
  <c r="N6" i="8"/>
  <c r="N2" i="8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I6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3" i="14"/>
  <c r="A3" i="14"/>
  <c r="I6" i="8"/>
  <c r="J6" i="8"/>
  <c r="K6" i="8"/>
  <c r="L6" i="8"/>
  <c r="M6" i="8"/>
  <c r="I13" i="16" l="1"/>
  <c r="I5" i="16"/>
  <c r="I21" i="16"/>
  <c r="I19" i="16"/>
  <c r="I11" i="16"/>
  <c r="I74" i="14"/>
  <c r="I66" i="14"/>
  <c r="I20" i="16"/>
  <c r="I12" i="16"/>
  <c r="I4" i="16"/>
  <c r="I23" i="18"/>
  <c r="I15" i="18"/>
  <c r="I7" i="18"/>
  <c r="I31" i="18"/>
  <c r="I52" i="18"/>
  <c r="I10" i="19"/>
  <c r="I30" i="19"/>
  <c r="I22" i="19"/>
  <c r="I38" i="19"/>
  <c r="I66" i="19"/>
  <c r="I58" i="19"/>
  <c r="I19" i="21"/>
  <c r="I11" i="21"/>
  <c r="I37" i="21"/>
  <c r="I29" i="21"/>
  <c r="I37" i="19"/>
  <c r="I3" i="20"/>
  <c r="I48" i="14"/>
  <c r="I40" i="14"/>
  <c r="I32" i="14"/>
  <c r="I80" i="14"/>
  <c r="I72" i="14"/>
  <c r="I64" i="14"/>
  <c r="I18" i="16"/>
  <c r="I10" i="16"/>
  <c r="I45" i="18"/>
  <c r="I37" i="18"/>
  <c r="I36" i="19"/>
  <c r="I35" i="21"/>
  <c r="I27" i="21"/>
  <c r="I35" i="33"/>
  <c r="I25" i="16"/>
  <c r="I17" i="16"/>
  <c r="I9" i="16"/>
  <c r="I20" i="18"/>
  <c r="I12" i="18"/>
  <c r="I27" i="19"/>
  <c r="I19" i="19"/>
  <c r="I43" i="19"/>
  <c r="I6" i="22"/>
  <c r="I60" i="33"/>
  <c r="I61" i="33"/>
  <c r="I78" i="14"/>
  <c r="I70" i="14"/>
  <c r="I62" i="14"/>
  <c r="I24" i="16"/>
  <c r="I16" i="16"/>
  <c r="I8" i="16"/>
  <c r="I19" i="18"/>
  <c r="I11" i="18"/>
  <c r="I43" i="18"/>
  <c r="I35" i="18"/>
  <c r="I26" i="19"/>
  <c r="I42" i="19"/>
  <c r="I70" i="19"/>
  <c r="I62" i="19"/>
  <c r="I5" i="22"/>
  <c r="I20" i="14"/>
  <c r="I12" i="14"/>
  <c r="I4" i="14"/>
  <c r="I77" i="14"/>
  <c r="I69" i="14"/>
  <c r="I61" i="14"/>
  <c r="I82" i="14" s="1"/>
  <c r="I23" i="16"/>
  <c r="I15" i="16"/>
  <c r="I7" i="16"/>
  <c r="I18" i="18"/>
  <c r="I10" i="18"/>
  <c r="I25" i="19"/>
  <c r="I41" i="19"/>
  <c r="I69" i="19"/>
  <c r="I61" i="19"/>
  <c r="I40" i="21"/>
  <c r="I32" i="21"/>
  <c r="I4" i="22"/>
  <c r="I36" i="34"/>
  <c r="I37" i="34"/>
  <c r="I17" i="34"/>
  <c r="I34" i="33"/>
  <c r="I10" i="33"/>
  <c r="I3" i="22"/>
  <c r="I26" i="21"/>
  <c r="I18" i="21"/>
  <c r="I10" i="21"/>
  <c r="I17" i="21"/>
  <c r="I9" i="21"/>
  <c r="I16" i="21"/>
  <c r="I8" i="21"/>
  <c r="I15" i="21"/>
  <c r="I7" i="21"/>
  <c r="I14" i="21"/>
  <c r="I6" i="21"/>
  <c r="I21" i="21"/>
  <c r="I13" i="21"/>
  <c r="I5" i="21"/>
  <c r="I3" i="21"/>
  <c r="I2" i="20"/>
  <c r="I6" i="20" s="1"/>
  <c r="I57" i="19"/>
  <c r="I48" i="19"/>
  <c r="I35" i="19"/>
  <c r="I18" i="19"/>
  <c r="H9" i="19"/>
  <c r="I9" i="19" s="1"/>
  <c r="I7" i="19"/>
  <c r="I15" i="19" s="1"/>
  <c r="I50" i="18"/>
  <c r="I42" i="18"/>
  <c r="I34" i="18"/>
  <c r="I40" i="18"/>
  <c r="I32" i="18"/>
  <c r="I39" i="18"/>
  <c r="I38" i="18"/>
  <c r="I30" i="18"/>
  <c r="I3" i="18"/>
  <c r="I4" i="18"/>
  <c r="I81" i="14"/>
  <c r="I23" i="14"/>
  <c r="I7" i="14"/>
  <c r="I21" i="14"/>
  <c r="I13" i="14"/>
  <c r="I5" i="14"/>
  <c r="I46" i="14"/>
  <c r="I38" i="14"/>
  <c r="I15" i="14"/>
  <c r="I53" i="14"/>
  <c r="I45" i="14"/>
  <c r="I37" i="14"/>
  <c r="I26" i="14"/>
  <c r="I18" i="14"/>
  <c r="I10" i="14"/>
  <c r="I25" i="14"/>
  <c r="I17" i="14"/>
  <c r="I9" i="14"/>
  <c r="I50" i="14"/>
  <c r="I42" i="14"/>
  <c r="I34" i="14"/>
  <c r="I31" i="14"/>
  <c r="I3" i="14"/>
  <c r="I186" i="13"/>
  <c r="I187" i="13"/>
  <c r="I194" i="13"/>
  <c r="I195" i="13"/>
  <c r="I202" i="13"/>
  <c r="I203" i="13"/>
  <c r="I205" i="13"/>
  <c r="I210" i="13"/>
  <c r="I218" i="13"/>
  <c r="I219" i="13"/>
  <c r="D182" i="13"/>
  <c r="D183" i="13"/>
  <c r="D184" i="13"/>
  <c r="D185" i="13"/>
  <c r="D186" i="13"/>
  <c r="D187" i="13"/>
  <c r="D188" i="13"/>
  <c r="D189" i="13"/>
  <c r="I189" i="13" s="1"/>
  <c r="D190" i="13"/>
  <c r="D191" i="13"/>
  <c r="D192" i="13"/>
  <c r="D193" i="13"/>
  <c r="D194" i="13"/>
  <c r="D195" i="13"/>
  <c r="D196" i="13"/>
  <c r="D197" i="13"/>
  <c r="I197" i="13" s="1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I211" i="13" s="1"/>
  <c r="D212" i="13"/>
  <c r="D213" i="13"/>
  <c r="I213" i="13" s="1"/>
  <c r="D214" i="13"/>
  <c r="D215" i="13"/>
  <c r="D216" i="13"/>
  <c r="D217" i="13"/>
  <c r="D218" i="13"/>
  <c r="D219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D181" i="13"/>
  <c r="A181" i="13"/>
  <c r="I159" i="13"/>
  <c r="I161" i="13"/>
  <c r="I167" i="13"/>
  <c r="I168" i="13"/>
  <c r="I175" i="13"/>
  <c r="D159" i="13"/>
  <c r="D160" i="13"/>
  <c r="I160" i="13" s="1"/>
  <c r="D161" i="13"/>
  <c r="D162" i="13"/>
  <c r="D163" i="13"/>
  <c r="D164" i="13"/>
  <c r="D165" i="13"/>
  <c r="D166" i="13"/>
  <c r="I166" i="13" s="1"/>
  <c r="D167" i="13"/>
  <c r="D168" i="13"/>
  <c r="D169" i="13"/>
  <c r="I169" i="13" s="1"/>
  <c r="D170" i="13"/>
  <c r="D171" i="13"/>
  <c r="D172" i="13"/>
  <c r="D173" i="13"/>
  <c r="D174" i="13"/>
  <c r="I174" i="13" s="1"/>
  <c r="D175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D158" i="13"/>
  <c r="A158" i="13"/>
  <c r="C56" i="13"/>
  <c r="C81" i="13"/>
  <c r="C113" i="13"/>
  <c r="I117" i="13"/>
  <c r="I125" i="13"/>
  <c r="I130" i="13"/>
  <c r="I131" i="13"/>
  <c r="I141" i="13"/>
  <c r="I146" i="13"/>
  <c r="I149" i="13"/>
  <c r="D116" i="13"/>
  <c r="D117" i="13"/>
  <c r="D118" i="13"/>
  <c r="D119" i="13"/>
  <c r="D120" i="13"/>
  <c r="D121" i="13"/>
  <c r="D122" i="13"/>
  <c r="I122" i="13" s="1"/>
  <c r="D123" i="13"/>
  <c r="I123" i="13" s="1"/>
  <c r="D124" i="13"/>
  <c r="D125" i="13"/>
  <c r="D126" i="13"/>
  <c r="D127" i="13"/>
  <c r="D128" i="13"/>
  <c r="D129" i="13"/>
  <c r="D130" i="13"/>
  <c r="D131" i="13"/>
  <c r="D132" i="13"/>
  <c r="D133" i="13"/>
  <c r="I133" i="13" s="1"/>
  <c r="D134" i="13"/>
  <c r="D135" i="13"/>
  <c r="D136" i="13"/>
  <c r="D137" i="13"/>
  <c r="D138" i="13"/>
  <c r="I138" i="13" s="1"/>
  <c r="D139" i="13"/>
  <c r="I139" i="13" s="1"/>
  <c r="D140" i="13"/>
  <c r="D141" i="13"/>
  <c r="D142" i="13"/>
  <c r="D143" i="13"/>
  <c r="D144" i="13"/>
  <c r="D145" i="13"/>
  <c r="D146" i="13"/>
  <c r="D147" i="13"/>
  <c r="I147" i="13" s="1"/>
  <c r="D148" i="13"/>
  <c r="D149" i="13"/>
  <c r="D150" i="13"/>
  <c r="D151" i="13"/>
  <c r="D152" i="13"/>
  <c r="D153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D115" i="13"/>
  <c r="A115" i="13"/>
  <c r="I85" i="13"/>
  <c r="I86" i="13"/>
  <c r="I88" i="13"/>
  <c r="I101" i="13"/>
  <c r="I102" i="13"/>
  <c r="I109" i="13"/>
  <c r="I110" i="13"/>
  <c r="D84" i="13"/>
  <c r="D85" i="13"/>
  <c r="D86" i="13"/>
  <c r="D87" i="13"/>
  <c r="D88" i="13"/>
  <c r="D89" i="13"/>
  <c r="D90" i="13"/>
  <c r="D91" i="13"/>
  <c r="D92" i="13"/>
  <c r="D93" i="13"/>
  <c r="I93" i="13" s="1"/>
  <c r="D94" i="13"/>
  <c r="I94" i="13" s="1"/>
  <c r="D95" i="13"/>
  <c r="D96" i="13"/>
  <c r="I96" i="13" s="1"/>
  <c r="D97" i="13"/>
  <c r="D98" i="13"/>
  <c r="D99" i="13"/>
  <c r="D100" i="13"/>
  <c r="D101" i="13"/>
  <c r="D102" i="13"/>
  <c r="D103" i="13"/>
  <c r="D104" i="13"/>
  <c r="I104" i="13" s="1"/>
  <c r="D105" i="13"/>
  <c r="D106" i="13"/>
  <c r="D107" i="13"/>
  <c r="D108" i="13"/>
  <c r="D109" i="13"/>
  <c r="D110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D83" i="13"/>
  <c r="A83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I60" i="13"/>
  <c r="I63" i="13"/>
  <c r="I68" i="13"/>
  <c r="I71" i="13"/>
  <c r="I76" i="13"/>
  <c r="D59" i="13"/>
  <c r="D60" i="13"/>
  <c r="D61" i="13"/>
  <c r="I61" i="13" s="1"/>
  <c r="D62" i="13"/>
  <c r="D63" i="13"/>
  <c r="D64" i="13"/>
  <c r="D65" i="13"/>
  <c r="D66" i="13"/>
  <c r="D67" i="13"/>
  <c r="D68" i="13"/>
  <c r="D69" i="13"/>
  <c r="I69" i="13" s="1"/>
  <c r="D70" i="13"/>
  <c r="D71" i="13"/>
  <c r="D72" i="13"/>
  <c r="D73" i="13"/>
  <c r="D74" i="13"/>
  <c r="D75" i="13"/>
  <c r="D76" i="13"/>
  <c r="D77" i="13"/>
  <c r="I77" i="13" s="1"/>
  <c r="D78" i="13"/>
  <c r="D58" i="13"/>
  <c r="A58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4" i="13"/>
  <c r="A5" i="13"/>
  <c r="A6" i="13"/>
  <c r="A3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3" i="13"/>
  <c r="D6" i="13"/>
  <c r="D5" i="13"/>
  <c r="D4" i="13"/>
  <c r="D53" i="12"/>
  <c r="D54" i="12"/>
  <c r="D55" i="12"/>
  <c r="D56" i="12"/>
  <c r="D52" i="12"/>
  <c r="H4" i="6"/>
  <c r="H5" i="6"/>
  <c r="H6" i="6"/>
  <c r="H3" i="6"/>
  <c r="B53" i="12"/>
  <c r="G53" i="12" s="1"/>
  <c r="H53" i="12" s="1"/>
  <c r="B54" i="12"/>
  <c r="B55" i="12"/>
  <c r="B56" i="12"/>
  <c r="G56" i="12" s="1"/>
  <c r="H56" i="12" s="1"/>
  <c r="B52" i="12"/>
  <c r="H52" i="12" s="1"/>
  <c r="B42" i="12"/>
  <c r="G42" i="12" s="1"/>
  <c r="B43" i="12"/>
  <c r="B44" i="12"/>
  <c r="B45" i="12"/>
  <c r="G45" i="12" s="1"/>
  <c r="B46" i="12"/>
  <c r="B47" i="12"/>
  <c r="G47" i="12" s="1"/>
  <c r="B41" i="12"/>
  <c r="B32" i="12"/>
  <c r="G32" i="12" s="1"/>
  <c r="B33" i="12"/>
  <c r="G33" i="12" s="1"/>
  <c r="B34" i="12"/>
  <c r="B35" i="12"/>
  <c r="B36" i="12"/>
  <c r="B31" i="12"/>
  <c r="B23" i="12"/>
  <c r="B24" i="12"/>
  <c r="B25" i="12"/>
  <c r="G25" i="12" s="1"/>
  <c r="B26" i="12"/>
  <c r="G26" i="12" s="1"/>
  <c r="B22" i="12"/>
  <c r="B12" i="12"/>
  <c r="B13" i="12"/>
  <c r="G13" i="12" s="1"/>
  <c r="B14" i="12"/>
  <c r="B15" i="12"/>
  <c r="G15" i="12" s="1"/>
  <c r="B16" i="12"/>
  <c r="G16" i="12" s="1"/>
  <c r="B17" i="12"/>
  <c r="G17" i="12" s="1"/>
  <c r="B11" i="12"/>
  <c r="G11" i="12" s="1"/>
  <c r="B4" i="12"/>
  <c r="B5" i="12"/>
  <c r="B6" i="12"/>
  <c r="G6" i="12" s="1"/>
  <c r="B3" i="12"/>
  <c r="G3" i="12"/>
  <c r="G54" i="12"/>
  <c r="H54" i="12" s="1"/>
  <c r="G55" i="12"/>
  <c r="G43" i="12"/>
  <c r="G44" i="12"/>
  <c r="G46" i="12"/>
  <c r="G41" i="12"/>
  <c r="G34" i="12"/>
  <c r="G35" i="12"/>
  <c r="G36" i="12"/>
  <c r="G31" i="12"/>
  <c r="G23" i="12"/>
  <c r="G24" i="12"/>
  <c r="G22" i="12"/>
  <c r="G12" i="12"/>
  <c r="G14" i="12"/>
  <c r="G4" i="12"/>
  <c r="G5" i="12"/>
  <c r="D47" i="12"/>
  <c r="D46" i="12"/>
  <c r="D45" i="12"/>
  <c r="D44" i="12"/>
  <c r="D43" i="12"/>
  <c r="D42" i="12"/>
  <c r="D41" i="12"/>
  <c r="C39" i="12"/>
  <c r="D36" i="12"/>
  <c r="D35" i="12"/>
  <c r="D34" i="12"/>
  <c r="D33" i="12"/>
  <c r="D32" i="12"/>
  <c r="D31" i="12"/>
  <c r="D26" i="12"/>
  <c r="D25" i="12"/>
  <c r="D24" i="12"/>
  <c r="D23" i="12"/>
  <c r="D22" i="12"/>
  <c r="C20" i="12"/>
  <c r="D17" i="12"/>
  <c r="D16" i="12"/>
  <c r="D15" i="12"/>
  <c r="D14" i="12"/>
  <c r="D13" i="12"/>
  <c r="D12" i="12"/>
  <c r="D11" i="12"/>
  <c r="D6" i="12"/>
  <c r="D5" i="12"/>
  <c r="D4" i="12"/>
  <c r="D3" i="12"/>
  <c r="H5" i="11"/>
  <c r="H3" i="11"/>
  <c r="H4" i="11"/>
  <c r="H2" i="11"/>
  <c r="I3" i="11"/>
  <c r="I4" i="11"/>
  <c r="I5" i="11"/>
  <c r="I2" i="11"/>
  <c r="C5" i="11"/>
  <c r="M3" i="8"/>
  <c r="M4" i="8"/>
  <c r="M5" i="8"/>
  <c r="M2" i="8"/>
  <c r="D6" i="4"/>
  <c r="E3" i="4"/>
  <c r="E4" i="4"/>
  <c r="E5" i="4"/>
  <c r="E6" i="4"/>
  <c r="E2" i="4"/>
  <c r="D3" i="2"/>
  <c r="C3" i="1"/>
  <c r="C4" i="1"/>
  <c r="C5" i="1"/>
  <c r="C6" i="1"/>
  <c r="C39" i="6"/>
  <c r="C20" i="6"/>
  <c r="C1" i="6"/>
  <c r="G3" i="10"/>
  <c r="G4" i="10"/>
  <c r="G5" i="10"/>
  <c r="G6" i="10"/>
  <c r="H6" i="10" s="1"/>
  <c r="D4" i="10"/>
  <c r="D5" i="10"/>
  <c r="D6" i="10"/>
  <c r="D3" i="10"/>
  <c r="A6" i="10"/>
  <c r="A5" i="10"/>
  <c r="A4" i="10"/>
  <c r="A3" i="10"/>
  <c r="C222" i="9"/>
  <c r="L5" i="8"/>
  <c r="K5" i="8"/>
  <c r="J5" i="8"/>
  <c r="I5" i="8"/>
  <c r="L4" i="8"/>
  <c r="K4" i="8"/>
  <c r="J4" i="8"/>
  <c r="I4" i="8"/>
  <c r="L3" i="8"/>
  <c r="J3" i="8"/>
  <c r="I3" i="8"/>
  <c r="C3" i="8"/>
  <c r="K3" i="8" s="1"/>
  <c r="L2" i="8"/>
  <c r="K2" i="8"/>
  <c r="J2" i="8"/>
  <c r="I2" i="8"/>
  <c r="H58" i="12" l="1"/>
  <c r="I72" i="19"/>
  <c r="I73" i="19"/>
  <c r="I42" i="21"/>
  <c r="I43" i="21"/>
  <c r="I7" i="22"/>
  <c r="I8" i="22"/>
  <c r="H5" i="10"/>
  <c r="I28" i="14"/>
  <c r="I27" i="18"/>
  <c r="I56" i="18"/>
  <c r="I57" i="18"/>
  <c r="I55" i="14"/>
  <c r="I47" i="18"/>
  <c r="H3" i="10"/>
  <c r="I31" i="19"/>
  <c r="I32" i="19"/>
  <c r="I44" i="19"/>
  <c r="I45" i="19"/>
  <c r="I53" i="19"/>
  <c r="I54" i="19"/>
  <c r="I7" i="20"/>
  <c r="I22" i="21"/>
  <c r="I14" i="19"/>
  <c r="I46" i="18"/>
  <c r="I26" i="18"/>
  <c r="I27" i="14"/>
  <c r="I54" i="14"/>
  <c r="I43" i="13"/>
  <c r="I35" i="13"/>
  <c r="I27" i="13"/>
  <c r="I19" i="13"/>
  <c r="I11" i="13"/>
  <c r="I78" i="13"/>
  <c r="I70" i="13"/>
  <c r="I62" i="13"/>
  <c r="I83" i="13"/>
  <c r="I103" i="13"/>
  <c r="I95" i="13"/>
  <c r="I87" i="13"/>
  <c r="I148" i="13"/>
  <c r="I140" i="13"/>
  <c r="I132" i="13"/>
  <c r="I124" i="13"/>
  <c r="I116" i="13"/>
  <c r="I212" i="13"/>
  <c r="I204" i="13"/>
  <c r="I196" i="13"/>
  <c r="I188" i="13"/>
  <c r="I58" i="13"/>
  <c r="I75" i="13"/>
  <c r="I67" i="13"/>
  <c r="I59" i="13"/>
  <c r="I108" i="13"/>
  <c r="I100" i="13"/>
  <c r="I92" i="13"/>
  <c r="I84" i="13"/>
  <c r="I153" i="13"/>
  <c r="I145" i="13"/>
  <c r="I137" i="13"/>
  <c r="I129" i="13"/>
  <c r="I121" i="13"/>
  <c r="I173" i="13"/>
  <c r="I165" i="13"/>
  <c r="I217" i="13"/>
  <c r="I209" i="13"/>
  <c r="I201" i="13"/>
  <c r="I193" i="13"/>
  <c r="I185" i="13"/>
  <c r="I74" i="13"/>
  <c r="I66" i="13"/>
  <c r="I107" i="13"/>
  <c r="I99" i="13"/>
  <c r="I91" i="13"/>
  <c r="I152" i="13"/>
  <c r="I144" i="13"/>
  <c r="I136" i="13"/>
  <c r="I128" i="13"/>
  <c r="I120" i="13"/>
  <c r="I172" i="13"/>
  <c r="I164" i="13"/>
  <c r="I216" i="13"/>
  <c r="I208" i="13"/>
  <c r="I200" i="13"/>
  <c r="I192" i="13"/>
  <c r="I184" i="13"/>
  <c r="I73" i="13"/>
  <c r="I65" i="13"/>
  <c r="I106" i="13"/>
  <c r="I98" i="13"/>
  <c r="I90" i="13"/>
  <c r="I151" i="13"/>
  <c r="I143" i="13"/>
  <c r="I135" i="13"/>
  <c r="I127" i="13"/>
  <c r="I119" i="13"/>
  <c r="I171" i="13"/>
  <c r="I163" i="13"/>
  <c r="I215" i="13"/>
  <c r="I207" i="13"/>
  <c r="I199" i="13"/>
  <c r="I191" i="13"/>
  <c r="I183" i="13"/>
  <c r="I53" i="13"/>
  <c r="I45" i="13"/>
  <c r="I37" i="13"/>
  <c r="I29" i="13"/>
  <c r="I21" i="13"/>
  <c r="I13" i="13"/>
  <c r="I5" i="13"/>
  <c r="I72" i="13"/>
  <c r="I64" i="13"/>
  <c r="I105" i="13"/>
  <c r="I97" i="13"/>
  <c r="I89" i="13"/>
  <c r="I150" i="13"/>
  <c r="I142" i="13"/>
  <c r="I134" i="13"/>
  <c r="I126" i="13"/>
  <c r="I118" i="13"/>
  <c r="I170" i="13"/>
  <c r="I162" i="13"/>
  <c r="I214" i="13"/>
  <c r="I206" i="13"/>
  <c r="I198" i="13"/>
  <c r="I190" i="13"/>
  <c r="I182" i="13"/>
  <c r="I181" i="13"/>
  <c r="I221" i="13" s="1"/>
  <c r="I158" i="13"/>
  <c r="I115" i="13"/>
  <c r="I51" i="13"/>
  <c r="I52" i="13"/>
  <c r="I44" i="13"/>
  <c r="I36" i="13"/>
  <c r="I28" i="13"/>
  <c r="I20" i="13"/>
  <c r="I12" i="13"/>
  <c r="I4" i="13"/>
  <c r="I50" i="13"/>
  <c r="I42" i="13"/>
  <c r="I34" i="13"/>
  <c r="I26" i="13"/>
  <c r="I18" i="13"/>
  <c r="I10" i="13"/>
  <c r="I49" i="13"/>
  <c r="I41" i="13"/>
  <c r="I33" i="13"/>
  <c r="I25" i="13"/>
  <c r="I17" i="13"/>
  <c r="I9" i="13"/>
  <c r="I48" i="13"/>
  <c r="I40" i="13"/>
  <c r="I32" i="13"/>
  <c r="I24" i="13"/>
  <c r="I16" i="13"/>
  <c r="I8" i="13"/>
  <c r="I47" i="13"/>
  <c r="I39" i="13"/>
  <c r="I31" i="13"/>
  <c r="I23" i="13"/>
  <c r="I15" i="13"/>
  <c r="I7" i="13"/>
  <c r="I3" i="13"/>
  <c r="I46" i="13"/>
  <c r="I38" i="13"/>
  <c r="I30" i="13"/>
  <c r="I22" i="13"/>
  <c r="I14" i="13"/>
  <c r="I6" i="13"/>
  <c r="H13" i="12"/>
  <c r="H57" i="12"/>
  <c r="H12" i="12"/>
  <c r="H14" i="12"/>
  <c r="H15" i="12"/>
  <c r="H5" i="12"/>
  <c r="H31" i="12"/>
  <c r="H38" i="12" s="1"/>
  <c r="H24" i="12"/>
  <c r="H32" i="12"/>
  <c r="H36" i="12"/>
  <c r="H25" i="12"/>
  <c r="H35" i="12"/>
  <c r="H17" i="12"/>
  <c r="H33" i="12"/>
  <c r="H3" i="12"/>
  <c r="H8" i="12" s="1"/>
  <c r="H11" i="12"/>
  <c r="H44" i="12"/>
  <c r="H41" i="12"/>
  <c r="H45" i="12"/>
  <c r="H42" i="12"/>
  <c r="H46" i="12"/>
  <c r="H43" i="12"/>
  <c r="H47" i="12"/>
  <c r="H34" i="12"/>
  <c r="H22" i="12"/>
  <c r="H26" i="12"/>
  <c r="H23" i="12"/>
  <c r="H6" i="12"/>
  <c r="H4" i="12"/>
  <c r="H16" i="12"/>
  <c r="H4" i="10"/>
  <c r="H7" i="10" s="1"/>
  <c r="H53" i="6"/>
  <c r="H54" i="6"/>
  <c r="H55" i="6"/>
  <c r="H52" i="6"/>
  <c r="H42" i="6"/>
  <c r="H43" i="6"/>
  <c r="I43" i="6" s="1"/>
  <c r="H44" i="6"/>
  <c r="I44" i="6" s="1"/>
  <c r="H45" i="6"/>
  <c r="I45" i="6" s="1"/>
  <c r="H46" i="6"/>
  <c r="H47" i="6"/>
  <c r="H41" i="6"/>
  <c r="H32" i="6"/>
  <c r="H33" i="6"/>
  <c r="H34" i="6"/>
  <c r="H35" i="6"/>
  <c r="I35" i="6" s="1"/>
  <c r="H36" i="6"/>
  <c r="I36" i="6" s="1"/>
  <c r="H31" i="6"/>
  <c r="H23" i="6"/>
  <c r="H24" i="6"/>
  <c r="H25" i="6"/>
  <c r="H26" i="6"/>
  <c r="H22" i="6"/>
  <c r="H12" i="6"/>
  <c r="H13" i="6"/>
  <c r="I13" i="6" s="1"/>
  <c r="H14" i="6"/>
  <c r="H15" i="6"/>
  <c r="H16" i="6"/>
  <c r="H17" i="6"/>
  <c r="H11" i="6"/>
  <c r="I5" i="6"/>
  <c r="I6" i="6"/>
  <c r="D53" i="6"/>
  <c r="D54" i="6"/>
  <c r="D55" i="6"/>
  <c r="D42" i="6"/>
  <c r="D43" i="6"/>
  <c r="D44" i="6"/>
  <c r="D45" i="6"/>
  <c r="D46" i="6"/>
  <c r="D47" i="6"/>
  <c r="D32" i="6"/>
  <c r="D33" i="6"/>
  <c r="D34" i="6"/>
  <c r="D35" i="6"/>
  <c r="D36" i="6"/>
  <c r="D23" i="6"/>
  <c r="D24" i="6"/>
  <c r="D25" i="6"/>
  <c r="D26" i="6"/>
  <c r="D12" i="6"/>
  <c r="D13" i="6"/>
  <c r="D14" i="6"/>
  <c r="D15" i="6"/>
  <c r="D16" i="6"/>
  <c r="D17" i="6"/>
  <c r="D4" i="6"/>
  <c r="I4" i="6" s="1"/>
  <c r="D5" i="6"/>
  <c r="D6" i="6"/>
  <c r="D52" i="6"/>
  <c r="D31" i="6"/>
  <c r="D41" i="6"/>
  <c r="D22" i="6"/>
  <c r="A53" i="6"/>
  <c r="A54" i="6"/>
  <c r="A55" i="6"/>
  <c r="A52" i="6"/>
  <c r="A42" i="6"/>
  <c r="A43" i="6"/>
  <c r="A44" i="6"/>
  <c r="A45" i="6"/>
  <c r="A46" i="6"/>
  <c r="A47" i="6"/>
  <c r="A41" i="6"/>
  <c r="A11" i="6"/>
  <c r="A12" i="6"/>
  <c r="A13" i="6"/>
  <c r="A14" i="6"/>
  <c r="A15" i="6"/>
  <c r="A16" i="6"/>
  <c r="A17" i="6"/>
  <c r="A22" i="6"/>
  <c r="A23" i="6"/>
  <c r="A24" i="6"/>
  <c r="A25" i="6"/>
  <c r="A26" i="6"/>
  <c r="A31" i="6"/>
  <c r="A32" i="6"/>
  <c r="A33" i="6"/>
  <c r="A34" i="6"/>
  <c r="A35" i="6"/>
  <c r="A36" i="6"/>
  <c r="A4" i="6"/>
  <c r="A5" i="6"/>
  <c r="A6" i="6"/>
  <c r="A3" i="6"/>
  <c r="D11" i="6"/>
  <c r="D3" i="6"/>
  <c r="D3" i="4"/>
  <c r="B9" i="5"/>
  <c r="G30" i="5"/>
  <c r="D7" i="5"/>
  <c r="D3" i="5"/>
  <c r="D8" i="5"/>
  <c r="B8" i="5"/>
  <c r="A7" i="5"/>
  <c r="B7" i="5" s="1"/>
  <c r="D4" i="5"/>
  <c r="D2" i="4"/>
  <c r="B4" i="5"/>
  <c r="B3" i="5"/>
  <c r="D4" i="4"/>
  <c r="D5" i="4"/>
  <c r="H26" i="2"/>
  <c r="I34" i="2"/>
  <c r="G3" i="1"/>
  <c r="H8" i="2"/>
  <c r="H9" i="2"/>
  <c r="H10" i="2"/>
  <c r="H11" i="2"/>
  <c r="H12" i="2"/>
  <c r="I12" i="2" s="1"/>
  <c r="H13" i="2"/>
  <c r="H14" i="2"/>
  <c r="I14" i="2" s="1"/>
  <c r="H15" i="2"/>
  <c r="H16" i="2"/>
  <c r="H17" i="2"/>
  <c r="H18" i="2"/>
  <c r="H19" i="2"/>
  <c r="H20" i="2"/>
  <c r="I20" i="2" s="1"/>
  <c r="H21" i="2"/>
  <c r="H7" i="2"/>
  <c r="I7" i="2" s="1"/>
  <c r="D27" i="2"/>
  <c r="I27" i="2" s="1"/>
  <c r="D32" i="2"/>
  <c r="I32" i="2" s="1"/>
  <c r="D34" i="2"/>
  <c r="D35" i="2"/>
  <c r="I35" i="2" s="1"/>
  <c r="D40" i="2"/>
  <c r="I40" i="2" s="1"/>
  <c r="D8" i="2"/>
  <c r="D9" i="2"/>
  <c r="D11" i="2"/>
  <c r="D12" i="2"/>
  <c r="D14" i="2"/>
  <c r="D16" i="2"/>
  <c r="D17" i="2"/>
  <c r="D19" i="2"/>
  <c r="D20" i="2"/>
  <c r="D7" i="2"/>
  <c r="C8" i="2"/>
  <c r="C9" i="2"/>
  <c r="C10" i="2"/>
  <c r="D10" i="2" s="1"/>
  <c r="C11" i="2"/>
  <c r="C12" i="2"/>
  <c r="C13" i="2"/>
  <c r="D13" i="2" s="1"/>
  <c r="C14" i="2"/>
  <c r="C15" i="2"/>
  <c r="D15" i="2" s="1"/>
  <c r="C16" i="2"/>
  <c r="C17" i="2"/>
  <c r="C18" i="2"/>
  <c r="D18" i="2" s="1"/>
  <c r="C19" i="2"/>
  <c r="C20" i="2"/>
  <c r="C21" i="2"/>
  <c r="D21" i="2" s="1"/>
  <c r="C7" i="2"/>
  <c r="C27" i="2"/>
  <c r="C28" i="2"/>
  <c r="D28" i="2" s="1"/>
  <c r="I28" i="2" s="1"/>
  <c r="C29" i="2"/>
  <c r="D29" i="2" s="1"/>
  <c r="I29" i="2" s="1"/>
  <c r="C30" i="2"/>
  <c r="D30" i="2" s="1"/>
  <c r="I30" i="2" s="1"/>
  <c r="C31" i="2"/>
  <c r="D31" i="2" s="1"/>
  <c r="I31" i="2" s="1"/>
  <c r="C32" i="2"/>
  <c r="C33" i="2"/>
  <c r="D33" i="2" s="1"/>
  <c r="I33" i="2" s="1"/>
  <c r="C34" i="2"/>
  <c r="C35" i="2"/>
  <c r="C36" i="2"/>
  <c r="D36" i="2" s="1"/>
  <c r="I36" i="2" s="1"/>
  <c r="C37" i="2"/>
  <c r="D37" i="2" s="1"/>
  <c r="I37" i="2" s="1"/>
  <c r="C38" i="2"/>
  <c r="D38" i="2" s="1"/>
  <c r="I38" i="2" s="1"/>
  <c r="C39" i="2"/>
  <c r="D39" i="2" s="1"/>
  <c r="I39" i="2" s="1"/>
  <c r="C40" i="2"/>
  <c r="C26" i="2"/>
  <c r="D26" i="2" s="1"/>
  <c r="C3" i="2"/>
  <c r="I21" i="2" l="1"/>
  <c r="I13" i="2"/>
  <c r="I34" i="6"/>
  <c r="I112" i="13"/>
  <c r="I19" i="2"/>
  <c r="I11" i="2"/>
  <c r="I10" i="2"/>
  <c r="I41" i="6"/>
  <c r="I49" i="6" s="1"/>
  <c r="H49" i="12"/>
  <c r="I55" i="13"/>
  <c r="I17" i="2"/>
  <c r="I9" i="2"/>
  <c r="H28" i="12"/>
  <c r="I155" i="13"/>
  <c r="I80" i="13"/>
  <c r="I15" i="2"/>
  <c r="H8" i="10"/>
  <c r="I18" i="2"/>
  <c r="I16" i="2"/>
  <c r="I8" i="2"/>
  <c r="I23" i="2" s="1"/>
  <c r="I26" i="2"/>
  <c r="I42" i="2" s="1"/>
  <c r="I14" i="6"/>
  <c r="I46" i="6"/>
  <c r="H19" i="12"/>
  <c r="I177" i="13"/>
  <c r="I154" i="13"/>
  <c r="I111" i="13"/>
  <c r="I79" i="13"/>
  <c r="I220" i="13"/>
  <c r="I176" i="13"/>
  <c r="I54" i="13"/>
  <c r="H18" i="12"/>
  <c r="I12" i="6"/>
  <c r="I26" i="6"/>
  <c r="I33" i="6"/>
  <c r="I42" i="6"/>
  <c r="I17" i="6"/>
  <c r="I25" i="6"/>
  <c r="I32" i="6"/>
  <c r="I52" i="6"/>
  <c r="I53" i="6"/>
  <c r="I16" i="6"/>
  <c r="I24" i="6"/>
  <c r="I55" i="6"/>
  <c r="I15" i="6"/>
  <c r="I23" i="6"/>
  <c r="I47" i="6"/>
  <c r="I48" i="6" s="1"/>
  <c r="I54" i="6"/>
  <c r="H7" i="12"/>
  <c r="H48" i="12"/>
  <c r="H37" i="12"/>
  <c r="H27" i="12"/>
  <c r="I22" i="6"/>
  <c r="I11" i="6"/>
  <c r="I19" i="6" s="1"/>
  <c r="I3" i="6"/>
  <c r="I31" i="6"/>
  <c r="H3" i="1"/>
  <c r="G19" i="1"/>
  <c r="H19" i="1" s="1"/>
  <c r="G20" i="1"/>
  <c r="H20" i="1" s="1"/>
  <c r="G21" i="1"/>
  <c r="H21" i="1" s="1"/>
  <c r="G18" i="1"/>
  <c r="H18" i="1" s="1"/>
  <c r="H23" i="1" s="1"/>
  <c r="G12" i="1"/>
  <c r="G13" i="1"/>
  <c r="H13" i="1" s="1"/>
  <c r="G11" i="1"/>
  <c r="G4" i="1"/>
  <c r="H4" i="1" s="1"/>
  <c r="G5" i="1"/>
  <c r="H5" i="1" s="1"/>
  <c r="G6" i="1"/>
  <c r="H6" i="1" s="1"/>
  <c r="C11" i="1"/>
  <c r="C12" i="1"/>
  <c r="C13" i="1"/>
  <c r="C18" i="1"/>
  <c r="C19" i="1"/>
  <c r="C20" i="1"/>
  <c r="C21" i="1"/>
  <c r="H8" i="1" l="1"/>
  <c r="H11" i="1"/>
  <c r="I22" i="2"/>
  <c r="I41" i="2"/>
  <c r="I7" i="6"/>
  <c r="I8" i="6"/>
  <c r="I28" i="6"/>
  <c r="H12" i="1"/>
  <c r="H14" i="1" s="1"/>
  <c r="I37" i="6"/>
  <c r="I38" i="6"/>
  <c r="I56" i="6"/>
  <c r="I57" i="6"/>
  <c r="I18" i="6"/>
  <c r="I27" i="6"/>
  <c r="H22" i="1"/>
  <c r="H7" i="1"/>
  <c r="I26" i="16"/>
  <c r="I27" i="16"/>
  <c r="H3" i="36"/>
  <c r="H42" i="36" l="1"/>
  <c r="H43" i="36"/>
  <c r="H15" i="1"/>
</calcChain>
</file>

<file path=xl/sharedStrings.xml><?xml version="1.0" encoding="utf-8"?>
<sst xmlns="http://schemas.openxmlformats.org/spreadsheetml/2006/main" count="1945" uniqueCount="673">
  <si>
    <t>T</t>
  </si>
  <si>
    <t>P [Pa]</t>
  </si>
  <si>
    <t>log10P [atm]</t>
  </si>
  <si>
    <t>A</t>
  </si>
  <si>
    <t>B</t>
  </si>
  <si>
    <t>C</t>
  </si>
  <si>
    <t>logPcalc</t>
  </si>
  <si>
    <t>error^2</t>
  </si>
  <si>
    <t>2-MNT</t>
  </si>
  <si>
    <t>3-MNT</t>
  </si>
  <si>
    <t>p-MNT</t>
  </si>
  <si>
    <t>w/C</t>
  </si>
  <si>
    <t>HMTD</t>
  </si>
  <si>
    <t>28-80 degrees C</t>
  </si>
  <si>
    <t>A [ln(Pa)]</t>
  </si>
  <si>
    <t>A [log10(atm)]</t>
  </si>
  <si>
    <t>Alnemrat  and Hooper 2013</t>
  </si>
  <si>
    <t>ppt</t>
  </si>
  <si>
    <t>corrected from Cocaine</t>
  </si>
  <si>
    <t>atm</t>
  </si>
  <si>
    <t>log10(atm)</t>
  </si>
  <si>
    <t>sum</t>
  </si>
  <si>
    <t>species</t>
  </si>
  <si>
    <t>DNAN (s)</t>
  </si>
  <si>
    <t>DNAN (l)</t>
  </si>
  <si>
    <t>NTO</t>
  </si>
  <si>
    <t>NQ</t>
  </si>
  <si>
    <t>RDX</t>
  </si>
  <si>
    <t>mp</t>
  </si>
  <si>
    <t>35-DNP (l)</t>
  </si>
  <si>
    <t>T (K)</t>
  </si>
  <si>
    <t>P (Mpa)</t>
  </si>
  <si>
    <t>1/K</t>
  </si>
  <si>
    <t>T [C]</t>
  </si>
  <si>
    <t>35DNP (s)</t>
  </si>
  <si>
    <t>TNT</t>
  </si>
  <si>
    <t>P(Pa)</t>
  </si>
  <si>
    <t>DNAN</t>
  </si>
  <si>
    <t>DNTF</t>
  </si>
  <si>
    <t>liquid</t>
  </si>
  <si>
    <t>Tmin [K]</t>
  </si>
  <si>
    <t>Tmax [K]</t>
  </si>
  <si>
    <t>mp [K]</t>
  </si>
  <si>
    <t>A [log10(bar)]</t>
  </si>
  <si>
    <t>C [K]</t>
  </si>
  <si>
    <t>abbr</t>
  </si>
  <si>
    <t>name</t>
  </si>
  <si>
    <t>Tmin [C]</t>
  </si>
  <si>
    <t>Tmax [C]</t>
  </si>
  <si>
    <t>mp [C]</t>
  </si>
  <si>
    <t>ref</t>
  </si>
  <si>
    <t>data_source</t>
  </si>
  <si>
    <t>data_num</t>
  </si>
  <si>
    <t>NM</t>
  </si>
  <si>
    <t>Nitromethane</t>
  </si>
  <si>
    <t>Berman1967</t>
  </si>
  <si>
    <t>NIST</t>
  </si>
  <si>
    <t>NG</t>
  </si>
  <si>
    <t>Nitroglycerin</t>
  </si>
  <si>
    <t>Stull1947</t>
  </si>
  <si>
    <t>2-Nitrotoluene</t>
  </si>
  <si>
    <t>Dreisbach1949</t>
  </si>
  <si>
    <t>P-Nitrotoluene</t>
  </si>
  <si>
    <t>Material</t>
  </si>
  <si>
    <t>Vapor Pressure</t>
  </si>
  <si>
    <t>Temp. Range</t>
  </si>
  <si>
    <t>Temp.</t>
  </si>
  <si>
    <t>Ref.</t>
  </si>
  <si>
    <t>Ref List</t>
  </si>
  <si>
    <t>Equation</t>
  </si>
  <si>
    <t>(°C)</t>
  </si>
  <si>
    <t>R.N. Rogers, Los Alamos National Laboratory, Los Alamos, NM, personal communication (1975).</t>
  </si>
  <si>
    <t>(P in torr, T in K)</t>
  </si>
  <si>
    <t>W. deC. Crater, “The Vapor Pressures of Glycerol Trinitrate and Certain Glycol Dinitrates,” Industrial and Engineering Chemistry, 21, (1929) pp. 674–676.</t>
  </si>
  <si>
    <t>1-methyl-2-pyrrolidine</t>
  </si>
  <si>
    <t>6.30-6.31 Pa</t>
  </si>
  <si>
    <t>E.E. Kilmer, “Heat-Resistant Explosives for Space Applications,” Journal of Spacecraft and Rockets, 5, (1968) pp. 1216–1219.</t>
  </si>
  <si>
    <t>9.37-9.40 Pa</t>
  </si>
  <si>
    <t>A.C. Schwarz, “Application of Hexanitrostilbene (HNS) in Explosive Components,” Sandia National Laboratories, Albuquerque, NM, SC-RR-710673 (1972).</t>
  </si>
  <si>
    <t>14.32 Pa</t>
  </si>
  <si>
    <t>H.A. Berman and E.D. West, “Density and Vapor Pressure of Nitromethane 26° to 200°C,” Journal of Chemical and Engineering Data, 12, (1967) pp.197–199.</t>
  </si>
  <si>
    <t>21.59-21.62 Pa</t>
  </si>
  <si>
    <t>C. Guirao and F.A. Williams, “Sublimation of Ammonium Perchlorate,” Journal of Physical Chemistry, 73, (1969) pp. 4302–4311.</t>
  </si>
  <si>
    <t>31.93-31.96 Pa</t>
  </si>
  <si>
    <t>R.B. Cundall, T.F. Palmer and C.E.C. Wood, “Corrigendum: Vapour Pressure Measurements on Some Organic High Explosives,” J. Chem. Soc., Faraday Trans. I, 77, (1981) pp. 711–712.</t>
  </si>
  <si>
    <t>46.60-46.65 Pa</t>
  </si>
  <si>
    <t>P.A. Pella, “Measurement of the Vapor Pressures of TNT, 2,4-DNT, 2,6-DNT, and EGDN,” J. Chem. Thermodynamics, 9, (1977) pp. 301–305.</t>
  </si>
  <si>
    <t>67.08-67.09 Pa</t>
  </si>
  <si>
    <t>J.W. Taylor and R.J. Crookes, “Vapour Pressure and Enthalpy of Sublimation of 1,3,5,7-tetranitro-1,3,5,7-tetra-azacyclo-octane (HMX),” J. Chem. Soc., Faraday Trans. I, 72, (1976) pp. 723–729.</t>
  </si>
  <si>
    <t>95.10-95.18 Pa</t>
  </si>
  <si>
    <t>R.G. Garza, “A Thermogravimetric Study of TATB and Two TATB-based Explosives,” Lawrence Livermore National Laboratory, Livermore, CA, UCRL-82723 Preprint (1979).</t>
  </si>
  <si>
    <t>1,2,3-Trinitrobenzene</t>
  </si>
  <si>
    <t>3999.67 Pa</t>
  </si>
  <si>
    <t>F.T. Crimmins, “The Vapor Pressure of Pentaerythritoltetranitrate (PETN) in the Temperature Range of 50 to 98 Degrees Centigrade,” Livermore Radiation Laboratory, Livermore, CA, UCRL-50704 (1969).</t>
  </si>
  <si>
    <t>5932.85 Pa</t>
  </si>
  <si>
    <t>R.B. Cundall, T.F. Palmer, and C.E.C. Wood, “Vapour Pressure Measurements on Some Organic High Explosives,&amp;rdauo; Journal of the Chemical Society-Faraday Transactions I 74(6), 1978, pp. 1339–1345.</t>
  </si>
  <si>
    <t>5466.22 Pa</t>
  </si>
  <si>
    <t>B.C. Dionne, D.P. Rounbehler, E.K. Achter, J.R. Hobbs, and D.H. Fine, “Vapor Pressure of Explosives,” Journal of Energetic Materials 4 (1986), pp. 447–472.</t>
  </si>
  <si>
    <t>5532.88 Pa</t>
  </si>
  <si>
    <t>H. Felix-Rivera, M.L. Ramirez-Cedeno, R.A. Sanchez-Cuprill, S.P. Hernandez-Rivera, “Triacetone Triperoxide Thermogravimetric Study of Vapor Pressure and Enthalpy of Sublimation in 303-338 K Temperature Range,” Thermochimica Acta 514 (2011) pp. 37–43.</t>
  </si>
  <si>
    <t>5599.54 Pa</t>
  </si>
  <si>
    <t>N. Rai, D. Bhatt, J.I. Siepmann, and L.E. Fried, “Monte Carlo Simulations of 1,3,5-Triamino-2,4,6-Trinitrobenzene (TATB): Pressure and Temperature Effects for the Solid Phase and Vaor-Liquid Phase Equilibria,” Journal of Chemical Physics 129 (2008) 194510.</t>
  </si>
  <si>
    <t>6932.76 Pa</t>
  </si>
  <si>
    <t>Y.Y. Maksimov, “Vapour Pressures of Aromatic Nitro-Compounds at Various Temperatures,” Russian Journal of Physical Chemistry 42(11), 1968, pp. 1550–1552.</t>
  </si>
  <si>
    <t>16931.9 Pa</t>
  </si>
  <si>
    <t>J.P. McCullough, D.W. Scott, R.E. Pennington, I.A. Hossenlopp, and G. Waddington, “Nitromethane: The Vapor Heat Capacity, heat of Vaporization Vapor Pressure and Gas Imperfection; the Chemical Thermodynamic Properties from 0 to 1500 K,” Contribution No. 41 from the Thermodynamics Laboratory, Petroleum Experiment Station, Bureau of Mines, May 6, 1954.</t>
  </si>
  <si>
    <t>11465.7 Pa</t>
  </si>
  <si>
    <t>J.C. Oxley, J.L. Smith, K. Shinde, and J. Moran, “Determination of the Vapor Density of Triacetone Triperoxide (TATP) Using a Gas Chromatography Headspace Technique,” Propellants, Explosives, Pyrotechnics 30(2), 2005, pp. 127–130.</t>
  </si>
  <si>
    <t>13065.6 Pa</t>
  </si>
  <si>
    <t>K. Ruzicka, M. Fulem, T. Mahnel, and C. Cervinka, “Recommended Vapor Pressures for Aniline, Nitromethane, 2-aminoethanol, and 1-methyl-2-pyrrolidone,” Fluid Phase Equilibria 406, 2015, pp. 34–46.</t>
  </si>
  <si>
    <t>14132.2 Pa</t>
  </si>
  <si>
    <t>J.C. Oxley, J.L. Smith, K. Shinde, and J. Moran, “Determination of the Vapor Density of Triacetone Triperoxide (TATP) Using a Gas Chromatography Headspace Technique,” Propellants, Explosives, Pyrotechnics 30, 2005, pp. 127–130.</t>
  </si>
  <si>
    <t>14398.8 Pa</t>
  </si>
  <si>
    <t>J.C. Oxley, J.L. Smith, W.Luo, and J. Brady, “Determining the Vapor Pressures of Diacetone Deperoxide (DADP) and Hexamethylene Triperoxide Diamine (HMTD),” Propellants Explosives, Pyrotechnics 34, 2009, pp. 539–543.</t>
  </si>
  <si>
    <t>1,2,4-Trinitrobenzene</t>
  </si>
  <si>
    <t>1466.56 Pa</t>
  </si>
  <si>
    <t>J. Oxley, J.L. Smith, J. Brady, and S. Naik, “Determination of Urea Nitrate and Guanidine Nitrate Vapor Pressures by Isothermal Thermogravimetry, ” Propellants, Explosives, Pyrotechnics 35, 2010, pp. 278–283.</t>
  </si>
  <si>
    <t>1866.51 Pa</t>
  </si>
  <si>
    <t>P.L. Damour, A. Freedman, and J. Wormhoudt, “Knudsen Effusion Measurement of Organic Peroxide Vapor Pressures, ” Propellants, Explosives, Pyrotechnics 35, 2010, pp. 514–520.</t>
  </si>
  <si>
    <t>2933.09 Pa</t>
  </si>
  <si>
    <t>H. Ostmark, S. Wallin, and H.G. Ang, “Vapor Pressure of Explosives: A Critical Review,” Propellants Explosives Pyrotechnics 37, 2012, pp. 12–23.</t>
  </si>
  <si>
    <t>8265.99 Pa</t>
  </si>
  <si>
    <t>M.L. Ramirex, L.C. Pacheco-Londono, A.J. Pena, and S.P. Hernandez-Rivera, “Characterization of Peroxide-based Explosives by Thermal Analysis,” Proc. of SPIE vol. 6204, 62012B-1–10, 2006.</t>
  </si>
  <si>
    <t>11732.4 Pa</t>
  </si>
  <si>
    <t>R.B. Rauch and R. Behrens, “Vapor Pressures, Mass Spectra and Thermal Decomposition Processes of Bis (2,2-Dintropropyl)acetal (BDNPA) and Bis(2,2-Dinitropropyl) formal (BDNPF), ” Propellants, Explosives, Pyrotechnics 32(2), 2007, pp. 97–116.</t>
  </si>
  <si>
    <t>15998.7 Pa</t>
  </si>
  <si>
    <t>M. Suceska, S.M. Musanic, I.F. Houra, “Kinetics and Enthalpy of Nitroglycerin Evaporation from Double Base Propellants by Isothermal Thermogravimetry,” Thermochimica Acta 510, 2010, pp. 9-16.</t>
  </si>
  <si>
    <t>13332.2 Pa</t>
  </si>
  <si>
    <t>W.M. Hikal, J.T. Paden, B.L. Weeks, “Thermo-optical Determination of Vapor Pressures of TNT and RDX Nonofilms,” Talanta 87, 2011, pp. 290-294.</t>
  </si>
  <si>
    <t>13465.6 Pa</t>
  </si>
  <si>
    <t>13598.9 Pa</t>
  </si>
  <si>
    <t>21598.2 Pa</t>
  </si>
  <si>
    <t>22798.1 Pa</t>
  </si>
  <si>
    <t>31064.1 Pa</t>
  </si>
  <si>
    <t>1,3,5-Trinitrobenzene</t>
  </si>
  <si>
    <t>4132.99 Pa</t>
  </si>
  <si>
    <t>6132.83 Pa</t>
  </si>
  <si>
    <t>7466.05 Pa</t>
  </si>
  <si>
    <t>8599.293 Pa</t>
  </si>
  <si>
    <t>11865.7 Pa</t>
  </si>
  <si>
    <t>21998.2 Pa</t>
  </si>
  <si>
    <t>22131.5 Pa</t>
  </si>
  <si>
    <t>38930.1 Pa</t>
  </si>
  <si>
    <t>38263.5 Pa</t>
  </si>
  <si>
    <t>37996.9 Pa</t>
  </si>
  <si>
    <t>39063.5 Pa</t>
  </si>
  <si>
    <t>1,2,3,5-Tetranitrobenzene</t>
  </si>
  <si>
    <t>5066.25 Pa</t>
  </si>
  <si>
    <t>28264.3 Pa</t>
  </si>
  <si>
    <t>7199.41 Pa</t>
  </si>
  <si>
    <t>1333.22 Pa</t>
  </si>
  <si>
    <t>22398.2 Pa</t>
  </si>
  <si>
    <t>1,3,5-Trichlorotrinitrobenzene</t>
  </si>
  <si>
    <t>8665.95 Pa</t>
  </si>
  <si>
    <t>11332.4 Pa</t>
  </si>
  <si>
    <t>15332.1 Pa</t>
  </si>
  <si>
    <t>15465.4 Pa</t>
  </si>
  <si>
    <t>15598.7 Pa</t>
  </si>
  <si>
    <t>21198.3 Pa</t>
  </si>
  <si>
    <t>28931 Pa</t>
  </si>
  <si>
    <t>2-aminoethanol (crystalline phase)</t>
  </si>
  <si>
    <t>0.76-0.78 Pa</t>
  </si>
  <si>
    <t>1.42 Pa</t>
  </si>
  <si>
    <t>2.64-2.65 Pa</t>
  </si>
  <si>
    <t>5.18-5.20 Pa</t>
  </si>
  <si>
    <t>6.58 Pa</t>
  </si>
  <si>
    <t>8.83-8.84 Pa</t>
  </si>
  <si>
    <t>11.83-11.85 Pa</t>
  </si>
  <si>
    <t>15.75-15.76 Pa</t>
  </si>
  <si>
    <t>2-aminoethanol (liquid phase)</t>
  </si>
  <si>
    <t>6.46 Pa</t>
  </si>
  <si>
    <t>7.85 Pa</t>
  </si>
  <si>
    <t>9.97-9.98 Pa</t>
  </si>
  <si>
    <t>12.62-12.63 Pa</t>
  </si>
  <si>
    <t>15.87-15.91 Pa</t>
  </si>
  <si>
    <t>19.90-19.92 Pa</t>
  </si>
  <si>
    <t>24.94-25.05 Pa</t>
  </si>
  <si>
    <t>30.92-30.99 Pa</t>
  </si>
  <si>
    <t>38.42-38.49 Pa</t>
  </si>
  <si>
    <t>47.35-47.44 Pa</t>
  </si>
  <si>
    <t>58.59-58.77 Pa</t>
  </si>
  <si>
    <t>71.24-71.43 Pa</t>
  </si>
  <si>
    <t>87.22-87.36 Pa</t>
  </si>
  <si>
    <t>2,4-Dinitrotoluene</t>
  </si>
  <si>
    <t>0.08 P(Pa)</t>
  </si>
  <si>
    <t>0.70 P(Pa)</t>
  </si>
  <si>
    <t>9465.89 Pa</t>
  </si>
  <si>
    <t>12665.6 Pa</t>
  </si>
  <si>
    <t>34263.8 Pa</t>
  </si>
  <si>
    <t>42663.2 Pa</t>
  </si>
  <si>
    <t>56262 Pa</t>
  </si>
  <si>
    <t>69594.3 Pa</t>
  </si>
  <si>
    <t>2.5 Pa</t>
  </si>
  <si>
    <t>2,4-Dinitrotoluene (DNT) (s)</t>
  </si>
  <si>
    <t>log10P = 12.052+4908/T</t>
  </si>
  <si>
    <t>(-4) to 72</t>
  </si>
  <si>
    <t>2.63E-04 P(Pa)</t>
  </si>
  <si>
    <t>25°C/Torr</t>
  </si>
  <si>
    <t>2,4-Dinitrotoluene (DNT) (i)</t>
  </si>
  <si>
    <t>log10P = 12.052-3934/T</t>
  </si>
  <si>
    <t>73-103</t>
  </si>
  <si>
    <t>2,6-Dinitrotoluene (DNT)</t>
  </si>
  <si>
    <t>log10P = 14.48-5271/T</t>
  </si>
  <si>
    <t>1999.84 Pa</t>
  </si>
  <si>
    <t>2,6-Dinitrotoluene</t>
  </si>
  <si>
    <t>3333.06 Pa</t>
  </si>
  <si>
    <t>5199.57 Pa</t>
  </si>
  <si>
    <t>11999 Pa</t>
  </si>
  <si>
    <t>18798.5 Pa</t>
  </si>
  <si>
    <t>25464.6 Pa</t>
  </si>
  <si>
    <t>33197.3 Pa</t>
  </si>
  <si>
    <t>51329.1 Pa</t>
  </si>
  <si>
    <t>20265 Pa</t>
  </si>
  <si>
    <t>58528.5 Pa</t>
  </si>
  <si>
    <t>3,5-Dinitrotoluene</t>
  </si>
  <si>
    <t>4666.28 Pa</t>
  </si>
  <si>
    <t>15732 Pa</t>
  </si>
  <si>
    <t>19465.1 Pa</t>
  </si>
  <si>
    <t>27331.1 Pa</t>
  </si>
  <si>
    <t>35597.1 Pa</t>
  </si>
  <si>
    <t>2-NT (i)</t>
  </si>
  <si>
    <t>log10P = 9.523-3089/T</t>
  </si>
  <si>
    <t>(-2)-50</t>
  </si>
  <si>
    <t>4-NT (s)</t>
  </si>
  <si>
    <t>log10P = 12.33-4065</t>
  </si>
  <si>
    <t>2,4,6-Trinitroaniline</t>
  </si>
  <si>
    <t>1266.56 Pa</t>
  </si>
  <si>
    <t>2466.46 Pa</t>
  </si>
  <si>
    <t>6266.15 Pa</t>
  </si>
  <si>
    <t>6399.47 Pa</t>
  </si>
  <si>
    <t>3599.7 Pa</t>
  </si>
  <si>
    <t>4332.98 Pa</t>
  </si>
  <si>
    <t>8999.26 Pa</t>
  </si>
  <si>
    <t>19998.4 Pa</t>
  </si>
  <si>
    <t>2,4,6-Trinitrotoluene</t>
  </si>
  <si>
    <t>7066.09 Pa</t>
  </si>
  <si>
    <t>2,4,6-Trinitrotoluene (TNT)</t>
  </si>
  <si>
    <t>0.04 P(Pa)</t>
  </si>
  <si>
    <t>2,4,6-TNT (s)</t>
  </si>
  <si>
    <t>log10P = 14.74-5960/T</t>
  </si>
  <si>
    <t>5.50E-06 P(Pa)</t>
  </si>
  <si>
    <t>2,4,6-TNT (i)</t>
  </si>
  <si>
    <t>log10P = 11.13-4690/T</t>
  </si>
  <si>
    <t>81-142</t>
  </si>
  <si>
    <t>AN</t>
  </si>
  <si>
    <t>log P = 12.97 - 3541/ T</t>
  </si>
  <si>
    <t>21 - 97</t>
  </si>
  <si>
    <t>lnP(Pa) = 35.141-12690/T</t>
  </si>
  <si>
    <t>4.196 P(Pa)</t>
  </si>
  <si>
    <t>10.373 P(Pa)</t>
  </si>
  <si>
    <t>15.89 P(Pa)</t>
  </si>
  <si>
    <t>20.418 P(Pa)</t>
  </si>
  <si>
    <t>19.345 P(Pa)</t>
  </si>
  <si>
    <t>38.447-51.343 P(Pa)</t>
  </si>
  <si>
    <t>93.336 P(Pa)</t>
  </si>
  <si>
    <t>105.908 P(Pa)</t>
  </si>
  <si>
    <t>137.907 P(Pa)</t>
  </si>
  <si>
    <t>208.751 P(Pa)</t>
  </si>
  <si>
    <t>185.679 P(Pa)</t>
  </si>
  <si>
    <t>206.878 P(Pa)</t>
  </si>
  <si>
    <t>328.103 P(Pa)</t>
  </si>
  <si>
    <t>283.787 P(Pa)</t>
  </si>
  <si>
    <t>AN (AN III)</t>
  </si>
  <si>
    <t>log10P = 11.83-5018/T</t>
  </si>
  <si>
    <t>32-85</t>
  </si>
  <si>
    <t>AN (AN IV)</t>
  </si>
  <si>
    <t>log10P = 11.53-4929/T</t>
  </si>
  <si>
    <t>(-17) - 32</t>
  </si>
  <si>
    <t>25°/Torr</t>
  </si>
  <si>
    <t>AP</t>
  </si>
  <si>
    <t>log P = 10.56 - 6283.7 / T</t>
  </si>
  <si>
    <t>250 - 350</t>
  </si>
  <si>
    <t>log10P = 10.56-6284/T</t>
  </si>
  <si>
    <t>246-346</t>
  </si>
  <si>
    <t>benzoic acid</t>
  </si>
  <si>
    <t>2.376 P(Pa)</t>
  </si>
  <si>
    <t>2.588 P(Pa)</t>
  </si>
  <si>
    <t>3.731 P(Pa)</t>
  </si>
  <si>
    <t>3.793-3.795 P(Pa)</t>
  </si>
  <si>
    <t>5.989 P(Pa)</t>
  </si>
  <si>
    <t>6.225-6.235 P(Pa)</t>
  </si>
  <si>
    <t>9.197 P(Pa)</t>
  </si>
  <si>
    <t>9.432 P(Pa)</t>
  </si>
  <si>
    <t>11.862 P(Pa)</t>
  </si>
  <si>
    <t>14.715 P(Pa)</t>
  </si>
  <si>
    <t>15.095 P(Pa)</t>
  </si>
  <si>
    <t>16.856 P(Pa)</t>
  </si>
  <si>
    <t>BDNPA</t>
  </si>
  <si>
    <t>log10P(Pa) = 13.440(±0.051) - 4851.4(±19.8)Tk</t>
  </si>
  <si>
    <t>25° (mPa)</t>
  </si>
  <si>
    <t>BDNPF</t>
  </si>
  <si>
    <t>log10P(Pa) = 12.175(±0.114) - 4420.7(±46.1)Tk</t>
  </si>
  <si>
    <t>Chloro-2,4,6-trinitrobenzene</t>
  </si>
  <si>
    <t>3199.74 Pa</t>
  </si>
  <si>
    <t>3733.03 Pa</t>
  </si>
  <si>
    <t>4799.61 Pa</t>
  </si>
  <si>
    <t>5999.51 Pa</t>
  </si>
  <si>
    <t>6666.12 Pa</t>
  </si>
  <si>
    <t>7732.7 Pa</t>
  </si>
  <si>
    <t>8132.66 Pa</t>
  </si>
  <si>
    <t>9999.18 Pa</t>
  </si>
  <si>
    <t>DADP</t>
  </si>
  <si>
    <t>lnP(Pa) = 35.9-9845.1/T(K)</t>
  </si>
  <si>
    <t>7.47 P(Pa)</t>
  </si>
  <si>
    <t>17.33-18.13 P(Pa)</t>
  </si>
  <si>
    <t>29.33 P(Pa)</t>
  </si>
  <si>
    <t>42.26 P(Pa)</t>
  </si>
  <si>
    <t>95.19 P(Pa)</t>
  </si>
  <si>
    <t>137.45 P(Pa)</t>
  </si>
  <si>
    <t>255.58 P(Pa)</t>
  </si>
  <si>
    <t>ln10P(Pa) = 16.31-4417/T(K)</t>
  </si>
  <si>
    <t>0.50663 Pa</t>
  </si>
  <si>
    <t>1.29323 Pa</t>
  </si>
  <si>
    <t>2.81310 Pa</t>
  </si>
  <si>
    <t>6.70312-6.86610 Pa</t>
  </si>
  <si>
    <t>19.1718-20.2117 Pa</t>
  </si>
  <si>
    <t>20.4517-20.7183 Pa</t>
  </si>
  <si>
    <t>log10P = 12.01-3840/T</t>
  </si>
  <si>
    <t>(-8)-50</t>
  </si>
  <si>
    <t>DATB</t>
  </si>
  <si>
    <t>log P = 14.745 - 7492 / T</t>
  </si>
  <si>
    <t>92.8 - 176.8</t>
  </si>
  <si>
    <t>DEGN</t>
  </si>
  <si>
    <t>log P = 9.985 - 3643 / T</t>
  </si>
  <si>
    <t>15 - 55</t>
  </si>
  <si>
    <t>Dichloro-2,4,6-trinitrobenzene</t>
  </si>
  <si>
    <t>4399.64 Pa</t>
  </si>
  <si>
    <t>7999.34 Pa</t>
  </si>
  <si>
    <t>7866.02 Pa</t>
  </si>
  <si>
    <t>Difluoro-2,4,6-trinitrobenzene</t>
  </si>
  <si>
    <t>m-Dinitrobenzene</t>
  </si>
  <si>
    <t>3933.01 Pa</t>
  </si>
  <si>
    <t>8532.63 Pa</t>
  </si>
  <si>
    <t>29330.9 Pa</t>
  </si>
  <si>
    <t>30664.1 Pa</t>
  </si>
  <si>
    <t>91592.5 Pa</t>
  </si>
  <si>
    <t>95458.8 Pa</t>
  </si>
  <si>
    <t>o-Dinitrobenzene</t>
  </si>
  <si>
    <t>0.34 P(Pa)</t>
  </si>
  <si>
    <t>66527.9 Pa</t>
  </si>
  <si>
    <t>65594.6 Pa</t>
  </si>
  <si>
    <t>66661.2 Pa</t>
  </si>
  <si>
    <t>67327.8 Pa</t>
  </si>
  <si>
    <t>p-Dinitrobenzene</t>
  </si>
  <si>
    <t>0.07 P(Pa)</t>
  </si>
  <si>
    <t>0.23 P(Pa)</t>
  </si>
  <si>
    <t>EGDN</t>
  </si>
  <si>
    <t>log P = 11.662 - 3821 / T</t>
  </si>
  <si>
    <t>log P = 10.55 - 3476 / T</t>
  </si>
  <si>
    <t>5.1 Pa</t>
  </si>
  <si>
    <t>2300 Pa</t>
  </si>
  <si>
    <t>EGDN(l)</t>
  </si>
  <si>
    <t>log10P = 10.537-3473/T</t>
  </si>
  <si>
    <t>(-22) - 50</t>
  </si>
  <si>
    <t>Fluoro-2,4,6-trinitrobenzene</t>
  </si>
  <si>
    <t>6532.8 Pa</t>
  </si>
  <si>
    <t>6799.44 Pa</t>
  </si>
  <si>
    <t>GN</t>
  </si>
  <si>
    <t>lnP(Pa) = 72.189-33589/T</t>
  </si>
  <si>
    <t>6.865 P(Pa)</t>
  </si>
  <si>
    <t>4.886 P(Pa)</t>
  </si>
  <si>
    <t>8.926 P(Pa)</t>
  </si>
  <si>
    <t>16.238-17.122 P(Pa)</t>
  </si>
  <si>
    <t>24.309-24.923 P(Pa)</t>
  </si>
  <si>
    <t>37.305 P(Pa)</t>
  </si>
  <si>
    <t>34.953 P(Pa)</t>
  </si>
  <si>
    <t>53.992 P(Pa)</t>
  </si>
  <si>
    <t>54.384 P(Pa)</t>
  </si>
  <si>
    <t>55.736 P(Pa)</t>
  </si>
  <si>
    <t>143.324 P(Pa)</t>
  </si>
  <si>
    <t>140.24 P(Pa)</t>
  </si>
  <si>
    <t>HMX</t>
  </si>
  <si>
    <t>log P = 14.715 - 8407 / T</t>
  </si>
  <si>
    <t>141.8 - 206.2</t>
  </si>
  <si>
    <t>log P = 16.18 - 9154 / T</t>
  </si>
  <si>
    <t>97.6 - 129.3</t>
  </si>
  <si>
    <t>log P = 15.170 - 8596 / T</t>
  </si>
  <si>
    <t>188 - 213</t>
  </si>
  <si>
    <t>Β-HMX</t>
  </si>
  <si>
    <t>log10P = 16.1-9125/T</t>
  </si>
  <si>
    <t>97-130</t>
  </si>
  <si>
    <t>HNAB</t>
  </si>
  <si>
    <t>HNS</t>
  </si>
  <si>
    <t>log P = 14.084 - 9347 / T</t>
  </si>
  <si>
    <t>log10P = 14.15-9382/T</t>
  </si>
  <si>
    <t>129-177</t>
  </si>
  <si>
    <t>HNS-II</t>
  </si>
  <si>
    <t>HP 100%(l)</t>
  </si>
  <si>
    <t>log10P = 8.992-2582/T</t>
  </si>
  <si>
    <t>HP 17% (aq)</t>
  </si>
  <si>
    <t>log10P = 8.076-2736/T</t>
  </si>
  <si>
    <t>0-90</t>
  </si>
  <si>
    <t>HP 32% (aq)</t>
  </si>
  <si>
    <t>log10P = 8.345-2692/T</t>
  </si>
  <si>
    <t>HP 65% (aq)</t>
  </si>
  <si>
    <t>log10P = 8.798-2636/T</t>
  </si>
  <si>
    <t>LX-17-01</t>
  </si>
  <si>
    <t>log P = 15.496 - 9064 / T</t>
  </si>
  <si>
    <t>150 - 200</t>
  </si>
  <si>
    <t>Naphthalene</t>
  </si>
  <si>
    <t>29.85-74.85</t>
  </si>
  <si>
    <t>m-Nitroaniline</t>
  </si>
  <si>
    <t>0.15 P(Pa)</t>
  </si>
  <si>
    <t>0.31 P(Pa)</t>
  </si>
  <si>
    <t>o-Nitroaniline</t>
  </si>
  <si>
    <t>0.26 P(Pa)</t>
  </si>
  <si>
    <t>1.89 P(Pa)</t>
  </si>
  <si>
    <t>p-Nitroaniline</t>
  </si>
  <si>
    <t>0.02 P(Pa)</t>
  </si>
  <si>
    <t>0.05 P(Pa)</t>
  </si>
  <si>
    <t>p-Nitroanisole</t>
  </si>
  <si>
    <t>0.58 P(Pa)</t>
  </si>
  <si>
    <t>4.29 P(Pa)</t>
  </si>
  <si>
    <t>Nitrobenzene</t>
  </si>
  <si>
    <t>190651 Pa</t>
  </si>
  <si>
    <t>236647.2 Pa</t>
  </si>
  <si>
    <t>288909.6 Pa</t>
  </si>
  <si>
    <t>334905.8 Pa</t>
  </si>
  <si>
    <t>403033.5 Pa</t>
  </si>
  <si>
    <t>477560.7 Pa</t>
  </si>
  <si>
    <t>log P = 9.180 - 3518 / T</t>
  </si>
  <si>
    <t>log P = 18.21 - 4602 / T</t>
  </si>
  <si>
    <t>13 - 97</t>
  </si>
  <si>
    <t>0.03-0.2</t>
  </si>
  <si>
    <t>NG(l)</t>
  </si>
  <si>
    <t>log10P = 11.88-4529/T</t>
  </si>
  <si>
    <t>13-93</t>
  </si>
  <si>
    <t>log(p) = 8.323202 - (2305.8/(T+173.838))</t>
  </si>
  <si>
    <t>13-406</t>
  </si>
  <si>
    <t>nitroguanidine</t>
  </si>
  <si>
    <t>log P = 11.10 - 7452 / T</t>
  </si>
  <si>
    <t>129.2-199.8</t>
  </si>
  <si>
    <t>p-Nitrotoluene</t>
  </si>
  <si>
    <t>5.11 P(Pa)</t>
  </si>
  <si>
    <t>30.47 P(Pa)</t>
  </si>
  <si>
    <t>log P = 7.705 - 1803.3 / T</t>
  </si>
  <si>
    <t>130 - 200</t>
  </si>
  <si>
    <t>log P = 7.2805 - 1446.186/T</t>
  </si>
  <si>
    <t>55.71-136.404</t>
  </si>
  <si>
    <t>NM (l)</t>
  </si>
  <si>
    <t>log10P = 8.032 - 1928/T</t>
  </si>
  <si>
    <t>10-136</t>
  </si>
  <si>
    <t>log P = 14.145 - 7452 / T</t>
  </si>
  <si>
    <t>129.2 - 199.8</t>
  </si>
  <si>
    <t>log10P = 13.22-7452</t>
  </si>
  <si>
    <t>129-200</t>
  </si>
  <si>
    <t>PETN</t>
  </si>
  <si>
    <t>log P = 18.075 - 7856 / T</t>
  </si>
  <si>
    <t>54.7 - 131.9</t>
  </si>
  <si>
    <t>log P = 14.44 - 6352 / T</t>
  </si>
  <si>
    <t>50 - 98</t>
  </si>
  <si>
    <t>log P (ppt) = 25.56 - 7243 / T</t>
  </si>
  <si>
    <t>5 - 144</t>
  </si>
  <si>
    <t>1 - 8E-06</t>
  </si>
  <si>
    <t>log10P = 18.5-7878/T</t>
  </si>
  <si>
    <t>18-109</t>
  </si>
  <si>
    <t>Picric acid</t>
  </si>
  <si>
    <t>log P = 12.275 - 5488 / T</t>
  </si>
  <si>
    <t>40.9 - 132.9</t>
  </si>
  <si>
    <t>log10P = 12.29-5488/T</t>
  </si>
  <si>
    <t>41-133</t>
  </si>
  <si>
    <t>log P = 15.115 - 7011 / T</t>
  </si>
  <si>
    <t>70.2 - 174.2</t>
  </si>
  <si>
    <t>log P = 14.18 - 6799 / T</t>
  </si>
  <si>
    <t>55.7 - 97.7</t>
  </si>
  <si>
    <t>log P = 11.87 - 5850 / T</t>
  </si>
  <si>
    <t>110.6 - 138.5</t>
  </si>
  <si>
    <t>log P = 22.5 - 6473 / T</t>
  </si>
  <si>
    <t>21 - 144</t>
  </si>
  <si>
    <t>1 - 4E-07</t>
  </si>
  <si>
    <t>log10P = 13.79-6637/T</t>
  </si>
  <si>
    <t>37-138</t>
  </si>
  <si>
    <t>lnP(Pa) = 39.6-15459/T</t>
  </si>
  <si>
    <t>styphnic acid</t>
  </si>
  <si>
    <t>log P = 12.03 - 6301 / T</t>
  </si>
  <si>
    <t>52.0 - 162.7</t>
  </si>
  <si>
    <t>TATB</t>
  </si>
  <si>
    <t>log P = 16.078 - 9322 / T</t>
  </si>
  <si>
    <t>log10P = 14.67-8761/T</t>
  </si>
  <si>
    <t>161-206</t>
  </si>
  <si>
    <t>TATP</t>
  </si>
  <si>
    <t>6.46 P(Pa)</t>
  </si>
  <si>
    <t>45.53 P(Pa)</t>
  </si>
  <si>
    <t>log10P(Pa) = 19.791-5708/T</t>
  </si>
  <si>
    <t>ln10P(Pa) = 19.791-5708/T(K)</t>
  </si>
  <si>
    <t>0.95-1.13 Pa</t>
  </si>
  <si>
    <t>1.44-1.85 Pa</t>
  </si>
  <si>
    <t>6.86-6.95 Pa</t>
  </si>
  <si>
    <t>16.8-18.9 Pa</t>
  </si>
  <si>
    <t>46.4-51.2 Pa</t>
  </si>
  <si>
    <t>98.4-101 Pa</t>
  </si>
  <si>
    <t>596-720 Pa</t>
  </si>
  <si>
    <t>0.4 Pa</t>
  </si>
  <si>
    <t>31000 Pa</t>
  </si>
  <si>
    <t>lnP(Pa) = 31.4-8719.9/T</t>
  </si>
  <si>
    <t>3.73 P(Pa)</t>
  </si>
  <si>
    <t>7.20-8.40 P(Pa)</t>
  </si>
  <si>
    <t>14.13 P(Pa)</t>
  </si>
  <si>
    <t>26.93 P(Pa)</t>
  </si>
  <si>
    <t>35.86 P(Pa)</t>
  </si>
  <si>
    <t>49.46 P(Pa)</t>
  </si>
  <si>
    <t>84.93 P(Pa)</t>
  </si>
  <si>
    <t>lnP(Pa) = 40.194-11025/T</t>
  </si>
  <si>
    <t>143.837 P(Pa)</t>
  </si>
  <si>
    <t>172.789 P(Pa)</t>
  </si>
  <si>
    <t>290.498 P(Pa)</t>
  </si>
  <si>
    <t>293.723 P(Pa)</t>
  </si>
  <si>
    <t>318.733 P(Pa)</t>
  </si>
  <si>
    <t>413.027 P(Pa)</t>
  </si>
  <si>
    <t>455.683 P(Pa)</t>
  </si>
  <si>
    <t>1125.73 P(Pa)</t>
  </si>
  <si>
    <t>1099.01 P(Pa)</t>
  </si>
  <si>
    <t>ln10P(Pa) = 15.86-4497/T(K)</t>
  </si>
  <si>
    <t>0.14932-0.17198 Pa</t>
  </si>
  <si>
    <t>0.21732 Pa</t>
  </si>
  <si>
    <t>0.35197 Pa</t>
  </si>
  <si>
    <t>0.35730 Pa</t>
  </si>
  <si>
    <t>0.44130 Pa</t>
  </si>
  <si>
    <t>0.38397 Pa</t>
  </si>
  <si>
    <t>0.41063 Pa</t>
  </si>
  <si>
    <t>0.55329 Pa</t>
  </si>
  <si>
    <t>0.54929 Pa</t>
  </si>
  <si>
    <t>0.61062 Pa</t>
  </si>
  <si>
    <t>1.06391 Pa</t>
  </si>
  <si>
    <t>0.90926 Pa</t>
  </si>
  <si>
    <t>1.05058-1.06791 Pa</t>
  </si>
  <si>
    <t>1.04791 Pa</t>
  </si>
  <si>
    <t>1.09991 Pa</t>
  </si>
  <si>
    <t>1.59454-1.59987 Pa</t>
  </si>
  <si>
    <t>1.77052 Pa</t>
  </si>
  <si>
    <t>3.10508 Pa</t>
  </si>
  <si>
    <t>3.16507 Pa</t>
  </si>
  <si>
    <t>4.31831 Pa</t>
  </si>
  <si>
    <t>4.23299 Pa</t>
  </si>
  <si>
    <t>10.1832-10.5551 Pa</t>
  </si>
  <si>
    <t>15.6534 Pa</t>
  </si>
  <si>
    <t>16.2947-16.3573 Pa</t>
  </si>
  <si>
    <t>log10P = 14.02-4575/T</t>
  </si>
  <si>
    <t>(-4) - 50</t>
  </si>
  <si>
    <t>25°</t>
  </si>
  <si>
    <t>Tetryl</t>
  </si>
  <si>
    <t>log P = 15.185 - 6987 / T</t>
  </si>
  <si>
    <t>62.2 - 142.8</t>
  </si>
  <si>
    <t>log P = 13.71 - 6776 / T</t>
  </si>
  <si>
    <t>85 - 106</t>
  </si>
  <si>
    <t>tetryl</t>
  </si>
  <si>
    <t>log10P = 15.26-6987/T</t>
  </si>
  <si>
    <t>62-142</t>
  </si>
  <si>
    <t>TNA</t>
  </si>
  <si>
    <t>log P = 12.36 - 6545 / T</t>
  </si>
  <si>
    <t>53.0 - 175.7</t>
  </si>
  <si>
    <t>TNB</t>
  </si>
  <si>
    <t>log P = 11.1 - 5608 / T</t>
  </si>
  <si>
    <t>40.8 - 121.6</t>
  </si>
  <si>
    <t>TNC</t>
  </si>
  <si>
    <t>log P = 11.59 - 5808 / T</t>
  </si>
  <si>
    <t>36.9 - 92.5</t>
  </si>
  <si>
    <t>TNM</t>
  </si>
  <si>
    <t>log P = 12.635 - 5410 / T</t>
  </si>
  <si>
    <t>46.0 - 124.5</t>
  </si>
  <si>
    <t>log P = 14.525 - 5900 / T</t>
  </si>
  <si>
    <t>28.3 - 76.0</t>
  </si>
  <si>
    <t>log P = 12.31 - 5175 / T</t>
  </si>
  <si>
    <t>14 - 56.5</t>
  </si>
  <si>
    <t>log P = 25.56 - 7243 / T</t>
  </si>
  <si>
    <t>log P = 19.37 - 5481 / T</t>
  </si>
  <si>
    <t>13 - 144</t>
  </si>
  <si>
    <t>1.65E-05 - 1.95E-05 Pa</t>
  </si>
  <si>
    <t>2.23E-04 - 2.29E-04 Pa</t>
  </si>
  <si>
    <t>4.84E-04 - 5.57E-04 Pa</t>
  </si>
  <si>
    <t>1.02E-03 - 1.07E-03 Pa</t>
  </si>
  <si>
    <t>3.20E-03 - 3.21E-03 Pa</t>
  </si>
  <si>
    <t>5.48E-03 - 5.53E-03 Pa</t>
  </si>
  <si>
    <t>7.87E-03 - 7.99E-03 Pa</t>
  </si>
  <si>
    <t>0.001 Pa</t>
  </si>
  <si>
    <t>5-15 Pa</t>
  </si>
  <si>
    <t>5.33E-04 P(Pa)</t>
  </si>
  <si>
    <t>1.73E-03 P(Pa)</t>
  </si>
  <si>
    <t>3.73E-03 P(Pa)</t>
  </si>
  <si>
    <t>8.40E-03 P(Pa)</t>
  </si>
  <si>
    <t>1.60E-02 P(Pa)</t>
  </si>
  <si>
    <t>2.67E-02 P(Pa)</t>
  </si>
  <si>
    <t>5.73E-02 P(Pa)</t>
  </si>
  <si>
    <t>4.17E-04 P(Pa)</t>
  </si>
  <si>
    <t>lnP(Pa) = 34.9-12058/T</t>
  </si>
  <si>
    <t>TNX</t>
  </si>
  <si>
    <t>log P = 13.73 - 6779 / T</t>
  </si>
  <si>
    <t>45.5 - 138.5</t>
  </si>
  <si>
    <t>UN</t>
  </si>
  <si>
    <t>lnP(Pa) = 57.377-20131/T</t>
  </si>
  <si>
    <t>1.403 P(Pa)</t>
  </si>
  <si>
    <t>1.312 P(Pa)</t>
  </si>
  <si>
    <t>1.323 P(Pa)</t>
  </si>
  <si>
    <t>5.725 P(Pa)</t>
  </si>
  <si>
    <t>6.009-6.036 P(Pa)</t>
  </si>
  <si>
    <t>28.338 P(Pa)</t>
  </si>
  <si>
    <t>23.495 P(Pa)</t>
  </si>
  <si>
    <t>25.594 P(Pa)</t>
  </si>
  <si>
    <t>155.577-157.673 P(Pa)</t>
  </si>
  <si>
    <t>132.695 P(Pa)</t>
  </si>
  <si>
    <t>386.207-443.138 P(Pa)</t>
  </si>
  <si>
    <t>403.092 P(Pa)</t>
  </si>
  <si>
    <t>log10P = 22.73-8718/T</t>
  </si>
  <si>
    <t>80-120</t>
  </si>
  <si>
    <t>XTX-8003</t>
  </si>
  <si>
    <t>log P = 10.82 - 4908 / T</t>
  </si>
  <si>
    <t>80.8 - 95.2</t>
  </si>
  <si>
    <t>P(atm)</t>
  </si>
  <si>
    <t>Green - data added, blue - added from different source, red - could not find source, gray - source data does not meet criteria</t>
  </si>
  <si>
    <t>B [log10/K]</t>
  </si>
  <si>
    <t>B [ln/K]</t>
  </si>
  <si>
    <t>2,4-DNT</t>
  </si>
  <si>
    <t>Triacetone triperoxide</t>
  </si>
  <si>
    <t>Cyclotrimethylene trinitramine</t>
  </si>
  <si>
    <t>Bv [ln/K]</t>
  </si>
  <si>
    <t>Av [ln(v)]</t>
  </si>
  <si>
    <t>p-MNT(crI)</t>
  </si>
  <si>
    <t>p-MNT(crII)</t>
  </si>
  <si>
    <t>p-MNT(l)</t>
  </si>
  <si>
    <t>DMDNB(crIII)</t>
  </si>
  <si>
    <t>DMDNB(crII)</t>
  </si>
  <si>
    <t>Matthews 1950</t>
  </si>
  <si>
    <t>2AE</t>
  </si>
  <si>
    <t>2-aminoethanol</t>
  </si>
  <si>
    <t>1M2P</t>
  </si>
  <si>
    <t>2AE (s)</t>
  </si>
  <si>
    <t>2AE (l)</t>
  </si>
  <si>
    <t>A [log10(Pa)]</t>
  </si>
  <si>
    <t>Steel 2002</t>
  </si>
  <si>
    <t>mp = -6.5</t>
  </si>
  <si>
    <t>ANI</t>
  </si>
  <si>
    <t>Aniline</t>
  </si>
  <si>
    <t>Hatton 1962</t>
  </si>
  <si>
    <t>Maher 1980</t>
  </si>
  <si>
    <t>Gould 1947</t>
  </si>
  <si>
    <t>mmHG</t>
  </si>
  <si>
    <t>A [ln(kPa)]</t>
  </si>
  <si>
    <t>Palczewska-Tulinska 2007</t>
  </si>
  <si>
    <t>NMP</t>
  </si>
  <si>
    <t>Chylinski 2004</t>
  </si>
  <si>
    <t>Blanco 1997</t>
  </si>
  <si>
    <t>Linek 1996</t>
  </si>
  <si>
    <t>P(mmHg)</t>
  </si>
  <si>
    <t>Weidliich 1987</t>
  </si>
  <si>
    <t>Kneisl 1987</t>
  </si>
  <si>
    <t>P(bar)</t>
  </si>
  <si>
    <t>PGDN</t>
  </si>
  <si>
    <t>Tmin</t>
  </si>
  <si>
    <t>Tmax</t>
  </si>
  <si>
    <t>P (mmHg)</t>
  </si>
  <si>
    <t>P (Pa)</t>
  </si>
  <si>
    <t>Aim 1994</t>
  </si>
  <si>
    <t>A [log10(kPa)]</t>
  </si>
  <si>
    <t>2-nitrotoluene</t>
  </si>
  <si>
    <t>3-Nitrotoluene</t>
  </si>
  <si>
    <t>Dreisbach 1949</t>
  </si>
  <si>
    <t>Kahlbaum 1898</t>
  </si>
  <si>
    <t>Berliner 1926</t>
  </si>
  <si>
    <t>Levin 1938</t>
  </si>
  <si>
    <t>Stull 1947, Wichterle 1970, 27</t>
  </si>
  <si>
    <t>Stull 1947, Wichterle 1970</t>
  </si>
  <si>
    <t>Salachijev 1973</t>
  </si>
  <si>
    <t>Hara 1976</t>
  </si>
  <si>
    <t>Dykyj 1979</t>
  </si>
  <si>
    <t>Mann 1936</t>
  </si>
  <si>
    <t>Ambrose 1980</t>
  </si>
  <si>
    <t>SE</t>
  </si>
  <si>
    <t>1/T [1/K]</t>
  </si>
  <si>
    <t>mmHg</t>
  </si>
  <si>
    <t>1/T</t>
  </si>
  <si>
    <t>Notes</t>
  </si>
  <si>
    <t>*improperly reported temperatures by Stull?</t>
  </si>
  <si>
    <t>B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</si>
</sst>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11" fontId="0" fillId="0" borderId="0" xfId="0" applyNumberFormat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35-DNP (l)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426027996500437"/>
                  <c:y val="-0.17830380577427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'Gorn 2020'!$A$3:$A$4</c:f>
              <c:numCache>
                <c:formatCode>General</c:formatCode>
                <c:ptCount val="2"/>
                <c:pt idx="0">
                  <c:v>1.6000000000000001E-3</c:v>
                </c:pt>
                <c:pt idx="1">
                  <c:v>2E-3</c:v>
                </c:pt>
              </c:numCache>
            </c:numRef>
          </c:xVal>
          <c:yVal>
            <c:numRef>
              <c:f>'Gorn 2020'!$D$3:$D$4</c:f>
              <c:numCache>
                <c:formatCode>General</c:formatCode>
                <c:ptCount val="2"/>
                <c:pt idx="0">
                  <c:v>1.4714045249378322</c:v>
                </c:pt>
                <c:pt idx="1">
                  <c:v>-0.22756547939818655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E-4FC2-8CFB-D4756B818171}"/>
            </c:ext>
          </c:extLst>
        </c:ser>
        <c:ser>
          <c:idx val="1"/>
          <c:order val="1"/>
          <c:tx>
            <c:v>35-DNP (s)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579527559055117"/>
                  <c:y val="-7.0034995625546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'Gorn 2020'!$A$7:$A$8</c:f>
              <c:numCache>
                <c:formatCode>General</c:formatCode>
                <c:ptCount val="2"/>
                <c:pt idx="0">
                  <c:v>2.2652622041001245E-3</c:v>
                </c:pt>
                <c:pt idx="1">
                  <c:v>2.3999999999999998E-3</c:v>
                </c:pt>
              </c:numCache>
            </c:numRef>
          </c:xVal>
          <c:yVal>
            <c:numRef>
              <c:f>'Gorn 2020'!$D$7:$D$8</c:f>
              <c:numCache>
                <c:formatCode>General</c:formatCode>
                <c:ptCount val="2"/>
                <c:pt idx="0">
                  <c:v>-1.3929328730620947</c:v>
                </c:pt>
                <c:pt idx="1">
                  <c:v>-2.13065546639013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E-4FC2-8CFB-D4756B81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08856"/>
        <c:axId val="444520472"/>
      </c:scatterChart>
      <c:valAx>
        <c:axId val="62620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0472"/>
        <c:crosses val="autoZero"/>
        <c:crossBetween val="midCat"/>
      </c:valAx>
      <c:valAx>
        <c:axId val="4445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log10(atm)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0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'Gorn 2020'!$H$30:$H$31</c:f>
              <c:numCache>
                <c:formatCode>General</c:formatCode>
                <c:ptCount val="2"/>
                <c:pt idx="0">
                  <c:v>0.1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0-4F66-92C2-FB7141CB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68160"/>
        <c:axId val="831465208"/>
      </c:scatterChart>
      <c:valAx>
        <c:axId val="8314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5208"/>
        <c:crosses val="autoZero"/>
        <c:crossBetween val="midCat"/>
      </c:valAx>
      <c:valAx>
        <c:axId val="831465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'Gorn 2020'!$H$30:$H$31</c:f>
              <c:numCache>
                <c:formatCode>General</c:formatCode>
                <c:ptCount val="2"/>
                <c:pt idx="0">
                  <c:v>0.1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B-4DAD-A6C0-9ED18095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68160"/>
        <c:axId val="831465208"/>
      </c:scatterChart>
      <c:valAx>
        <c:axId val="8314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5208"/>
        <c:crosses val="autoZero"/>
        <c:crossBetween val="midCat"/>
      </c:valAx>
      <c:valAx>
        <c:axId val="831465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'Gorn 2020'!$H$30:$H$31</c:f>
              <c:numCache>
                <c:formatCode>General</c:formatCode>
                <c:ptCount val="2"/>
                <c:pt idx="0">
                  <c:v>0.1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5-43ED-9CA9-5EC7563E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68160"/>
        <c:axId val="831465208"/>
      </c:scatterChart>
      <c:valAx>
        <c:axId val="8314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5208"/>
        <c:crosses val="autoZero"/>
        <c:crossBetween val="midCat"/>
      </c:valAx>
      <c:valAx>
        <c:axId val="831465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'Gorn 2020'!$H$30:$H$31</c:f>
              <c:numCache>
                <c:formatCode>General</c:formatCode>
                <c:ptCount val="2"/>
                <c:pt idx="0">
                  <c:v>0.1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3-43E0-8BEE-A975C858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68160"/>
        <c:axId val="831465208"/>
      </c:scatterChart>
      <c:valAx>
        <c:axId val="8314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5208"/>
        <c:crosses val="autoZero"/>
        <c:crossBetween val="midCat"/>
      </c:valAx>
      <c:valAx>
        <c:axId val="831465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38099</xdr:colOff>
      <xdr:row>0</xdr:row>
      <xdr:rowOff>76200</xdr:rowOff>
    </xdr:from>
    <xdr:to>
      <xdr:col>24</xdr:col>
      <xdr:colOff>565314</xdr:colOff>
      <xdr:row>39</xdr:row>
      <xdr:rowOff>75562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0399" y="76200"/>
          <a:ext cx="9671215" cy="718121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7</xdr:row>
      <xdr:rowOff>82550</xdr:rowOff>
    </xdr:from>
    <xdr:to>
      <xdr:col>13</xdr:col>
      <xdr:colOff>0</xdr:colOff>
      <xdr:row>33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V="1">
          <a:off x="8534400" y="1371600"/>
          <a:ext cx="0" cy="4705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488950</xdr:colOff>
      <xdr:row>7</xdr:row>
      <xdr:rowOff>88900</xdr:rowOff>
    </xdr:from>
    <xdr:to>
      <xdr:col>13</xdr:col>
      <xdr:colOff>6350</xdr:colOff>
      <xdr:row>7</xdr:row>
      <xdr:rowOff>88900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04150" y="1377950"/>
          <a:ext cx="73660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457200</xdr:colOff>
      <xdr:row>17</xdr:row>
      <xdr:rowOff>31750</xdr:rowOff>
    </xdr:from>
    <xdr:to>
      <xdr:col>17</xdr:col>
      <xdr:colOff>457200</xdr:colOff>
      <xdr:row>33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11430000" y="3162300"/>
          <a:ext cx="0" cy="29146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482600</xdr:colOff>
      <xdr:row>17</xdr:row>
      <xdr:rowOff>38100</xdr:rowOff>
    </xdr:from>
    <xdr:to>
      <xdr:col>17</xdr:col>
      <xdr:colOff>463550</xdr:colOff>
      <xdr:row>17</xdr:row>
      <xdr:rowOff>38100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H="1">
          <a:off x="7797800" y="3168650"/>
          <a:ext cx="3638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304800</xdr:colOff>
      <xdr:row>27</xdr:row>
      <xdr:rowOff>171450</xdr:rowOff>
    </xdr:from>
    <xdr:to>
      <xdr:col>22</xdr:col>
      <xdr:colOff>304800</xdr:colOff>
      <xdr:row>32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 flipV="1">
          <a:off x="14325600" y="5143500"/>
          <a:ext cx="0" cy="9207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501650</xdr:colOff>
      <xdr:row>28</xdr:row>
      <xdr:rowOff>6350</xdr:rowOff>
    </xdr:from>
    <xdr:to>
      <xdr:col>22</xdr:col>
      <xdr:colOff>292100</xdr:colOff>
      <xdr:row>28</xdr:row>
      <xdr:rowOff>6350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flipH="1">
          <a:off x="7816850" y="5162550"/>
          <a:ext cx="64960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546100</xdr:colOff>
      <xdr:row>23</xdr:row>
      <xdr:rowOff>114300</xdr:rowOff>
    </xdr:from>
    <xdr:to>
      <xdr:col>23</xdr:col>
      <xdr:colOff>501650</xdr:colOff>
      <xdr:row>31</xdr:row>
      <xdr:rowOff>44450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H="1" flipV="1">
          <a:off x="13347700" y="4349750"/>
          <a:ext cx="1784350" cy="140335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488950</xdr:colOff>
      <xdr:row>23</xdr:row>
      <xdr:rowOff>146050</xdr:rowOff>
    </xdr:from>
    <xdr:to>
      <xdr:col>20</xdr:col>
      <xdr:colOff>539750</xdr:colOff>
      <xdr:row>23</xdr:row>
      <xdr:rowOff>146050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 flipH="1">
          <a:off x="7804150" y="4381500"/>
          <a:ext cx="553720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146050</xdr:rowOff>
    </xdr:from>
    <xdr:to>
      <xdr:col>8</xdr:col>
      <xdr:colOff>476250</xdr:colOff>
      <xdr:row>26</xdr:row>
      <xdr:rowOff>127000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184150</xdr:colOff>
      <xdr:row>2</xdr:row>
      <xdr:rowOff>0</xdr:rowOff>
    </xdr:from>
    <xdr:to>
      <xdr:col>18</xdr:col>
      <xdr:colOff>488950</xdr:colOff>
      <xdr:row>11</xdr:row>
      <xdr:rowOff>12700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184150</xdr:colOff>
      <xdr:row>13</xdr:row>
      <xdr:rowOff>69850</xdr:rowOff>
    </xdr:from>
    <xdr:to>
      <xdr:col>18</xdr:col>
      <xdr:colOff>488950</xdr:colOff>
      <xdr:row>22</xdr:row>
      <xdr:rowOff>82550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177800</xdr:colOff>
      <xdr:row>19</xdr:row>
      <xdr:rowOff>12700</xdr:rowOff>
    </xdr:from>
    <xdr:to>
      <xdr:col>18</xdr:col>
      <xdr:colOff>482600</xdr:colOff>
      <xdr:row>28</xdr:row>
      <xdr:rowOff>25400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184150</xdr:colOff>
      <xdr:row>24</xdr:row>
      <xdr:rowOff>139700</xdr:rowOff>
    </xdr:from>
    <xdr:to>
      <xdr:col>18</xdr:col>
      <xdr:colOff>488950</xdr:colOff>
      <xdr:row>33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7" workbookViewId="0">
      <selection activeCell="I18" sqref="I18"/>
    </sheetView>
  </sheetViews>
  <sheetFormatPr defaultRowHeight="14.5" x14ac:dyDescent="0.35"/>
  <cols>
    <col min="3" max="3" width="11.08984375" customWidth="1"/>
  </cols>
  <sheetData>
    <row r="1" spans="1:9" x14ac:dyDescent="0.35">
      <c r="A1" t="s">
        <v>8</v>
      </c>
      <c r="D1" t="s">
        <v>3</v>
      </c>
      <c r="E1" t="s">
        <v>4</v>
      </c>
      <c r="F1" t="s">
        <v>5</v>
      </c>
    </row>
    <row r="2" spans="1:9" x14ac:dyDescent="0.35">
      <c r="A2" t="s">
        <v>0</v>
      </c>
      <c r="B2" t="s">
        <v>1</v>
      </c>
      <c r="C2" t="s">
        <v>2</v>
      </c>
      <c r="D2">
        <v>6.6932281169041081</v>
      </c>
      <c r="E2">
        <v>3103.1284910871946</v>
      </c>
      <c r="F2">
        <v>0</v>
      </c>
      <c r="G2" t="s">
        <v>6</v>
      </c>
      <c r="H2" t="s">
        <v>7</v>
      </c>
    </row>
    <row r="3" spans="1:9" x14ac:dyDescent="0.35">
      <c r="A3">
        <v>283.14999999999998</v>
      </c>
      <c r="B3">
        <v>5.53</v>
      </c>
      <c r="C3">
        <f>LOG10(0.00000986923*B3)</f>
        <v>-4.2629915984771323</v>
      </c>
      <c r="G3">
        <f>$D$2-$E$2/(A3+$F$2)</f>
        <v>-4.2660814048588973</v>
      </c>
      <c r="H3">
        <f>(G3-C3)^2</f>
        <v>9.5469034767959487E-6</v>
      </c>
    </row>
    <row r="4" spans="1:9" x14ac:dyDescent="0.35">
      <c r="A4">
        <v>293.14999999999998</v>
      </c>
      <c r="B4">
        <v>12.7</v>
      </c>
      <c r="C4">
        <f t="shared" ref="C4:C21" si="0">LOG10(0.00000986923*B4)</f>
        <v>-3.9019130088258733</v>
      </c>
      <c r="G4">
        <f>$D$2-$E$2/(A4+$F$2)</f>
        <v>-3.8922349262041811</v>
      </c>
      <c r="H4">
        <f>(G4-C4)^2</f>
        <v>9.3665283232301143E-5</v>
      </c>
    </row>
    <row r="5" spans="1:9" x14ac:dyDescent="0.35">
      <c r="A5">
        <v>303.14999999999998</v>
      </c>
      <c r="B5">
        <v>29.7</v>
      </c>
      <c r="C5">
        <f t="shared" si="0"/>
        <v>-3.5329602804646179</v>
      </c>
      <c r="G5">
        <f>$D$2-$E$2/(A5+$F$2)</f>
        <v>-3.5430525728111979</v>
      </c>
      <c r="H5">
        <f>(G5-C5)^2</f>
        <v>1.0185436480883816E-4</v>
      </c>
    </row>
    <row r="6" spans="1:9" x14ac:dyDescent="0.35">
      <c r="A6">
        <v>313.14999999999998</v>
      </c>
      <c r="B6">
        <v>61.1</v>
      </c>
      <c r="C6">
        <f t="shared" si="0"/>
        <v>-3.2196755195392761</v>
      </c>
      <c r="G6">
        <f>$D$2-$E$2/(A6+$F$2)</f>
        <v>-3.2161715033647562</v>
      </c>
      <c r="H6">
        <f>(G6-C6)^2</f>
        <v>1.2278129351297055E-5</v>
      </c>
      <c r="I6" t="s">
        <v>11</v>
      </c>
    </row>
    <row r="7" spans="1:9" x14ac:dyDescent="0.35">
      <c r="G7" t="s">
        <v>21</v>
      </c>
      <c r="H7">
        <f>SUM(H3:H6)</f>
        <v>2.1734468086923232E-4</v>
      </c>
      <c r="I7">
        <v>2.2398607685435298E-4</v>
      </c>
    </row>
    <row r="8" spans="1:9" x14ac:dyDescent="0.35">
      <c r="G8" t="s">
        <v>666</v>
      </c>
      <c r="H8">
        <f>SQRT(SUM(H3:H6)/(COUNT(H3:H6)-1))</f>
        <v>8.5116524222039729E-3</v>
      </c>
    </row>
    <row r="9" spans="1:9" x14ac:dyDescent="0.35">
      <c r="A9" t="s">
        <v>9</v>
      </c>
    </row>
    <row r="10" spans="1:9" x14ac:dyDescent="0.35">
      <c r="A10" t="s">
        <v>0</v>
      </c>
      <c r="B10" t="s">
        <v>1</v>
      </c>
      <c r="C10" t="s">
        <v>2</v>
      </c>
      <c r="D10">
        <v>6.0500009632953393</v>
      </c>
      <c r="E10">
        <v>2965.4485396904115</v>
      </c>
      <c r="G10" t="s">
        <v>6</v>
      </c>
      <c r="H10" t="s">
        <v>7</v>
      </c>
    </row>
    <row r="11" spans="1:9" x14ac:dyDescent="0.35">
      <c r="A11">
        <v>293.14999999999998</v>
      </c>
      <c r="B11">
        <v>8.5500000000000007</v>
      </c>
      <c r="C11">
        <f t="shared" si="0"/>
        <v>-4.0737506150536573</v>
      </c>
      <c r="G11">
        <f>$D$10-$E$10/A11</f>
        <v>-4.065805073513161</v>
      </c>
      <c r="H11">
        <f>(G11-C11)^2</f>
        <v>6.3131630371752548E-5</v>
      </c>
    </row>
    <row r="12" spans="1:9" x14ac:dyDescent="0.35">
      <c r="A12">
        <v>303.14999999999998</v>
      </c>
      <c r="B12">
        <v>19.5</v>
      </c>
      <c r="C12">
        <f t="shared" si="0"/>
        <v>-3.7156821184193123</v>
      </c>
      <c r="G12">
        <f>$D$10-$E$10/A12</f>
        <v>-3.7321152817662195</v>
      </c>
      <c r="H12">
        <f>(G12-C12)^2</f>
        <v>2.70048857586136E-4</v>
      </c>
    </row>
    <row r="13" spans="1:9" x14ac:dyDescent="0.35">
      <c r="A13">
        <v>313.14999999999998</v>
      </c>
      <c r="B13">
        <v>37.799999999999997</v>
      </c>
      <c r="C13">
        <f t="shared" si="0"/>
        <v>-3.428224929944605</v>
      </c>
      <c r="G13">
        <f>$D$10-$E$10/A13</f>
        <v>-3.4197373081094558</v>
      </c>
      <c r="H13">
        <f>(G13-C13)^2</f>
        <v>7.2039724416502891E-5</v>
      </c>
    </row>
    <row r="14" spans="1:9" x14ac:dyDescent="0.35">
      <c r="H14">
        <f>SUM(H11:H13)</f>
        <v>4.0522021237439143E-4</v>
      </c>
    </row>
    <row r="15" spans="1:9" x14ac:dyDescent="0.35">
      <c r="G15" t="s">
        <v>666</v>
      </c>
      <c r="H15">
        <f>SQRT(SUM(H11:H13)/(COUNT(H11:H13)-1))</f>
        <v>1.4234117682076249E-2</v>
      </c>
    </row>
    <row r="16" spans="1:9" x14ac:dyDescent="0.35">
      <c r="A16" t="s">
        <v>10</v>
      </c>
    </row>
    <row r="17" spans="1:9" x14ac:dyDescent="0.35">
      <c r="A17" t="s">
        <v>0</v>
      </c>
      <c r="B17" t="s">
        <v>1</v>
      </c>
      <c r="C17" t="s">
        <v>2</v>
      </c>
      <c r="D17">
        <v>8.8915355661973514</v>
      </c>
      <c r="E17">
        <v>3906.4647980725399</v>
      </c>
      <c r="G17" t="s">
        <v>6</v>
      </c>
      <c r="H17" t="s">
        <v>7</v>
      </c>
    </row>
    <row r="18" spans="1:9" x14ac:dyDescent="0.35">
      <c r="A18">
        <v>283.14999999999998</v>
      </c>
      <c r="B18">
        <v>1.25</v>
      </c>
      <c r="C18">
        <f t="shared" si="0"/>
        <v>-4.9088067167737739</v>
      </c>
      <c r="G18">
        <f>$D$17-$E$17/(A18+$F$17)</f>
        <v>-4.9049143651907468</v>
      </c>
      <c r="H18">
        <f>(G18-C18)^2</f>
        <v>1.5150400845893903E-5</v>
      </c>
    </row>
    <row r="19" spans="1:9" x14ac:dyDescent="0.35">
      <c r="A19">
        <v>293.14999999999998</v>
      </c>
      <c r="B19">
        <v>3.79</v>
      </c>
      <c r="C19">
        <f t="shared" si="0"/>
        <v>-4.427077519813758</v>
      </c>
      <c r="G19">
        <f>$D$17-$E$17/(A19+$F$17)</f>
        <v>-4.4342867025133437</v>
      </c>
      <c r="H19">
        <f>(G19-C19)^2</f>
        <v>5.1972315196005807E-5</v>
      </c>
    </row>
    <row r="20" spans="1:9" x14ac:dyDescent="0.35">
      <c r="A20">
        <v>303.14999999999998</v>
      </c>
      <c r="B20">
        <v>10.199999999999999</v>
      </c>
      <c r="C20">
        <f t="shared" si="0"/>
        <v>-3.9971165580199126</v>
      </c>
      <c r="G20">
        <f>$D$17-$E$17/(A20+$F$17)</f>
        <v>-3.9947082011539283</v>
      </c>
      <c r="H20">
        <f>(G20-C20)^2</f>
        <v>5.800182793933646E-6</v>
      </c>
    </row>
    <row r="21" spans="1:9" x14ac:dyDescent="0.35">
      <c r="A21">
        <v>313.14999999999998</v>
      </c>
      <c r="B21">
        <v>26.4</v>
      </c>
      <c r="C21">
        <f t="shared" si="0"/>
        <v>-3.5841128029119993</v>
      </c>
      <c r="G21">
        <f>$D$17-$E$17/(A21+$F$17)</f>
        <v>-3.5832043286534869</v>
      </c>
      <c r="H21">
        <f>(G21-C21)^2</f>
        <v>8.2532547837960157E-7</v>
      </c>
      <c r="I21" t="s">
        <v>11</v>
      </c>
    </row>
    <row r="22" spans="1:9" x14ac:dyDescent="0.35">
      <c r="H22">
        <f>SUM(H18:H21)</f>
        <v>7.3748224314212956E-5</v>
      </c>
      <c r="I22">
        <v>7.7442112553646709E-5</v>
      </c>
    </row>
    <row r="23" spans="1:9" x14ac:dyDescent="0.35">
      <c r="G23" t="s">
        <v>666</v>
      </c>
      <c r="H23">
        <f>SQRT(SUM(H18:H21)/(COUNT(H18:H21)-1))</f>
        <v>4.9580985708304534E-3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2FEE-6FD2-449A-AE76-6E557C2580B0}">
  <dimension ref="A1:I14"/>
  <sheetViews>
    <sheetView workbookViewId="0">
      <selection activeCell="F17" sqref="F17"/>
    </sheetView>
  </sheetViews>
  <sheetFormatPr defaultRowHeight="14.5" x14ac:dyDescent="0.35"/>
  <sheetData>
    <row r="1" spans="1:9" x14ac:dyDescent="0.35">
      <c r="A1" t="s">
        <v>357</v>
      </c>
    </row>
    <row r="2" spans="1:9" x14ac:dyDescent="0.35">
      <c r="A2" t="s">
        <v>33</v>
      </c>
      <c r="B2" t="s">
        <v>30</v>
      </c>
      <c r="C2" t="s">
        <v>669</v>
      </c>
      <c r="D2" t="s">
        <v>36</v>
      </c>
      <c r="E2" t="s">
        <v>20</v>
      </c>
      <c r="F2" t="s">
        <v>3</v>
      </c>
      <c r="G2" t="s">
        <v>4</v>
      </c>
      <c r="H2" t="s">
        <v>6</v>
      </c>
      <c r="I2" t="s">
        <v>7</v>
      </c>
    </row>
    <row r="3" spans="1:9" x14ac:dyDescent="0.35">
      <c r="A3">
        <v>244.51300000000001</v>
      </c>
      <c r="B3">
        <f>A3+273.15</f>
        <v>517.66300000000001</v>
      </c>
      <c r="C3">
        <f>1/B3</f>
        <v>1.9317586924311762E-3</v>
      </c>
      <c r="D3">
        <v>130.60900000000001</v>
      </c>
      <c r="E3">
        <f>LOG10(D3*0.00000986923)</f>
        <v>-2.8897436254640194</v>
      </c>
      <c r="F3">
        <v>18.318000000000001</v>
      </c>
      <c r="G3">
        <v>11014</v>
      </c>
      <c r="H3">
        <f>$F$3-($G$3/(B3))</f>
        <v>-2.9583902384369729</v>
      </c>
      <c r="I3">
        <f t="shared" ref="I3:I11" si="0">(H3-E3)^2</f>
        <v>4.7123574726584665E-3</v>
      </c>
    </row>
    <row r="4" spans="1:9" x14ac:dyDescent="0.35">
      <c r="A4">
        <v>249.48699999999999</v>
      </c>
      <c r="B4">
        <f t="shared" ref="B4:B12" si="1">A4+273.15</f>
        <v>522.63699999999994</v>
      </c>
      <c r="C4">
        <f t="shared" ref="C4:C12" si="2">1/B4</f>
        <v>1.9133739096160434E-3</v>
      </c>
      <c r="D4">
        <v>184.86</v>
      </c>
      <c r="E4">
        <f t="shared" ref="E4:E12" si="3">LOG10(D4*0.00000986923)</f>
        <v>-2.7388737810812458</v>
      </c>
      <c r="H4">
        <f t="shared" ref="H4:H12" si="4">$F$3-($G$3/(B4))</f>
        <v>-2.755900240511103</v>
      </c>
      <c r="I4">
        <f t="shared" si="0"/>
        <v>2.8990032071657504E-4</v>
      </c>
    </row>
    <row r="5" spans="1:9" x14ac:dyDescent="0.35">
      <c r="A5">
        <v>254.16900000000001</v>
      </c>
      <c r="B5">
        <f t="shared" si="1"/>
        <v>527.31899999999996</v>
      </c>
      <c r="C5">
        <f t="shared" si="2"/>
        <v>1.8963852999797088E-3</v>
      </c>
      <c r="D5">
        <v>273.99700000000001</v>
      </c>
      <c r="E5">
        <f t="shared" si="3"/>
        <v>-2.5679709220365456</v>
      </c>
      <c r="H5">
        <f t="shared" si="4"/>
        <v>-2.5687876939765104</v>
      </c>
      <c r="I5">
        <f t="shared" si="0"/>
        <v>6.6711640191380829E-7</v>
      </c>
    </row>
    <row r="6" spans="1:9" x14ac:dyDescent="0.35">
      <c r="A6">
        <v>259.44900000000001</v>
      </c>
      <c r="B6">
        <f t="shared" si="1"/>
        <v>532.59899999999993</v>
      </c>
      <c r="C6">
        <f t="shared" si="2"/>
        <v>1.8775852001224188E-3</v>
      </c>
      <c r="D6">
        <v>421.90699999999998</v>
      </c>
      <c r="E6">
        <f t="shared" si="3"/>
        <v>-2.3804999988153228</v>
      </c>
      <c r="H6">
        <f t="shared" si="4"/>
        <v>-2.3617233941483207</v>
      </c>
      <c r="I6">
        <f t="shared" si="0"/>
        <v>3.5256088282088695E-4</v>
      </c>
    </row>
    <row r="7" spans="1:9" x14ac:dyDescent="0.35">
      <c r="A7">
        <v>264.42700000000002</v>
      </c>
      <c r="B7">
        <f t="shared" si="1"/>
        <v>537.577</v>
      </c>
      <c r="C7">
        <f t="shared" si="2"/>
        <v>1.8601986320099259E-3</v>
      </c>
      <c r="D7">
        <v>650.428</v>
      </c>
      <c r="E7">
        <f t="shared" si="3"/>
        <v>-2.1925175010338429</v>
      </c>
      <c r="H7">
        <f t="shared" si="4"/>
        <v>-2.1702277329573256</v>
      </c>
      <c r="I7">
        <f t="shared" si="0"/>
        <v>4.9683376090492882E-4</v>
      </c>
    </row>
    <row r="8" spans="1:9" x14ac:dyDescent="0.35">
      <c r="A8">
        <v>269.40899999999999</v>
      </c>
      <c r="B8">
        <f t="shared" si="1"/>
        <v>542.55899999999997</v>
      </c>
      <c r="C8">
        <f t="shared" si="2"/>
        <v>1.8431175227026002E-3</v>
      </c>
      <c r="D8">
        <v>981.37199999999996</v>
      </c>
      <c r="E8">
        <f t="shared" si="3"/>
        <v>-2.0138830670264452</v>
      </c>
      <c r="H8">
        <f t="shared" si="4"/>
        <v>-1.9820963950464368</v>
      </c>
      <c r="I8">
        <f t="shared" si="0"/>
        <v>1.0103925155646508E-3</v>
      </c>
    </row>
    <row r="9" spans="1:9" x14ac:dyDescent="0.35">
      <c r="A9">
        <v>274.39</v>
      </c>
      <c r="B9">
        <f t="shared" si="1"/>
        <v>547.54</v>
      </c>
      <c r="C9">
        <f t="shared" si="2"/>
        <v>1.8263505862585383E-3</v>
      </c>
      <c r="D9">
        <v>1530.809</v>
      </c>
      <c r="E9">
        <f t="shared" si="3"/>
        <v>-1.8207957228985303</v>
      </c>
      <c r="H9">
        <f t="shared" si="4"/>
        <v>-1.7974253570515408</v>
      </c>
      <c r="I9">
        <f t="shared" si="0"/>
        <v>5.4617399982213248E-4</v>
      </c>
    </row>
    <row r="10" spans="1:9" x14ac:dyDescent="0.35">
      <c r="A10">
        <v>279.37099999999998</v>
      </c>
      <c r="B10">
        <f t="shared" si="1"/>
        <v>552.52099999999996</v>
      </c>
      <c r="C10">
        <f t="shared" si="2"/>
        <v>1.8098859590857182E-3</v>
      </c>
      <c r="D10">
        <v>1311.5930000000001</v>
      </c>
      <c r="E10">
        <f t="shared" si="3"/>
        <v>-1.8879176396172914</v>
      </c>
      <c r="H10">
        <f t="shared" si="4"/>
        <v>-1.6160839533700972</v>
      </c>
      <c r="I10">
        <f t="shared" si="0"/>
        <v>7.3893552978738009E-2</v>
      </c>
    </row>
    <row r="11" spans="1:9" x14ac:dyDescent="0.35">
      <c r="A11">
        <v>284.35300000000001</v>
      </c>
      <c r="B11">
        <f t="shared" si="1"/>
        <v>557.50299999999993</v>
      </c>
      <c r="C11">
        <f t="shared" si="2"/>
        <v>1.7937123208305607E-3</v>
      </c>
      <c r="D11">
        <v>5249.4129999999996</v>
      </c>
      <c r="E11">
        <f t="shared" si="3"/>
        <v>-1.2856059873499284</v>
      </c>
      <c r="H11">
        <f t="shared" si="4"/>
        <v>-1.4379475016277965</v>
      </c>
      <c r="I11">
        <f t="shared" si="0"/>
        <v>2.3207936972473898E-2</v>
      </c>
    </row>
    <row r="12" spans="1:9" x14ac:dyDescent="0.35">
      <c r="A12">
        <v>289.33699999999999</v>
      </c>
      <c r="B12">
        <f t="shared" si="1"/>
        <v>562.48699999999997</v>
      </c>
      <c r="C12">
        <f t="shared" si="2"/>
        <v>1.7778188651471057E-3</v>
      </c>
      <c r="D12">
        <v>7393.902</v>
      </c>
      <c r="E12">
        <f t="shared" si="3"/>
        <v>-1.1368430397174876</v>
      </c>
      <c r="H12">
        <f t="shared" si="4"/>
        <v>-1.2628969807302219</v>
      </c>
      <c r="I12">
        <f>(H12-E12)^2</f>
        <v>1.5889596044841917E-2</v>
      </c>
    </row>
    <row r="13" spans="1:9" x14ac:dyDescent="0.35">
      <c r="H13" t="s">
        <v>21</v>
      </c>
      <c r="I13">
        <f>SUM(I3:I12)</f>
        <v>0.12039997206494338</v>
      </c>
    </row>
    <row r="14" spans="1:9" x14ac:dyDescent="0.35">
      <c r="H14" t="s">
        <v>666</v>
      </c>
      <c r="I14">
        <f>SQRT(SUM(I3:I12)/(COUNT(I3:I12)-1))</f>
        <v>0.11566233040139991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21"/>
  <sheetViews>
    <sheetView topLeftCell="A208" workbookViewId="0">
      <selection activeCell="H221" sqref="H221:I221"/>
    </sheetView>
  </sheetViews>
  <sheetFormatPr defaultRowHeight="14.5" x14ac:dyDescent="0.35"/>
  <cols>
    <col min="1" max="1" width="12.36328125" customWidth="1"/>
  </cols>
  <sheetData>
    <row r="1" spans="1:9" x14ac:dyDescent="0.35">
      <c r="A1" t="s">
        <v>8</v>
      </c>
      <c r="B1" t="s">
        <v>49</v>
      </c>
      <c r="C1">
        <v>-2.15</v>
      </c>
    </row>
    <row r="2" spans="1:9" x14ac:dyDescent="0.35">
      <c r="A2" t="s">
        <v>33</v>
      </c>
      <c r="B2" t="s">
        <v>30</v>
      </c>
      <c r="C2" t="s">
        <v>36</v>
      </c>
      <c r="D2" t="s">
        <v>20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5">
      <c r="A3">
        <f>B3-273.15</f>
        <v>7.6800000000000068</v>
      </c>
      <c r="B3">
        <v>280.83</v>
      </c>
      <c r="C3">
        <v>4.0430000000000001</v>
      </c>
      <c r="D3">
        <f>LOG10(C3*0.00000986923)</f>
        <v>-4.3990129884481561</v>
      </c>
      <c r="E3">
        <v>4.3694831157264487</v>
      </c>
      <c r="F3">
        <v>1872.1713471409789</v>
      </c>
      <c r="G3">
        <v>-67.326288712432998</v>
      </c>
      <c r="H3">
        <f>$E$3-($F$3/(B3+$G$3))</f>
        <v>-4.3993169011470821</v>
      </c>
      <c r="I3">
        <f>(H3-D3)^2</f>
        <v>9.2362928568445659E-8</v>
      </c>
    </row>
    <row r="4" spans="1:9" x14ac:dyDescent="0.35">
      <c r="A4">
        <f t="shared" ref="A4:A53" si="0">B4-273.15</f>
        <v>7.7100000000000364</v>
      </c>
      <c r="B4">
        <v>280.86</v>
      </c>
      <c r="C4">
        <v>4.0380000000000003</v>
      </c>
      <c r="D4">
        <f>LOG10(C4*0.00000986923)</f>
        <v>-4.3995504151742093</v>
      </c>
      <c r="H4">
        <f t="shared" ref="H4:H53" si="1">$E$3-($F$3/(B4+$G$3))</f>
        <v>-4.3980849457854658</v>
      </c>
      <c r="I4">
        <f t="shared" ref="I4:I53" si="2">(H4-D4)^2</f>
        <v>2.1476005293441856E-6</v>
      </c>
    </row>
    <row r="5" spans="1:9" x14ac:dyDescent="0.35">
      <c r="A5">
        <f t="shared" si="0"/>
        <v>7.7400000000000091</v>
      </c>
      <c r="B5">
        <v>280.89</v>
      </c>
      <c r="C5">
        <v>4.0430000000000001</v>
      </c>
      <c r="D5">
        <f>LOG10(C5*0.00000986923)</f>
        <v>-4.3990129884481561</v>
      </c>
      <c r="H5">
        <f t="shared" si="1"/>
        <v>-4.3968533365375313</v>
      </c>
      <c r="I5">
        <f t="shared" si="2"/>
        <v>4.664096375065513E-6</v>
      </c>
    </row>
    <row r="6" spans="1:9" x14ac:dyDescent="0.35">
      <c r="A6">
        <f t="shared" si="0"/>
        <v>12.990000000000009</v>
      </c>
      <c r="B6">
        <v>286.14</v>
      </c>
      <c r="C6">
        <v>6.5629999999999997</v>
      </c>
      <c r="D6">
        <f>LOG10(C6*0.00000986923)</f>
        <v>-4.1886143255249069</v>
      </c>
      <c r="H6">
        <f t="shared" si="1"/>
        <v>-4.1865225208698531</v>
      </c>
      <c r="I6">
        <f t="shared" si="2"/>
        <v>4.3756467149045964E-6</v>
      </c>
    </row>
    <row r="7" spans="1:9" x14ac:dyDescent="0.35">
      <c r="A7">
        <f t="shared" si="0"/>
        <v>13.04000000000002</v>
      </c>
      <c r="B7">
        <v>286.19</v>
      </c>
      <c r="C7">
        <v>6.61</v>
      </c>
      <c r="D7">
        <f t="shared" ref="D7:D53" si="3">LOG10(C7*0.00000986923)</f>
        <v>-4.1855152702961895</v>
      </c>
      <c r="H7">
        <f t="shared" si="1"/>
        <v>-4.1845678785067433</v>
      </c>
      <c r="I7">
        <f t="shared" si="2"/>
        <v>8.9755120271016821E-7</v>
      </c>
    </row>
    <row r="8" spans="1:9" x14ac:dyDescent="0.35">
      <c r="A8">
        <f t="shared" si="0"/>
        <v>13.050000000000011</v>
      </c>
      <c r="B8">
        <v>286.2</v>
      </c>
      <c r="C8">
        <v>6.6120000000000001</v>
      </c>
      <c r="D8">
        <f t="shared" si="3"/>
        <v>-4.1853838848824205</v>
      </c>
      <c r="H8">
        <f t="shared" si="1"/>
        <v>-4.1841770571996113</v>
      </c>
      <c r="I8">
        <f t="shared" si="2"/>
        <v>1.45643305599467E-6</v>
      </c>
    </row>
    <row r="9" spans="1:9" x14ac:dyDescent="0.35">
      <c r="A9">
        <f t="shared" si="0"/>
        <v>18.850000000000023</v>
      </c>
      <c r="B9">
        <v>292</v>
      </c>
      <c r="C9">
        <v>11.07</v>
      </c>
      <c r="D9">
        <f t="shared" si="3"/>
        <v>-3.9615691089031073</v>
      </c>
      <c r="H9">
        <f t="shared" si="1"/>
        <v>-3.9633624869561332</v>
      </c>
      <c r="I9">
        <f t="shared" si="2"/>
        <v>3.2162048410750724E-6</v>
      </c>
    </row>
    <row r="10" spans="1:9" x14ac:dyDescent="0.35">
      <c r="A10">
        <f t="shared" si="0"/>
        <v>18.860000000000014</v>
      </c>
      <c r="B10">
        <v>292.01</v>
      </c>
      <c r="C10">
        <v>11.08</v>
      </c>
      <c r="D10">
        <f t="shared" si="3"/>
        <v>-3.9611769693894194</v>
      </c>
      <c r="H10">
        <f t="shared" si="1"/>
        <v>-3.9629916169204327</v>
      </c>
      <c r="I10">
        <f t="shared" si="2"/>
        <v>3.2929456618124331E-6</v>
      </c>
    </row>
    <row r="11" spans="1:9" x14ac:dyDescent="0.35">
      <c r="A11">
        <f t="shared" si="0"/>
        <v>18.870000000000005</v>
      </c>
      <c r="B11">
        <v>292.02</v>
      </c>
      <c r="C11">
        <v>11.07</v>
      </c>
      <c r="D11">
        <f t="shared" si="3"/>
        <v>-3.9615691089031073</v>
      </c>
      <c r="H11">
        <f t="shared" si="1"/>
        <v>-3.9626207798958939</v>
      </c>
      <c r="I11">
        <f t="shared" si="2"/>
        <v>1.1060118770687101E-6</v>
      </c>
    </row>
    <row r="12" spans="1:9" x14ac:dyDescent="0.35">
      <c r="A12">
        <f t="shared" si="0"/>
        <v>23.980000000000018</v>
      </c>
      <c r="B12">
        <v>297.13</v>
      </c>
      <c r="C12">
        <v>16.96</v>
      </c>
      <c r="D12">
        <f t="shared" si="3"/>
        <v>-3.7762908818611352</v>
      </c>
      <c r="H12">
        <f t="shared" si="1"/>
        <v>-3.7773450475412007</v>
      </c>
      <c r="I12">
        <f t="shared" si="2"/>
        <v>1.1112652810280745E-6</v>
      </c>
    </row>
    <row r="13" spans="1:9" x14ac:dyDescent="0.35">
      <c r="A13">
        <f t="shared" si="0"/>
        <v>24.010000000000048</v>
      </c>
      <c r="B13">
        <v>297.16000000000003</v>
      </c>
      <c r="C13">
        <v>17.02</v>
      </c>
      <c r="D13">
        <f t="shared" si="3"/>
        <v>-3.7747571740332613</v>
      </c>
      <c r="H13">
        <f t="shared" si="1"/>
        <v>-3.7762816489495448</v>
      </c>
      <c r="I13">
        <f t="shared" si="2"/>
        <v>2.3240237703775583E-6</v>
      </c>
    </row>
    <row r="14" spans="1:9" x14ac:dyDescent="0.35">
      <c r="A14">
        <f t="shared" si="0"/>
        <v>24.020000000000039</v>
      </c>
      <c r="B14">
        <v>297.17</v>
      </c>
      <c r="C14">
        <v>17.04</v>
      </c>
      <c r="D14">
        <f t="shared" si="3"/>
        <v>-3.7742471393511487</v>
      </c>
      <c r="H14">
        <f t="shared" si="1"/>
        <v>-3.775927244440541</v>
      </c>
      <c r="I14">
        <f t="shared" si="2"/>
        <v>2.8227531114015831E-6</v>
      </c>
    </row>
    <row r="15" spans="1:9" x14ac:dyDescent="0.35">
      <c r="A15">
        <f t="shared" si="0"/>
        <v>29.010000000000048</v>
      </c>
      <c r="B15">
        <v>302.16000000000003</v>
      </c>
      <c r="C15">
        <v>25.37</v>
      </c>
      <c r="D15">
        <f t="shared" si="3"/>
        <v>-3.6013962625600993</v>
      </c>
      <c r="H15">
        <f t="shared" si="1"/>
        <v>-3.6028447790893008</v>
      </c>
      <c r="I15">
        <f t="shared" si="2"/>
        <v>2.0982001353700376E-6</v>
      </c>
    </row>
    <row r="16" spans="1:9" x14ac:dyDescent="0.35">
      <c r="A16">
        <f t="shared" si="0"/>
        <v>29.010000000000048</v>
      </c>
      <c r="B16">
        <v>302.16000000000003</v>
      </c>
      <c r="C16">
        <v>25.37</v>
      </c>
      <c r="D16">
        <f t="shared" si="3"/>
        <v>-3.6013962625600993</v>
      </c>
      <c r="H16">
        <f t="shared" si="1"/>
        <v>-3.6028447790893008</v>
      </c>
      <c r="I16">
        <f t="shared" si="2"/>
        <v>2.0982001353700376E-6</v>
      </c>
    </row>
    <row r="17" spans="1:9" x14ac:dyDescent="0.35">
      <c r="A17">
        <f t="shared" si="0"/>
        <v>29.010000000000048</v>
      </c>
      <c r="B17">
        <v>302.16000000000003</v>
      </c>
      <c r="C17">
        <v>25.36</v>
      </c>
      <c r="D17">
        <f t="shared" si="3"/>
        <v>-3.6015674805721352</v>
      </c>
      <c r="H17">
        <f t="shared" si="1"/>
        <v>-3.6028447790893008</v>
      </c>
      <c r="I17">
        <f t="shared" si="2"/>
        <v>1.6314915019535068E-6</v>
      </c>
    </row>
    <row r="18" spans="1:9" x14ac:dyDescent="0.35">
      <c r="A18">
        <f t="shared" si="0"/>
        <v>34.180000000000007</v>
      </c>
      <c r="B18">
        <v>307.33</v>
      </c>
      <c r="C18">
        <v>37.630000000000003</v>
      </c>
      <c r="D18">
        <f t="shared" si="3"/>
        <v>-3.430182511461966</v>
      </c>
      <c r="H18">
        <f t="shared" si="1"/>
        <v>-3.4311102046734421</v>
      </c>
      <c r="I18">
        <f t="shared" si="2"/>
        <v>8.6061469461888008E-7</v>
      </c>
    </row>
    <row r="19" spans="1:9" x14ac:dyDescent="0.35">
      <c r="A19">
        <f t="shared" si="0"/>
        <v>34.180000000000007</v>
      </c>
      <c r="B19">
        <v>307.33</v>
      </c>
      <c r="C19">
        <v>37.619999999999997</v>
      </c>
      <c r="D19">
        <f t="shared" si="3"/>
        <v>-3.4302979385674703</v>
      </c>
      <c r="H19">
        <f t="shared" si="1"/>
        <v>-3.4311102046734421</v>
      </c>
      <c r="I19">
        <f t="shared" si="2"/>
        <v>6.5977622691048955E-7</v>
      </c>
    </row>
    <row r="20" spans="1:9" x14ac:dyDescent="0.35">
      <c r="A20">
        <f t="shared" si="0"/>
        <v>34.180000000000007</v>
      </c>
      <c r="B20">
        <v>307.33</v>
      </c>
      <c r="C20">
        <v>37.630000000000003</v>
      </c>
      <c r="D20">
        <f t="shared" si="3"/>
        <v>-3.430182511461966</v>
      </c>
      <c r="H20">
        <f t="shared" si="1"/>
        <v>-3.4311102046734421</v>
      </c>
      <c r="I20">
        <f t="shared" si="2"/>
        <v>8.6061469461888008E-7</v>
      </c>
    </row>
    <row r="21" spans="1:9" x14ac:dyDescent="0.35">
      <c r="A21">
        <f t="shared" si="0"/>
        <v>39.090000000000032</v>
      </c>
      <c r="B21">
        <v>312.24</v>
      </c>
      <c r="C21">
        <v>53.82</v>
      </c>
      <c r="D21">
        <f t="shared" si="3"/>
        <v>-3.2747730363540946</v>
      </c>
      <c r="H21">
        <f t="shared" si="1"/>
        <v>-3.2747248679693142</v>
      </c>
      <c r="I21">
        <f t="shared" si="2"/>
        <v>2.3201932923516414E-9</v>
      </c>
    </row>
    <row r="22" spans="1:9" x14ac:dyDescent="0.35">
      <c r="A22">
        <f t="shared" si="0"/>
        <v>39.090000000000032</v>
      </c>
      <c r="B22">
        <v>312.24</v>
      </c>
      <c r="C22">
        <v>53.84</v>
      </c>
      <c r="D22">
        <f t="shared" si="3"/>
        <v>-3.2746116785659098</v>
      </c>
      <c r="H22">
        <f t="shared" si="1"/>
        <v>-3.2747248679693142</v>
      </c>
      <c r="I22">
        <f t="shared" si="2"/>
        <v>1.2811841043026678E-8</v>
      </c>
    </row>
    <row r="23" spans="1:9" x14ac:dyDescent="0.35">
      <c r="A23">
        <f t="shared" si="0"/>
        <v>39.090000000000032</v>
      </c>
      <c r="B23">
        <v>312.24</v>
      </c>
      <c r="C23">
        <v>53.86</v>
      </c>
      <c r="D23">
        <f t="shared" si="3"/>
        <v>-3.2744503807063388</v>
      </c>
      <c r="H23">
        <f t="shared" si="1"/>
        <v>-3.2747248679693142</v>
      </c>
      <c r="I23">
        <f t="shared" si="2"/>
        <v>7.5343257535731419E-8</v>
      </c>
    </row>
    <row r="24" spans="1:9" x14ac:dyDescent="0.35">
      <c r="A24">
        <f t="shared" si="0"/>
        <v>44.32000000000005</v>
      </c>
      <c r="B24">
        <v>317.47000000000003</v>
      </c>
      <c r="C24">
        <v>77.680000000000007</v>
      </c>
      <c r="D24">
        <f t="shared" si="3"/>
        <v>-3.1154075128818817</v>
      </c>
      <c r="H24">
        <f t="shared" si="1"/>
        <v>-3.114899911551487</v>
      </c>
      <c r="I24">
        <f t="shared" si="2"/>
        <v>2.5765911061839297E-7</v>
      </c>
    </row>
    <row r="25" spans="1:9" x14ac:dyDescent="0.35">
      <c r="A25">
        <f t="shared" si="0"/>
        <v>44.330000000000041</v>
      </c>
      <c r="B25">
        <v>317.48</v>
      </c>
      <c r="C25">
        <v>77.7</v>
      </c>
      <c r="D25">
        <f t="shared" si="3"/>
        <v>-3.1152957109809161</v>
      </c>
      <c r="H25">
        <f t="shared" si="1"/>
        <v>-3.1146007201867558</v>
      </c>
      <c r="I25">
        <f t="shared" si="2"/>
        <v>4.8301220396748662E-7</v>
      </c>
    </row>
    <row r="26" spans="1:9" x14ac:dyDescent="0.35">
      <c r="A26">
        <f t="shared" si="0"/>
        <v>44.340000000000032</v>
      </c>
      <c r="B26">
        <v>317.49</v>
      </c>
      <c r="C26">
        <v>77.739999999999995</v>
      </c>
      <c r="D26">
        <f t="shared" si="3"/>
        <v>-3.1150721934865828</v>
      </c>
      <c r="H26">
        <f t="shared" si="1"/>
        <v>-3.1143015527416695</v>
      </c>
      <c r="I26">
        <f t="shared" si="2"/>
        <v>5.9388715772050564E-7</v>
      </c>
    </row>
    <row r="27" spans="1:9" x14ac:dyDescent="0.35">
      <c r="A27">
        <f t="shared" si="0"/>
        <v>49.160000000000025</v>
      </c>
      <c r="B27">
        <v>322.31</v>
      </c>
      <c r="C27">
        <v>107.69</v>
      </c>
      <c r="D27">
        <f t="shared" si="3"/>
        <v>-2.9735413528204675</v>
      </c>
      <c r="H27">
        <f t="shared" si="1"/>
        <v>-2.9728343118741352</v>
      </c>
      <c r="I27">
        <f t="shared" si="2"/>
        <v>4.9990689979052802E-7</v>
      </c>
    </row>
    <row r="28" spans="1:9" x14ac:dyDescent="0.35">
      <c r="A28">
        <f t="shared" si="0"/>
        <v>49.170000000000016</v>
      </c>
      <c r="B28">
        <v>322.32</v>
      </c>
      <c r="C28">
        <v>107.75</v>
      </c>
      <c r="D28">
        <f t="shared" si="3"/>
        <v>-2.9732994509490611</v>
      </c>
      <c r="H28">
        <f t="shared" si="1"/>
        <v>-2.9725463707562731</v>
      </c>
      <c r="I28">
        <f t="shared" si="2"/>
        <v>5.6712977676956507E-7</v>
      </c>
    </row>
    <row r="29" spans="1:9" x14ac:dyDescent="0.35">
      <c r="A29">
        <f t="shared" si="0"/>
        <v>49.180000000000007</v>
      </c>
      <c r="B29">
        <v>322.33</v>
      </c>
      <c r="C29">
        <v>107.82</v>
      </c>
      <c r="D29">
        <f t="shared" si="3"/>
        <v>-2.9730174022892126</v>
      </c>
      <c r="H29">
        <f t="shared" si="1"/>
        <v>-2.9722584522216993</v>
      </c>
      <c r="I29">
        <f t="shared" si="2"/>
        <v>5.7600520497854011E-7</v>
      </c>
    </row>
    <row r="30" spans="1:9" x14ac:dyDescent="0.35">
      <c r="A30">
        <f t="shared" si="0"/>
        <v>54.360000000000014</v>
      </c>
      <c r="B30">
        <v>327.51</v>
      </c>
      <c r="C30">
        <v>150.91999999999999</v>
      </c>
      <c r="D30">
        <f t="shared" si="3"/>
        <v>-2.8269699332528724</v>
      </c>
      <c r="H30">
        <f t="shared" si="1"/>
        <v>-2.8260916490280179</v>
      </c>
      <c r="I30">
        <f t="shared" si="2"/>
        <v>7.7138317962822656E-7</v>
      </c>
    </row>
    <row r="31" spans="1:9" x14ac:dyDescent="0.35">
      <c r="A31">
        <f t="shared" si="0"/>
        <v>54.360000000000014</v>
      </c>
      <c r="B31">
        <v>327.51</v>
      </c>
      <c r="C31">
        <v>150.97</v>
      </c>
      <c r="D31">
        <f t="shared" si="3"/>
        <v>-2.826826074732923</v>
      </c>
      <c r="H31">
        <f t="shared" si="1"/>
        <v>-2.8260916490280179</v>
      </c>
      <c r="I31">
        <f t="shared" si="2"/>
        <v>5.3938111602537835E-7</v>
      </c>
    </row>
    <row r="32" spans="1:9" x14ac:dyDescent="0.35">
      <c r="A32">
        <f t="shared" si="0"/>
        <v>54.370000000000005</v>
      </c>
      <c r="B32">
        <v>327.52</v>
      </c>
      <c r="C32">
        <v>151.02000000000001</v>
      </c>
      <c r="D32">
        <f t="shared" si="3"/>
        <v>-2.8266822638498237</v>
      </c>
      <c r="H32">
        <f t="shared" si="1"/>
        <v>-2.8258151021918492</v>
      </c>
      <c r="I32">
        <f t="shared" si="2"/>
        <v>7.5196934106110699E-7</v>
      </c>
    </row>
    <row r="33" spans="1:9" x14ac:dyDescent="0.35">
      <c r="A33">
        <f t="shared" si="0"/>
        <v>59.080000000000041</v>
      </c>
      <c r="B33">
        <v>332.23</v>
      </c>
      <c r="C33">
        <v>202.75</v>
      </c>
      <c r="D33">
        <f t="shared" si="3"/>
        <v>-2.6987558668986367</v>
      </c>
      <c r="H33">
        <f t="shared" si="1"/>
        <v>-2.6978823735725577</v>
      </c>
      <c r="I33">
        <f t="shared" si="2"/>
        <v>7.6299059070455438E-7</v>
      </c>
    </row>
    <row r="34" spans="1:9" x14ac:dyDescent="0.35">
      <c r="A34">
        <f t="shared" si="0"/>
        <v>59.090000000000032</v>
      </c>
      <c r="B34">
        <v>332.24</v>
      </c>
      <c r="C34">
        <v>202.87</v>
      </c>
      <c r="D34">
        <f t="shared" si="3"/>
        <v>-2.6984989005786875</v>
      </c>
      <c r="H34">
        <f t="shared" si="1"/>
        <v>-2.6976155936669448</v>
      </c>
      <c r="I34">
        <f t="shared" si="2"/>
        <v>7.8023110033234472E-7</v>
      </c>
    </row>
    <row r="35" spans="1:9" x14ac:dyDescent="0.35">
      <c r="A35">
        <f t="shared" si="0"/>
        <v>59.090000000000032</v>
      </c>
      <c r="B35">
        <v>332.24</v>
      </c>
      <c r="C35">
        <v>202.78</v>
      </c>
      <c r="D35">
        <f t="shared" si="3"/>
        <v>-2.6986916110631576</v>
      </c>
      <c r="H35">
        <f t="shared" si="1"/>
        <v>-2.6976155936669448</v>
      </c>
      <c r="I35">
        <f t="shared" si="2"/>
        <v>1.1578134369525082E-6</v>
      </c>
    </row>
    <row r="36" spans="1:9" x14ac:dyDescent="0.35">
      <c r="A36">
        <f t="shared" si="0"/>
        <v>63.980000000000018</v>
      </c>
      <c r="B36">
        <v>337.13</v>
      </c>
      <c r="C36">
        <v>272.52</v>
      </c>
      <c r="D36">
        <f t="shared" si="3"/>
        <v>-2.5703183495144701</v>
      </c>
      <c r="H36">
        <f t="shared" si="1"/>
        <v>-2.5695294657037149</v>
      </c>
      <c r="I36">
        <f t="shared" si="2"/>
        <v>6.2233766687173878E-7</v>
      </c>
    </row>
    <row r="37" spans="1:9" x14ac:dyDescent="0.35">
      <c r="A37">
        <f t="shared" si="0"/>
        <v>63.990000000000009</v>
      </c>
      <c r="B37">
        <v>337.14</v>
      </c>
      <c r="C37">
        <v>272.63</v>
      </c>
      <c r="D37">
        <f t="shared" si="3"/>
        <v>-2.5701430862157166</v>
      </c>
      <c r="H37">
        <f t="shared" si="1"/>
        <v>-2.569272287795731</v>
      </c>
      <c r="I37">
        <f t="shared" si="2"/>
        <v>7.5828988824943105E-7</v>
      </c>
    </row>
    <row r="38" spans="1:9" x14ac:dyDescent="0.35">
      <c r="A38">
        <f t="shared" si="0"/>
        <v>63.990000000000009</v>
      </c>
      <c r="B38">
        <v>337.14</v>
      </c>
      <c r="C38">
        <v>272.61</v>
      </c>
      <c r="D38">
        <f t="shared" si="3"/>
        <v>-2.5701749470096495</v>
      </c>
      <c r="H38">
        <f t="shared" si="1"/>
        <v>-2.569272287795731</v>
      </c>
      <c r="I38">
        <f t="shared" si="2"/>
        <v>8.147936564720039E-7</v>
      </c>
    </row>
    <row r="39" spans="1:9" x14ac:dyDescent="0.35">
      <c r="A39">
        <f t="shared" si="0"/>
        <v>69.200000000000045</v>
      </c>
      <c r="B39">
        <v>342.35</v>
      </c>
      <c r="C39">
        <v>369.26</v>
      </c>
      <c r="D39">
        <f t="shared" si="3"/>
        <v>-2.4383844644274641</v>
      </c>
      <c r="H39">
        <f t="shared" si="1"/>
        <v>-2.4378257463935205</v>
      </c>
      <c r="I39">
        <f t="shared" si="2"/>
        <v>3.1216584145390767E-7</v>
      </c>
    </row>
    <row r="40" spans="1:9" x14ac:dyDescent="0.35">
      <c r="A40">
        <f t="shared" si="0"/>
        <v>69.210000000000036</v>
      </c>
      <c r="B40">
        <v>342.36</v>
      </c>
      <c r="C40">
        <v>369.37</v>
      </c>
      <c r="D40">
        <f t="shared" si="3"/>
        <v>-2.4382551103710015</v>
      </c>
      <c r="H40">
        <f t="shared" si="1"/>
        <v>-2.4375782382306035</v>
      </c>
      <c r="I40">
        <f t="shared" si="2"/>
        <v>4.5815589444699904E-7</v>
      </c>
    </row>
    <row r="41" spans="1:9" x14ac:dyDescent="0.35">
      <c r="A41">
        <f t="shared" si="0"/>
        <v>69.210000000000036</v>
      </c>
      <c r="B41">
        <v>342.36</v>
      </c>
      <c r="C41">
        <v>369.52</v>
      </c>
      <c r="D41">
        <f t="shared" si="3"/>
        <v>-2.4380787805433397</v>
      </c>
      <c r="H41">
        <f t="shared" si="1"/>
        <v>-2.4375782382306035</v>
      </c>
      <c r="I41">
        <f t="shared" si="2"/>
        <v>2.505426068393224E-7</v>
      </c>
    </row>
    <row r="42" spans="1:9" x14ac:dyDescent="0.35">
      <c r="A42">
        <f t="shared" si="0"/>
        <v>73.990000000000009</v>
      </c>
      <c r="B42">
        <v>347.14</v>
      </c>
      <c r="C42">
        <v>483.38</v>
      </c>
      <c r="D42">
        <f t="shared" si="3"/>
        <v>-2.321428052409674</v>
      </c>
      <c r="H42">
        <f t="shared" si="1"/>
        <v>-2.3212946110909911</v>
      </c>
      <c r="I42">
        <f t="shared" si="2"/>
        <v>1.7806585531823214E-8</v>
      </c>
    </row>
    <row r="43" spans="1:9" x14ac:dyDescent="0.35">
      <c r="A43">
        <f t="shared" si="0"/>
        <v>73.990000000000009</v>
      </c>
      <c r="B43">
        <v>347.14</v>
      </c>
      <c r="C43">
        <v>483.31</v>
      </c>
      <c r="D43">
        <f t="shared" si="3"/>
        <v>-2.3214909487131141</v>
      </c>
      <c r="H43">
        <f t="shared" si="1"/>
        <v>-2.3212946110909911</v>
      </c>
      <c r="I43">
        <f t="shared" si="2"/>
        <v>3.854846186091812E-8</v>
      </c>
    </row>
    <row r="44" spans="1:9" x14ac:dyDescent="0.35">
      <c r="A44">
        <f t="shared" si="0"/>
        <v>74</v>
      </c>
      <c r="B44">
        <v>347.15</v>
      </c>
      <c r="C44">
        <v>483.65</v>
      </c>
      <c r="D44">
        <f t="shared" si="3"/>
        <v>-2.3211855376724664</v>
      </c>
      <c r="H44">
        <f t="shared" si="1"/>
        <v>-2.3210555042012988</v>
      </c>
      <c r="I44">
        <f t="shared" si="2"/>
        <v>1.6908703623889546E-8</v>
      </c>
    </row>
    <row r="45" spans="1:9" x14ac:dyDescent="0.35">
      <c r="A45">
        <f t="shared" si="0"/>
        <v>78.830000000000041</v>
      </c>
      <c r="B45">
        <v>351.98</v>
      </c>
      <c r="C45">
        <v>628.66</v>
      </c>
      <c r="D45">
        <f t="shared" si="3"/>
        <v>-2.2073009015804019</v>
      </c>
      <c r="H45">
        <f t="shared" si="1"/>
        <v>-2.207530542984105</v>
      </c>
      <c r="I45">
        <f t="shared" si="2"/>
        <v>5.2735174294718038E-8</v>
      </c>
    </row>
    <row r="46" spans="1:9" x14ac:dyDescent="0.35">
      <c r="A46">
        <f t="shared" si="0"/>
        <v>78.850000000000023</v>
      </c>
      <c r="B46">
        <v>352</v>
      </c>
      <c r="C46">
        <v>629.52</v>
      </c>
      <c r="D46">
        <f t="shared" si="3"/>
        <v>-2.2067071974798709</v>
      </c>
      <c r="H46">
        <f t="shared" si="1"/>
        <v>-2.2070684691502445</v>
      </c>
      <c r="I46">
        <f t="shared" si="2"/>
        <v>1.3051721981452121E-7</v>
      </c>
    </row>
    <row r="47" spans="1:9" x14ac:dyDescent="0.35">
      <c r="A47">
        <f t="shared" si="0"/>
        <v>78.87</v>
      </c>
      <c r="B47">
        <v>352.02</v>
      </c>
      <c r="C47">
        <v>630.33000000000004</v>
      </c>
      <c r="D47">
        <f t="shared" si="3"/>
        <v>-2.206148752301774</v>
      </c>
      <c r="H47">
        <f t="shared" si="1"/>
        <v>-2.2066064602386231</v>
      </c>
      <c r="I47">
        <f t="shared" si="2"/>
        <v>2.0949655545463425E-7</v>
      </c>
    </row>
    <row r="48" spans="1:9" x14ac:dyDescent="0.35">
      <c r="A48">
        <f t="shared" si="0"/>
        <v>83.850000000000023</v>
      </c>
      <c r="B48">
        <v>357</v>
      </c>
      <c r="C48">
        <v>817.82</v>
      </c>
      <c r="D48">
        <f t="shared" si="3"/>
        <v>-2.0930590026495617</v>
      </c>
      <c r="H48">
        <f t="shared" si="1"/>
        <v>-2.0935519274584786</v>
      </c>
      <c r="I48">
        <f t="shared" si="2"/>
        <v>2.4297486724580095E-7</v>
      </c>
    </row>
    <row r="49" spans="1:9" x14ac:dyDescent="0.35">
      <c r="A49">
        <f t="shared" si="0"/>
        <v>83.860000000000014</v>
      </c>
      <c r="B49">
        <v>357.01</v>
      </c>
      <c r="C49">
        <v>818.39</v>
      </c>
      <c r="D49">
        <f t="shared" si="3"/>
        <v>-2.0927564157387142</v>
      </c>
      <c r="H49">
        <f t="shared" si="1"/>
        <v>-2.0933288208497416</v>
      </c>
      <c r="I49">
        <f t="shared" si="2"/>
        <v>3.2764761113029878E-7</v>
      </c>
    </row>
    <row r="50" spans="1:9" x14ac:dyDescent="0.35">
      <c r="A50">
        <f t="shared" si="0"/>
        <v>83.87</v>
      </c>
      <c r="B50">
        <v>357.02</v>
      </c>
      <c r="C50">
        <v>819.05</v>
      </c>
      <c r="D50">
        <f t="shared" si="3"/>
        <v>-2.0924063151260763</v>
      </c>
      <c r="H50">
        <f t="shared" si="1"/>
        <v>-2.093105729643935</v>
      </c>
      <c r="I50">
        <f t="shared" si="2"/>
        <v>4.891806677915313E-7</v>
      </c>
    </row>
    <row r="51" spans="1:9" x14ac:dyDescent="0.35">
      <c r="A51">
        <f t="shared" si="0"/>
        <v>88.830000000000041</v>
      </c>
      <c r="B51">
        <v>361.98</v>
      </c>
      <c r="C51">
        <v>1052.7</v>
      </c>
      <c r="D51">
        <f t="shared" si="3"/>
        <v>-1.9834121068467616</v>
      </c>
      <c r="H51">
        <f t="shared" si="1"/>
        <v>-1.9843189082155979</v>
      </c>
      <c r="I51">
        <f t="shared" si="2"/>
        <v>8.2228872252330025E-7</v>
      </c>
    </row>
    <row r="52" spans="1:9" x14ac:dyDescent="0.35">
      <c r="A52">
        <f t="shared" si="0"/>
        <v>88.830000000000041</v>
      </c>
      <c r="B52">
        <v>361.98</v>
      </c>
      <c r="C52">
        <v>1053</v>
      </c>
      <c r="D52">
        <f t="shared" si="3"/>
        <v>-1.9832883585963437</v>
      </c>
      <c r="H52">
        <f t="shared" si="1"/>
        <v>-1.9843189082155979</v>
      </c>
      <c r="I52">
        <f t="shared" si="2"/>
        <v>1.0620325177449666E-6</v>
      </c>
    </row>
    <row r="53" spans="1:9" x14ac:dyDescent="0.35">
      <c r="A53">
        <f t="shared" si="0"/>
        <v>88.840000000000032</v>
      </c>
      <c r="B53">
        <v>361.99</v>
      </c>
      <c r="C53">
        <v>1053.4000000000001</v>
      </c>
      <c r="D53">
        <f t="shared" si="3"/>
        <v>-1.9831234157603681</v>
      </c>
      <c r="H53">
        <f t="shared" si="1"/>
        <v>-1.9841032792874147</v>
      </c>
      <c r="I53">
        <f t="shared" si="2"/>
        <v>9.6013253163619975E-7</v>
      </c>
    </row>
    <row r="54" spans="1:9" x14ac:dyDescent="0.35">
      <c r="H54" t="s">
        <v>21</v>
      </c>
      <c r="I54">
        <f>SUM(I3:I53)</f>
        <v>5.1134192321599105E-5</v>
      </c>
    </row>
    <row r="55" spans="1:9" x14ac:dyDescent="0.35">
      <c r="H55" t="s">
        <v>666</v>
      </c>
      <c r="I55">
        <f>SQRT(SUM(I3:I53)/(COUNT(I3:I53)-1))</f>
        <v>1.0112783229319128E-3</v>
      </c>
    </row>
    <row r="56" spans="1:9" x14ac:dyDescent="0.35">
      <c r="A56" t="s">
        <v>617</v>
      </c>
      <c r="B56" t="s">
        <v>49</v>
      </c>
      <c r="C56">
        <f>324.7-273.15</f>
        <v>51.550000000000011</v>
      </c>
    </row>
    <row r="57" spans="1:9" x14ac:dyDescent="0.35">
      <c r="A57" t="s">
        <v>33</v>
      </c>
      <c r="B57" t="s">
        <v>30</v>
      </c>
      <c r="C57" t="s">
        <v>36</v>
      </c>
      <c r="D57" t="s">
        <v>20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</row>
    <row r="58" spans="1:9" x14ac:dyDescent="0.35">
      <c r="A58">
        <f>B58-273.15</f>
        <v>8.1100000000000136</v>
      </c>
      <c r="B58">
        <v>281.26</v>
      </c>
      <c r="C58">
        <v>1.034</v>
      </c>
      <c r="D58">
        <f>LOG10(C58*0.00000986923)</f>
        <v>-4.9911961910239064</v>
      </c>
      <c r="E58">
        <v>8.4658533971480079</v>
      </c>
      <c r="F58">
        <v>3601.5852601405982</v>
      </c>
      <c r="G58">
        <v>-13.606041678485299</v>
      </c>
      <c r="H58">
        <f>$E$58-($F$58/(B58+$G$58))</f>
        <v>-4.990272126743017</v>
      </c>
      <c r="I58">
        <f>(H58-D58)^2</f>
        <v>8.5389479521569022E-7</v>
      </c>
    </row>
    <row r="59" spans="1:9" x14ac:dyDescent="0.35">
      <c r="A59">
        <f t="shared" ref="A59:A78" si="4">B59-273.15</f>
        <v>8.2100000000000364</v>
      </c>
      <c r="B59">
        <v>281.36</v>
      </c>
      <c r="C59">
        <v>1.0449999999999999</v>
      </c>
      <c r="D59">
        <f t="shared" ref="D59:D78" si="5">LOG10(C59*0.00000986923)</f>
        <v>-4.9866004393347572</v>
      </c>
      <c r="H59">
        <f t="shared" ref="H59:H78" si="6">$E$58-($F$58/(B59+$G$58))</f>
        <v>-4.9852465705913005</v>
      </c>
      <c r="I59">
        <f t="shared" ref="I59:I78" si="7">(H59-D59)^2</f>
        <v>1.8329605745089302E-6</v>
      </c>
    </row>
    <row r="60" spans="1:9" x14ac:dyDescent="0.35">
      <c r="A60">
        <f t="shared" si="4"/>
        <v>8.5</v>
      </c>
      <c r="B60">
        <v>281.64999999999998</v>
      </c>
      <c r="C60">
        <v>1.089</v>
      </c>
      <c r="D60">
        <f t="shared" si="5"/>
        <v>-4.9686888500260551</v>
      </c>
      <c r="H60">
        <f t="shared" si="6"/>
        <v>-4.970693662870227</v>
      </c>
      <c r="I60">
        <f t="shared" si="7"/>
        <v>4.019274540156487E-6</v>
      </c>
    </row>
    <row r="61" spans="1:9" x14ac:dyDescent="0.35">
      <c r="A61">
        <f t="shared" si="4"/>
        <v>13.990000000000009</v>
      </c>
      <c r="B61">
        <v>287.14</v>
      </c>
      <c r="C61">
        <v>2.02</v>
      </c>
      <c r="D61">
        <f t="shared" si="5"/>
        <v>-4.7003653603352067</v>
      </c>
      <c r="H61">
        <f t="shared" si="6"/>
        <v>-4.7010136428385128</v>
      </c>
      <c r="I61">
        <f t="shared" si="7"/>
        <v>4.2027020409277625E-7</v>
      </c>
    </row>
    <row r="62" spans="1:9" x14ac:dyDescent="0.35">
      <c r="A62">
        <f t="shared" si="4"/>
        <v>14.010000000000048</v>
      </c>
      <c r="B62">
        <v>287.16000000000003</v>
      </c>
      <c r="C62">
        <v>2.0230000000000001</v>
      </c>
      <c r="D62">
        <f t="shared" si="5"/>
        <v>-4.6997208470110259</v>
      </c>
      <c r="H62">
        <f t="shared" si="6"/>
        <v>-4.7000509905617331</v>
      </c>
      <c r="I62">
        <f t="shared" si="7"/>
        <v>1.0899476407359883E-7</v>
      </c>
    </row>
    <row r="63" spans="1:9" x14ac:dyDescent="0.35">
      <c r="A63">
        <f t="shared" si="4"/>
        <v>14.04000000000002</v>
      </c>
      <c r="B63">
        <v>287.19</v>
      </c>
      <c r="C63">
        <v>2.028</v>
      </c>
      <c r="D63">
        <f t="shared" si="5"/>
        <v>-4.698648779120532</v>
      </c>
      <c r="H63">
        <f t="shared" si="6"/>
        <v>-4.6986072760469852</v>
      </c>
      <c r="I63">
        <f t="shared" si="7"/>
        <v>1.7225051138292695E-9</v>
      </c>
    </row>
    <row r="64" spans="1:9" x14ac:dyDescent="0.35">
      <c r="A64">
        <f t="shared" si="4"/>
        <v>19.230000000000018</v>
      </c>
      <c r="B64">
        <v>292.38</v>
      </c>
      <c r="C64">
        <v>3.5579999999999998</v>
      </c>
      <c r="D64">
        <f t="shared" si="5"/>
        <v>-4.4545107860339241</v>
      </c>
      <c r="H64">
        <f t="shared" si="6"/>
        <v>-4.453521431927058</v>
      </c>
      <c r="I64">
        <f t="shared" si="7"/>
        <v>9.7882154877297757E-7</v>
      </c>
    </row>
    <row r="65" spans="1:9" x14ac:dyDescent="0.35">
      <c r="A65">
        <f t="shared" si="4"/>
        <v>19.230000000000018</v>
      </c>
      <c r="B65">
        <v>292.38</v>
      </c>
      <c r="C65">
        <v>3.5640000000000001</v>
      </c>
      <c r="D65">
        <f t="shared" si="5"/>
        <v>-4.4537790344169927</v>
      </c>
      <c r="H65">
        <f t="shared" si="6"/>
        <v>-4.453521431927058</v>
      </c>
      <c r="I65">
        <f t="shared" si="7"/>
        <v>6.6359042820599907E-8</v>
      </c>
    </row>
    <row r="66" spans="1:9" x14ac:dyDescent="0.35">
      <c r="A66">
        <f t="shared" si="4"/>
        <v>19.240000000000009</v>
      </c>
      <c r="B66">
        <v>292.39</v>
      </c>
      <c r="C66">
        <v>3.573</v>
      </c>
      <c r="D66">
        <f t="shared" si="5"/>
        <v>-4.4526837135793906</v>
      </c>
      <c r="H66">
        <f t="shared" si="6"/>
        <v>-4.4530580130522122</v>
      </c>
      <c r="I66">
        <f t="shared" si="7"/>
        <v>1.4010009535447269E-7</v>
      </c>
    </row>
    <row r="67" spans="1:9" x14ac:dyDescent="0.35">
      <c r="A67">
        <f t="shared" si="4"/>
        <v>24.189999999999998</v>
      </c>
      <c r="B67">
        <v>297.33999999999997</v>
      </c>
      <c r="C67">
        <v>5.9909999999999997</v>
      </c>
      <c r="D67">
        <f t="shared" si="5"/>
        <v>-4.2282174101914656</v>
      </c>
      <c r="H67">
        <f t="shared" si="6"/>
        <v>-4.2276757152871092</v>
      </c>
      <c r="I67">
        <f t="shared" si="7"/>
        <v>2.9343336940569426E-7</v>
      </c>
    </row>
    <row r="68" spans="1:9" x14ac:dyDescent="0.35">
      <c r="A68">
        <f t="shared" si="4"/>
        <v>24.200000000000045</v>
      </c>
      <c r="B68">
        <v>297.35000000000002</v>
      </c>
      <c r="C68">
        <v>6.0039999999999996</v>
      </c>
      <c r="D68">
        <f t="shared" si="5"/>
        <v>-4.2272760462105978</v>
      </c>
      <c r="H68">
        <f t="shared" si="6"/>
        <v>-4.2272283567182214</v>
      </c>
      <c r="I68">
        <f t="shared" si="7"/>
        <v>2.2742876831220357E-9</v>
      </c>
    </row>
    <row r="69" spans="1:9" x14ac:dyDescent="0.35">
      <c r="A69">
        <f t="shared" si="4"/>
        <v>24.210000000000036</v>
      </c>
      <c r="B69">
        <v>297.36</v>
      </c>
      <c r="C69">
        <v>6.0209999999999999</v>
      </c>
      <c r="D69">
        <f t="shared" si="5"/>
        <v>-4.2260481025746826</v>
      </c>
      <c r="H69">
        <f t="shared" si="6"/>
        <v>-4.2267810296807795</v>
      </c>
      <c r="I69">
        <f t="shared" si="7"/>
        <v>5.3718214285166287E-7</v>
      </c>
    </row>
    <row r="70" spans="1:9" x14ac:dyDescent="0.35">
      <c r="A70">
        <f t="shared" si="4"/>
        <v>29.160000000000025</v>
      </c>
      <c r="B70">
        <v>302.31</v>
      </c>
      <c r="C70">
        <v>9.9060000000000006</v>
      </c>
      <c r="D70">
        <f t="shared" si="5"/>
        <v>-4.009818406135393</v>
      </c>
      <c r="H70">
        <f t="shared" si="6"/>
        <v>-4.0091583106225475</v>
      </c>
      <c r="I70">
        <f t="shared" si="7"/>
        <v>4.3572608607878411E-7</v>
      </c>
    </row>
    <row r="71" spans="1:9" x14ac:dyDescent="0.35">
      <c r="A71">
        <f t="shared" si="4"/>
        <v>29.160000000000025</v>
      </c>
      <c r="B71">
        <v>302.31</v>
      </c>
      <c r="C71">
        <v>9.9130000000000003</v>
      </c>
      <c r="D71">
        <f t="shared" si="5"/>
        <v>-4.0095116236035055</v>
      </c>
      <c r="H71">
        <f t="shared" si="6"/>
        <v>-4.0091583106225475</v>
      </c>
      <c r="I71">
        <f t="shared" si="7"/>
        <v>1.2483006251348958E-7</v>
      </c>
    </row>
    <row r="72" spans="1:9" x14ac:dyDescent="0.35">
      <c r="A72">
        <f t="shared" si="4"/>
        <v>29.170000000000016</v>
      </c>
      <c r="B72">
        <v>302.32</v>
      </c>
      <c r="C72">
        <v>9.9670000000000005</v>
      </c>
      <c r="D72">
        <f t="shared" si="5"/>
        <v>-4.0071522715208889</v>
      </c>
      <c r="H72">
        <f t="shared" si="6"/>
        <v>-4.0087262216518482</v>
      </c>
      <c r="I72">
        <f t="shared" si="7"/>
        <v>2.4773190147467647E-6</v>
      </c>
    </row>
    <row r="73" spans="1:9" x14ac:dyDescent="0.35">
      <c r="A73">
        <f t="shared" si="4"/>
        <v>34.970000000000027</v>
      </c>
      <c r="B73">
        <v>308.12</v>
      </c>
      <c r="C73">
        <v>17.510000000000002</v>
      </c>
      <c r="D73">
        <f t="shared" si="5"/>
        <v>-3.762430583698384</v>
      </c>
      <c r="H73">
        <f t="shared" si="6"/>
        <v>-3.7630585385261011</v>
      </c>
      <c r="I73">
        <f t="shared" si="7"/>
        <v>3.9432726565314704E-7</v>
      </c>
    </row>
    <row r="74" spans="1:9" x14ac:dyDescent="0.35">
      <c r="A74">
        <f t="shared" si="4"/>
        <v>34.970000000000027</v>
      </c>
      <c r="B74">
        <v>308.12</v>
      </c>
      <c r="C74">
        <v>17.489999999999998</v>
      </c>
      <c r="D74">
        <f t="shared" si="5"/>
        <v>-3.7629269203031539</v>
      </c>
      <c r="H74">
        <f t="shared" si="6"/>
        <v>-3.7630585385261011</v>
      </c>
      <c r="I74">
        <f t="shared" si="7"/>
        <v>1.7323356611768511E-8</v>
      </c>
    </row>
    <row r="75" spans="1:9" x14ac:dyDescent="0.35">
      <c r="A75">
        <f t="shared" si="4"/>
        <v>34.990000000000009</v>
      </c>
      <c r="B75">
        <v>308.14</v>
      </c>
      <c r="C75">
        <v>17.440000000000001</v>
      </c>
      <c r="D75">
        <f t="shared" si="5"/>
        <v>-3.7641702491852818</v>
      </c>
      <c r="H75">
        <f t="shared" si="6"/>
        <v>-3.7622281478977779</v>
      </c>
      <c r="I75">
        <f t="shared" si="7"/>
        <v>3.771757410924026E-6</v>
      </c>
    </row>
    <row r="76" spans="1:9" x14ac:dyDescent="0.35">
      <c r="A76">
        <f t="shared" si="4"/>
        <v>38.990000000000009</v>
      </c>
      <c r="B76">
        <v>312.14</v>
      </c>
      <c r="C76">
        <v>25.56</v>
      </c>
      <c r="D76">
        <f t="shared" si="5"/>
        <v>-3.5981558802954678</v>
      </c>
      <c r="H76">
        <f t="shared" si="6"/>
        <v>-3.59838639784968</v>
      </c>
      <c r="I76">
        <f t="shared" si="7"/>
        <v>5.3138342799931363E-8</v>
      </c>
    </row>
    <row r="77" spans="1:9" x14ac:dyDescent="0.35">
      <c r="A77">
        <f t="shared" si="4"/>
        <v>38.990000000000009</v>
      </c>
      <c r="B77">
        <v>312.14</v>
      </c>
      <c r="C77">
        <v>25.48</v>
      </c>
      <c r="D77">
        <f t="shared" si="5"/>
        <v>-3.5995173061185173</v>
      </c>
      <c r="H77">
        <f t="shared" si="6"/>
        <v>-3.59838639784968</v>
      </c>
      <c r="I77">
        <f t="shared" si="7"/>
        <v>1.2789535125246406E-6</v>
      </c>
    </row>
    <row r="78" spans="1:9" x14ac:dyDescent="0.35">
      <c r="A78">
        <f t="shared" si="4"/>
        <v>38.990000000000009</v>
      </c>
      <c r="B78">
        <v>312.14</v>
      </c>
      <c r="C78">
        <v>25.64</v>
      </c>
      <c r="D78">
        <f t="shared" si="5"/>
        <v>-3.5967987089350504</v>
      </c>
      <c r="H78">
        <f t="shared" si="6"/>
        <v>-3.59838639784968</v>
      </c>
      <c r="I78">
        <f t="shared" si="7"/>
        <v>2.520756089637623E-6</v>
      </c>
    </row>
    <row r="79" spans="1:9" x14ac:dyDescent="0.35">
      <c r="H79" t="s">
        <v>21</v>
      </c>
      <c r="I79">
        <f>SUM(I58:I78)</f>
        <v>2.0329419011540015E-5</v>
      </c>
    </row>
    <row r="80" spans="1:9" x14ac:dyDescent="0.35">
      <c r="H80" t="s">
        <v>666</v>
      </c>
      <c r="I80">
        <f>SQRT(SUM(I58:I78)/(COUNT(I58:I78)-1))</f>
        <v>1.0082018401971903E-3</v>
      </c>
    </row>
    <row r="81" spans="1:9" x14ac:dyDescent="0.35">
      <c r="A81" t="s">
        <v>616</v>
      </c>
      <c r="B81" t="s">
        <v>49</v>
      </c>
      <c r="C81">
        <f>324.7-273.15</f>
        <v>51.550000000000011</v>
      </c>
    </row>
    <row r="82" spans="1:9" x14ac:dyDescent="0.35">
      <c r="A82" t="s">
        <v>33</v>
      </c>
      <c r="B82" t="s">
        <v>30</v>
      </c>
      <c r="C82" t="s">
        <v>36</v>
      </c>
      <c r="D82" t="s">
        <v>20</v>
      </c>
      <c r="E82" t="s">
        <v>3</v>
      </c>
      <c r="F82" t="s">
        <v>4</v>
      </c>
      <c r="G82" t="s">
        <v>5</v>
      </c>
      <c r="H82" t="s">
        <v>6</v>
      </c>
      <c r="I82" t="s">
        <v>7</v>
      </c>
    </row>
    <row r="83" spans="1:9" x14ac:dyDescent="0.35">
      <c r="A83">
        <f>B83-273.15</f>
        <v>8.1100000000000136</v>
      </c>
      <c r="B83">
        <v>281.26</v>
      </c>
      <c r="C83">
        <v>1.034</v>
      </c>
      <c r="D83">
        <f>LOG10(C83*0.00000986923)</f>
        <v>-4.9911961910239064</v>
      </c>
      <c r="E83">
        <v>10.356826177881057</v>
      </c>
      <c r="F83">
        <v>4823.2522055571872</v>
      </c>
      <c r="G83">
        <v>31.953009029759428</v>
      </c>
      <c r="H83">
        <f>$E$83-($F$83/(B83+$G$83))</f>
        <v>-5.0424454567748143</v>
      </c>
      <c r="I83">
        <f>(H83-D83)^2</f>
        <v>2.6264872400071737E-3</v>
      </c>
    </row>
    <row r="84" spans="1:9" x14ac:dyDescent="0.35">
      <c r="A84">
        <f t="shared" ref="A84:A110" si="8">B84-273.15</f>
        <v>8.2800000000000296</v>
      </c>
      <c r="B84">
        <v>281.43</v>
      </c>
      <c r="C84">
        <v>0.91500000000000004</v>
      </c>
      <c r="D84">
        <f t="shared" ref="D84:D110" si="9">LOG10(C84*0.00000986923)</f>
        <v>-5.0442956357153816</v>
      </c>
      <c r="H84">
        <f t="shared" ref="H84:H110" si="10">$E$83-($F$83/(B84+$G$83))</f>
        <v>-5.0340918571779607</v>
      </c>
      <c r="I84">
        <f t="shared" ref="I84:I110" si="11">(H84-D84)^2</f>
        <v>1.0411709644073217E-4</v>
      </c>
    </row>
    <row r="85" spans="1:9" x14ac:dyDescent="0.35">
      <c r="A85">
        <f t="shared" si="8"/>
        <v>8.3300000000000409</v>
      </c>
      <c r="B85">
        <v>281.48</v>
      </c>
      <c r="C85">
        <v>0.91400000000000003</v>
      </c>
      <c r="D85">
        <f t="shared" si="9"/>
        <v>-5.0447705340479985</v>
      </c>
      <c r="H85">
        <f t="shared" si="10"/>
        <v>-5.0316366406577373</v>
      </c>
      <c r="I85">
        <f t="shared" si="11"/>
        <v>1.7249915558674591E-4</v>
      </c>
    </row>
    <row r="86" spans="1:9" x14ac:dyDescent="0.35">
      <c r="A86">
        <f t="shared" si="8"/>
        <v>8.4399999999999977</v>
      </c>
      <c r="B86">
        <v>281.58999999999997</v>
      </c>
      <c r="C86">
        <v>0.92500000000000004</v>
      </c>
      <c r="D86">
        <f t="shared" si="9"/>
        <v>-5.0395749970427977</v>
      </c>
      <c r="H86">
        <f t="shared" si="10"/>
        <v>-5.026237920669443</v>
      </c>
      <c r="I86">
        <f t="shared" si="11"/>
        <v>1.7787760618869573E-4</v>
      </c>
    </row>
    <row r="87" spans="1:9" x14ac:dyDescent="0.35">
      <c r="A87">
        <f t="shared" si="8"/>
        <v>14.200000000000045</v>
      </c>
      <c r="B87">
        <v>287.35000000000002</v>
      </c>
      <c r="C87">
        <v>1.7810000000000001</v>
      </c>
      <c r="D87">
        <f t="shared" si="9"/>
        <v>-4.7550528103185865</v>
      </c>
      <c r="H87">
        <f t="shared" si="10"/>
        <v>-4.7487383459648616</v>
      </c>
      <c r="I87">
        <f t="shared" si="11"/>
        <v>3.9872460074463146E-5</v>
      </c>
    </row>
    <row r="88" spans="1:9" x14ac:dyDescent="0.35">
      <c r="A88">
        <f t="shared" si="8"/>
        <v>14.210000000000036</v>
      </c>
      <c r="B88">
        <v>287.36</v>
      </c>
      <c r="C88">
        <v>1.7730000000000001</v>
      </c>
      <c r="D88">
        <f t="shared" si="9"/>
        <v>-4.7570079941809125</v>
      </c>
      <c r="H88">
        <f t="shared" si="10"/>
        <v>-4.7482652814765167</v>
      </c>
      <c r="I88">
        <f t="shared" si="11"/>
        <v>7.6435025431602851E-5</v>
      </c>
    </row>
    <row r="89" spans="1:9" x14ac:dyDescent="0.35">
      <c r="A89">
        <f t="shared" si="8"/>
        <v>14.230000000000018</v>
      </c>
      <c r="B89">
        <v>287.38</v>
      </c>
      <c r="C89">
        <v>1.7789999999999999</v>
      </c>
      <c r="D89">
        <f t="shared" si="9"/>
        <v>-4.7555407816979054</v>
      </c>
      <c r="H89">
        <f t="shared" si="10"/>
        <v>-4.7473192413846874</v>
      </c>
      <c r="I89">
        <f t="shared" si="11"/>
        <v>6.7593725121868381E-5</v>
      </c>
    </row>
    <row r="90" spans="1:9" x14ac:dyDescent="0.35">
      <c r="A90">
        <f t="shared" si="8"/>
        <v>19.129999999999995</v>
      </c>
      <c r="B90">
        <v>292.27999999999997</v>
      </c>
      <c r="C90">
        <v>3.0680000000000001</v>
      </c>
      <c r="D90">
        <f t="shared" si="9"/>
        <v>-4.5188613745048869</v>
      </c>
      <c r="H90">
        <f t="shared" si="10"/>
        <v>-4.5190565090494701</v>
      </c>
      <c r="I90">
        <f t="shared" si="11"/>
        <v>3.8077490489691917E-8</v>
      </c>
    </row>
    <row r="91" spans="1:9" x14ac:dyDescent="0.35">
      <c r="A91">
        <f t="shared" si="8"/>
        <v>19.129999999999995</v>
      </c>
      <c r="B91">
        <v>292.27999999999997</v>
      </c>
      <c r="C91">
        <v>3.0539999999999998</v>
      </c>
      <c r="D91">
        <f t="shared" si="9"/>
        <v>-4.520847697061428</v>
      </c>
      <c r="H91">
        <f t="shared" si="10"/>
        <v>-4.5190565090494701</v>
      </c>
      <c r="I91">
        <f t="shared" si="11"/>
        <v>3.2083544941816161E-6</v>
      </c>
    </row>
    <row r="92" spans="1:9" x14ac:dyDescent="0.35">
      <c r="A92">
        <f t="shared" si="8"/>
        <v>19.140000000000043</v>
      </c>
      <c r="B92">
        <v>292.29000000000002</v>
      </c>
      <c r="C92">
        <v>3.0489999999999999</v>
      </c>
      <c r="D92">
        <f t="shared" si="9"/>
        <v>-4.5215593054164493</v>
      </c>
      <c r="H92">
        <f t="shared" si="10"/>
        <v>-4.5185977209716182</v>
      </c>
      <c r="I92">
        <f t="shared" si="11"/>
        <v>8.7709824238660614E-6</v>
      </c>
    </row>
    <row r="93" spans="1:9" x14ac:dyDescent="0.35">
      <c r="A93">
        <f t="shared" si="8"/>
        <v>24.420000000000016</v>
      </c>
      <c r="B93">
        <v>297.57</v>
      </c>
      <c r="C93">
        <v>5.32</v>
      </c>
      <c r="D93">
        <f t="shared" si="9"/>
        <v>-4.2798050974867818</v>
      </c>
      <c r="H93">
        <f t="shared" si="10"/>
        <v>-4.2802464191393117</v>
      </c>
      <c r="I93">
        <f t="shared" si="11"/>
        <v>1.9476480099168471E-7</v>
      </c>
    </row>
    <row r="94" spans="1:9" x14ac:dyDescent="0.35">
      <c r="A94">
        <f t="shared" si="8"/>
        <v>24.430000000000007</v>
      </c>
      <c r="B94">
        <v>297.58</v>
      </c>
      <c r="C94">
        <v>5.327</v>
      </c>
      <c r="D94">
        <f t="shared" si="9"/>
        <v>-4.2792340329970004</v>
      </c>
      <c r="H94">
        <f t="shared" si="10"/>
        <v>-4.2798022429203613</v>
      </c>
      <c r="I94">
        <f t="shared" si="11"/>
        <v>3.2286251700570714E-7</v>
      </c>
    </row>
    <row r="95" spans="1:9" x14ac:dyDescent="0.35">
      <c r="A95">
        <f t="shared" si="8"/>
        <v>24.439999999999998</v>
      </c>
      <c r="B95">
        <v>297.58999999999997</v>
      </c>
      <c r="C95">
        <v>5.3469999999999995</v>
      </c>
      <c r="D95">
        <f t="shared" si="9"/>
        <v>-4.2776065456814898</v>
      </c>
      <c r="H95">
        <f t="shared" si="10"/>
        <v>-4.2793580936585141</v>
      </c>
      <c r="I95">
        <f t="shared" si="11"/>
        <v>3.0679203158177751E-6</v>
      </c>
    </row>
    <row r="96" spans="1:9" x14ac:dyDescent="0.35">
      <c r="A96">
        <f t="shared" si="8"/>
        <v>29.310000000000002</v>
      </c>
      <c r="B96">
        <v>302.45999999999998</v>
      </c>
      <c r="C96">
        <v>8.76</v>
      </c>
      <c r="D96">
        <f t="shared" si="9"/>
        <v>-4.0632126236137491</v>
      </c>
      <c r="H96">
        <f t="shared" si="10"/>
        <v>-4.0662138215226928</v>
      </c>
      <c r="I96">
        <f t="shared" si="11"/>
        <v>9.0071888886480923E-6</v>
      </c>
    </row>
    <row r="97" spans="1:9" x14ac:dyDescent="0.35">
      <c r="A97">
        <f t="shared" si="8"/>
        <v>29.330000000000041</v>
      </c>
      <c r="B97">
        <v>302.48</v>
      </c>
      <c r="C97">
        <v>8.7729999999999997</v>
      </c>
      <c r="D97">
        <f t="shared" si="9"/>
        <v>-4.0625686004232673</v>
      </c>
      <c r="H97">
        <f t="shared" si="10"/>
        <v>-4.0653512846552182</v>
      </c>
      <c r="I97">
        <f t="shared" si="11"/>
        <v>7.7433315347483819E-6</v>
      </c>
    </row>
    <row r="98" spans="1:9" x14ac:dyDescent="0.35">
      <c r="A98">
        <f t="shared" si="8"/>
        <v>29.340000000000032</v>
      </c>
      <c r="B98">
        <v>302.49</v>
      </c>
      <c r="C98">
        <v>8.7870000000000008</v>
      </c>
      <c r="D98">
        <f t="shared" si="9"/>
        <v>-4.0618761033805688</v>
      </c>
      <c r="H98">
        <f t="shared" si="10"/>
        <v>-4.0649200549068567</v>
      </c>
      <c r="I98">
        <f t="shared" si="11"/>
        <v>9.2656408943903824E-6</v>
      </c>
    </row>
    <row r="99" spans="1:9" x14ac:dyDescent="0.35">
      <c r="A99">
        <f t="shared" si="8"/>
        <v>34.080000000000041</v>
      </c>
      <c r="B99">
        <v>307.23</v>
      </c>
      <c r="C99">
        <v>13.91</v>
      </c>
      <c r="D99">
        <f t="shared" si="9"/>
        <v>-3.8623895997897839</v>
      </c>
      <c r="H99">
        <f t="shared" si="10"/>
        <v>-3.86337966130354</v>
      </c>
      <c r="I99">
        <f t="shared" si="11"/>
        <v>9.8022180102109E-7</v>
      </c>
    </row>
    <row r="100" spans="1:9" x14ac:dyDescent="0.35">
      <c r="A100">
        <f t="shared" si="8"/>
        <v>34.080000000000041</v>
      </c>
      <c r="B100">
        <v>307.23</v>
      </c>
      <c r="C100">
        <v>13.92</v>
      </c>
      <c r="D100">
        <f t="shared" si="9"/>
        <v>-3.8620774945072869</v>
      </c>
      <c r="H100">
        <f t="shared" si="10"/>
        <v>-3.86337966130354</v>
      </c>
      <c r="I100">
        <f t="shared" si="11"/>
        <v>1.6956383652642396E-6</v>
      </c>
    </row>
    <row r="101" spans="1:9" x14ac:dyDescent="0.35">
      <c r="A101">
        <f t="shared" si="8"/>
        <v>34.110000000000014</v>
      </c>
      <c r="B101">
        <v>307.26</v>
      </c>
      <c r="C101">
        <v>13.97</v>
      </c>
      <c r="D101">
        <f t="shared" si="9"/>
        <v>-3.8605203236676484</v>
      </c>
      <c r="H101">
        <f t="shared" si="10"/>
        <v>-3.8621220262370208</v>
      </c>
      <c r="I101">
        <f t="shared" si="11"/>
        <v>2.5654511207342141E-6</v>
      </c>
    </row>
    <row r="102" spans="1:9" x14ac:dyDescent="0.35">
      <c r="A102">
        <f t="shared" si="8"/>
        <v>38.32000000000005</v>
      </c>
      <c r="B102">
        <v>311.47000000000003</v>
      </c>
      <c r="C102">
        <v>20.87</v>
      </c>
      <c r="D102">
        <f t="shared" si="9"/>
        <v>-3.6861942807163763</v>
      </c>
      <c r="H102">
        <f t="shared" si="10"/>
        <v>-3.687812878726902</v>
      </c>
      <c r="I102">
        <f t="shared" si="11"/>
        <v>2.6198595196776326E-6</v>
      </c>
    </row>
    <row r="103" spans="1:9" x14ac:dyDescent="0.35">
      <c r="A103">
        <f t="shared" si="8"/>
        <v>38.330000000000041</v>
      </c>
      <c r="B103">
        <v>311.48</v>
      </c>
      <c r="C103">
        <v>20.89</v>
      </c>
      <c r="D103">
        <f t="shared" si="9"/>
        <v>-3.6857782898015214</v>
      </c>
      <c r="H103">
        <f t="shared" si="10"/>
        <v>-3.6874039302948258</v>
      </c>
      <c r="I103">
        <f t="shared" si="11"/>
        <v>2.6427070134709114E-6</v>
      </c>
    </row>
    <row r="104" spans="1:9" x14ac:dyDescent="0.35">
      <c r="A104">
        <f t="shared" si="8"/>
        <v>38.330000000000041</v>
      </c>
      <c r="B104">
        <v>311.48</v>
      </c>
      <c r="C104">
        <v>20.92</v>
      </c>
      <c r="D104">
        <f t="shared" si="9"/>
        <v>-3.6851550495865935</v>
      </c>
      <c r="H104">
        <f t="shared" si="10"/>
        <v>-3.6874039302948258</v>
      </c>
      <c r="I104">
        <f t="shared" si="11"/>
        <v>5.0574644398597271E-6</v>
      </c>
    </row>
    <row r="105" spans="1:9" x14ac:dyDescent="0.35">
      <c r="A105">
        <f t="shared" si="8"/>
        <v>42.760000000000048</v>
      </c>
      <c r="B105">
        <v>315.91000000000003</v>
      </c>
      <c r="C105">
        <v>31.4</v>
      </c>
      <c r="D105">
        <f t="shared" si="9"/>
        <v>-3.5087870817086153</v>
      </c>
      <c r="H105">
        <f t="shared" si="10"/>
        <v>-3.5085520898742288</v>
      </c>
      <c r="I105">
        <f t="shared" si="11"/>
        <v>5.5221162228316514E-8</v>
      </c>
    </row>
    <row r="106" spans="1:9" x14ac:dyDescent="0.35">
      <c r="A106">
        <f t="shared" si="8"/>
        <v>42.770000000000039</v>
      </c>
      <c r="B106">
        <v>315.92</v>
      </c>
      <c r="C106">
        <v>31.4</v>
      </c>
      <c r="D106">
        <f t="shared" si="9"/>
        <v>-3.5087870817086153</v>
      </c>
      <c r="H106">
        <f t="shared" si="10"/>
        <v>-3.5081535140172964</v>
      </c>
      <c r="I106">
        <f t="shared" si="11"/>
        <v>4.0140801948322187E-7</v>
      </c>
    </row>
    <row r="107" spans="1:9" x14ac:dyDescent="0.35">
      <c r="A107">
        <f t="shared" si="8"/>
        <v>42.770000000000039</v>
      </c>
      <c r="B107">
        <v>315.92</v>
      </c>
      <c r="C107">
        <v>31.4</v>
      </c>
      <c r="D107">
        <f t="shared" si="9"/>
        <v>-3.5087870817086153</v>
      </c>
      <c r="H107">
        <f t="shared" si="10"/>
        <v>-3.5081535140172964</v>
      </c>
      <c r="I107">
        <f t="shared" si="11"/>
        <v>4.0140801948322187E-7</v>
      </c>
    </row>
    <row r="108" spans="1:9" x14ac:dyDescent="0.35">
      <c r="A108">
        <f t="shared" si="8"/>
        <v>47.870000000000005</v>
      </c>
      <c r="B108">
        <v>321.02</v>
      </c>
      <c r="C108">
        <v>49.63</v>
      </c>
      <c r="D108">
        <f t="shared" si="9"/>
        <v>-3.3099724545845066</v>
      </c>
      <c r="H108">
        <f t="shared" si="10"/>
        <v>-3.3078226257631194</v>
      </c>
      <c r="I108">
        <f t="shared" si="11"/>
        <v>4.6217639612673198E-6</v>
      </c>
    </row>
    <row r="109" spans="1:9" x14ac:dyDescent="0.35">
      <c r="A109">
        <f t="shared" si="8"/>
        <v>47.879999999999995</v>
      </c>
      <c r="B109">
        <v>321.02999999999997</v>
      </c>
      <c r="C109">
        <v>49.68</v>
      </c>
      <c r="D109">
        <f t="shared" si="9"/>
        <v>-3.3095351426133064</v>
      </c>
      <c r="H109">
        <f t="shared" si="10"/>
        <v>-3.3074355065972085</v>
      </c>
      <c r="I109">
        <f t="shared" si="11"/>
        <v>4.4084714000952978E-6</v>
      </c>
    </row>
    <row r="110" spans="1:9" x14ac:dyDescent="0.35">
      <c r="A110">
        <f t="shared" si="8"/>
        <v>47.890000000000043</v>
      </c>
      <c r="B110">
        <v>321.04000000000002</v>
      </c>
      <c r="C110">
        <v>49.74</v>
      </c>
      <c r="D110">
        <f t="shared" si="9"/>
        <v>-3.3090109488479129</v>
      </c>
      <c r="H110">
        <f t="shared" si="10"/>
        <v>-3.3070484093648282</v>
      </c>
      <c r="I110">
        <f t="shared" si="11"/>
        <v>3.8515612226662387E-6</v>
      </c>
    </row>
    <row r="111" spans="1:9" x14ac:dyDescent="0.35">
      <c r="H111" t="s">
        <v>21</v>
      </c>
      <c r="I111">
        <f>SUM(I83:I110)</f>
        <v>3.3358026082566726E-3</v>
      </c>
    </row>
    <row r="112" spans="1:9" x14ac:dyDescent="0.35">
      <c r="H112" t="s">
        <v>666</v>
      </c>
      <c r="I112">
        <f>SQRT(SUM(I83:I110)/(COUNT(I83:I110)-1))</f>
        <v>1.1115225807434015E-2</v>
      </c>
    </row>
    <row r="113" spans="1:9" x14ac:dyDescent="0.35">
      <c r="A113" t="s">
        <v>618</v>
      </c>
      <c r="B113" t="s">
        <v>49</v>
      </c>
      <c r="C113">
        <f>317.2-273.15</f>
        <v>44.050000000000011</v>
      </c>
    </row>
    <row r="114" spans="1:9" x14ac:dyDescent="0.35">
      <c r="A114" t="s">
        <v>33</v>
      </c>
      <c r="B114" t="s">
        <v>30</v>
      </c>
      <c r="C114" t="s">
        <v>36</v>
      </c>
      <c r="D114" t="s">
        <v>20</v>
      </c>
      <c r="E114" t="s">
        <v>3</v>
      </c>
      <c r="F114" t="s">
        <v>4</v>
      </c>
      <c r="G114" t="s">
        <v>5</v>
      </c>
      <c r="H114" t="s">
        <v>6</v>
      </c>
      <c r="I114" t="s">
        <v>7</v>
      </c>
    </row>
    <row r="115" spans="1:9" x14ac:dyDescent="0.35">
      <c r="A115">
        <f>B115-273.15</f>
        <v>39.06</v>
      </c>
      <c r="B115">
        <v>312.20999999999998</v>
      </c>
      <c r="C115">
        <v>28.27</v>
      </c>
      <c r="D115">
        <f>LOG10(C115*0.00000986923)</f>
        <v>-3.5543909212923106</v>
      </c>
      <c r="E115">
        <v>4.5960930089243348</v>
      </c>
      <c r="F115">
        <v>2081.816210369218</v>
      </c>
      <c r="G115">
        <v>-56.790931631118298</v>
      </c>
      <c r="H115">
        <f>$E$115-($F$115/(B115+$G$115))</f>
        <v>-3.5544974057373242</v>
      </c>
      <c r="I115">
        <f>(H115-D115)^2</f>
        <v>1.1338937029854258E-8</v>
      </c>
    </row>
    <row r="116" spans="1:9" x14ac:dyDescent="0.35">
      <c r="A116">
        <f t="shared" ref="A116:A153" si="12">B116-273.15</f>
        <v>39.06</v>
      </c>
      <c r="B116">
        <v>312.20999999999998</v>
      </c>
      <c r="C116">
        <v>28.27</v>
      </c>
      <c r="D116">
        <f t="shared" ref="D116:D153" si="13">LOG10(C116*0.00000986923)</f>
        <v>-3.5543909212923106</v>
      </c>
      <c r="H116">
        <f t="shared" ref="H116:H153" si="14">$E$115-($F$115/(B116+$G$115))</f>
        <v>-3.5544974057373242</v>
      </c>
      <c r="I116">
        <f t="shared" ref="I116:I153" si="15">(H116-D116)^2</f>
        <v>1.1338937029854258E-8</v>
      </c>
    </row>
    <row r="117" spans="1:9" x14ac:dyDescent="0.35">
      <c r="A117">
        <f t="shared" si="12"/>
        <v>39.07000000000005</v>
      </c>
      <c r="B117">
        <v>312.22000000000003</v>
      </c>
      <c r="C117">
        <v>28.3</v>
      </c>
      <c r="D117">
        <f t="shared" si="13"/>
        <v>-3.5539302942575399</v>
      </c>
      <c r="H117">
        <f t="shared" si="14"/>
        <v>-3.5541783116550896</v>
      </c>
      <c r="I117">
        <f t="shared" si="15"/>
        <v>6.1512629487300709E-8</v>
      </c>
    </row>
    <row r="118" spans="1:9" x14ac:dyDescent="0.35">
      <c r="A118">
        <f t="shared" si="12"/>
        <v>42.82000000000005</v>
      </c>
      <c r="B118">
        <v>315.97000000000003</v>
      </c>
      <c r="C118">
        <v>37.1</v>
      </c>
      <c r="D118">
        <f t="shared" si="13"/>
        <v>-3.4363428201667845</v>
      </c>
      <c r="H118">
        <f t="shared" si="14"/>
        <v>-3.4362539837202704</v>
      </c>
      <c r="I118">
        <f t="shared" si="15"/>
        <v>7.8919142292596609E-9</v>
      </c>
    </row>
    <row r="119" spans="1:9" x14ac:dyDescent="0.35">
      <c r="A119">
        <f t="shared" si="12"/>
        <v>42.830000000000041</v>
      </c>
      <c r="B119">
        <v>315.98</v>
      </c>
      <c r="C119">
        <v>37.130000000000003</v>
      </c>
      <c r="D119">
        <f t="shared" si="13"/>
        <v>-3.4359917805556712</v>
      </c>
      <c r="H119">
        <f t="shared" si="14"/>
        <v>-3.4359440807199935</v>
      </c>
      <c r="I119">
        <f t="shared" si="15"/>
        <v>2.2752743236854366E-9</v>
      </c>
    </row>
    <row r="120" spans="1:9" x14ac:dyDescent="0.35">
      <c r="A120">
        <f t="shared" si="12"/>
        <v>42.840000000000032</v>
      </c>
      <c r="B120">
        <v>315.99</v>
      </c>
      <c r="C120">
        <v>37.18</v>
      </c>
      <c r="D120">
        <f t="shared" si="13"/>
        <v>-3.4354073443459505</v>
      </c>
      <c r="H120">
        <f t="shared" si="14"/>
        <v>-3.4356342016320713</v>
      </c>
      <c r="I120">
        <f t="shared" si="15"/>
        <v>5.1464228266102888E-8</v>
      </c>
    </row>
    <row r="121" spans="1:9" x14ac:dyDescent="0.35">
      <c r="A121">
        <f t="shared" si="12"/>
        <v>46.960000000000036</v>
      </c>
      <c r="B121">
        <v>320.11</v>
      </c>
      <c r="C121">
        <v>49.6</v>
      </c>
      <c r="D121">
        <f t="shared" si="13"/>
        <v>-3.3102350532916329</v>
      </c>
      <c r="H121">
        <f t="shared" si="14"/>
        <v>-3.3099664468717682</v>
      </c>
      <c r="I121">
        <f t="shared" si="15"/>
        <v>7.2149408792533184E-8</v>
      </c>
    </row>
    <row r="122" spans="1:9" x14ac:dyDescent="0.35">
      <c r="A122">
        <f t="shared" si="12"/>
        <v>46.970000000000027</v>
      </c>
      <c r="B122">
        <v>320.12</v>
      </c>
      <c r="C122">
        <v>49.64</v>
      </c>
      <c r="D122">
        <f t="shared" si="13"/>
        <v>-3.3098849569551381</v>
      </c>
      <c r="H122">
        <f t="shared" si="14"/>
        <v>-3.3096662119032256</v>
      </c>
      <c r="I122">
        <f t="shared" si="15"/>
        <v>4.7849397736175622E-8</v>
      </c>
    </row>
    <row r="123" spans="1:9" x14ac:dyDescent="0.35">
      <c r="A123">
        <f t="shared" si="12"/>
        <v>47</v>
      </c>
      <c r="B123">
        <v>320.14999999999998</v>
      </c>
      <c r="C123">
        <v>49.74</v>
      </c>
      <c r="D123">
        <f t="shared" si="13"/>
        <v>-3.3090109488479129</v>
      </c>
      <c r="H123">
        <f t="shared" si="14"/>
        <v>-3.3087656438001662</v>
      </c>
      <c r="I123">
        <f t="shared" si="15"/>
        <v>6.0174566449995526E-8</v>
      </c>
    </row>
    <row r="124" spans="1:9" x14ac:dyDescent="0.35">
      <c r="A124">
        <f t="shared" si="12"/>
        <v>51.75</v>
      </c>
      <c r="B124">
        <v>324.89999999999998</v>
      </c>
      <c r="C124">
        <v>68.72</v>
      </c>
      <c r="D124">
        <f t="shared" si="13"/>
        <v>-3.1686335789586444</v>
      </c>
      <c r="H124">
        <f t="shared" si="14"/>
        <v>-3.1687178683598356</v>
      </c>
      <c r="I124">
        <f t="shared" si="15"/>
        <v>7.1047031531721701E-9</v>
      </c>
    </row>
    <row r="125" spans="1:9" x14ac:dyDescent="0.35">
      <c r="A125">
        <f t="shared" si="12"/>
        <v>51.75</v>
      </c>
      <c r="B125">
        <v>324.89999999999998</v>
      </c>
      <c r="C125">
        <v>68.7</v>
      </c>
      <c r="D125">
        <f t="shared" si="13"/>
        <v>-3.1687599927222796</v>
      </c>
      <c r="H125">
        <f t="shared" si="14"/>
        <v>-3.1687178683598356</v>
      </c>
      <c r="I125">
        <f t="shared" si="15"/>
        <v>1.7744619113131388E-9</v>
      </c>
    </row>
    <row r="126" spans="1:9" x14ac:dyDescent="0.35">
      <c r="A126">
        <f t="shared" si="12"/>
        <v>51.760000000000048</v>
      </c>
      <c r="B126">
        <v>324.91000000000003</v>
      </c>
      <c r="C126">
        <v>68.709999999999994</v>
      </c>
      <c r="D126">
        <f t="shared" si="13"/>
        <v>-3.1686967812409219</v>
      </c>
      <c r="H126">
        <f t="shared" si="14"/>
        <v>-3.1684282652769769</v>
      </c>
      <c r="I126">
        <f t="shared" si="15"/>
        <v>7.2100822893344547E-8</v>
      </c>
    </row>
    <row r="127" spans="1:9" x14ac:dyDescent="0.35">
      <c r="A127">
        <f t="shared" si="12"/>
        <v>56.129999999999995</v>
      </c>
      <c r="B127">
        <v>329.28</v>
      </c>
      <c r="C127">
        <v>91.51</v>
      </c>
      <c r="D127">
        <f t="shared" si="13"/>
        <v>-3.0442481744310439</v>
      </c>
      <c r="H127">
        <f t="shared" si="14"/>
        <v>-3.0439059929841088</v>
      </c>
      <c r="I127">
        <f t="shared" si="15"/>
        <v>1.170881426265966E-7</v>
      </c>
    </row>
    <row r="128" spans="1:9" x14ac:dyDescent="0.35">
      <c r="A128">
        <f t="shared" si="12"/>
        <v>56.129999999999995</v>
      </c>
      <c r="B128">
        <v>329.28</v>
      </c>
      <c r="C128">
        <v>91.54</v>
      </c>
      <c r="D128">
        <f t="shared" si="13"/>
        <v>-3.0441058216905494</v>
      </c>
      <c r="H128">
        <f t="shared" si="14"/>
        <v>-3.0439059929841088</v>
      </c>
      <c r="I128">
        <f t="shared" si="15"/>
        <v>3.9931511917739965E-8</v>
      </c>
    </row>
    <row r="129" spans="1:9" x14ac:dyDescent="0.35">
      <c r="A129">
        <f t="shared" si="12"/>
        <v>56.140000000000043</v>
      </c>
      <c r="B129">
        <v>329.29</v>
      </c>
      <c r="C129">
        <v>91.59</v>
      </c>
      <c r="D129">
        <f t="shared" si="13"/>
        <v>-3.0438686707635059</v>
      </c>
      <c r="H129">
        <f t="shared" si="14"/>
        <v>-3.0436256250897298</v>
      </c>
      <c r="I129">
        <f t="shared" si="15"/>
        <v>5.9071199541272477E-8</v>
      </c>
    </row>
    <row r="130" spans="1:9" x14ac:dyDescent="0.35">
      <c r="A130">
        <f t="shared" si="12"/>
        <v>61.970000000000027</v>
      </c>
      <c r="B130">
        <v>335.12</v>
      </c>
      <c r="C130">
        <v>132.54</v>
      </c>
      <c r="D130">
        <f t="shared" si="13"/>
        <v>-2.8833697635267517</v>
      </c>
      <c r="H130">
        <f t="shared" si="14"/>
        <v>-2.8836008030424969</v>
      </c>
      <c r="I130">
        <f t="shared" si="15"/>
        <v>5.3379257835782414E-8</v>
      </c>
    </row>
    <row r="131" spans="1:9" x14ac:dyDescent="0.35">
      <c r="A131">
        <f t="shared" si="12"/>
        <v>61.970000000000027</v>
      </c>
      <c r="B131">
        <v>335.12</v>
      </c>
      <c r="C131">
        <v>132.54</v>
      </c>
      <c r="D131">
        <f t="shared" si="13"/>
        <v>-2.8833697635267517</v>
      </c>
      <c r="H131">
        <f t="shared" si="14"/>
        <v>-2.8836008030424969</v>
      </c>
      <c r="I131">
        <f t="shared" si="15"/>
        <v>5.3379257835782414E-8</v>
      </c>
    </row>
    <row r="132" spans="1:9" x14ac:dyDescent="0.35">
      <c r="A132">
        <f t="shared" si="12"/>
        <v>62.010000000000048</v>
      </c>
      <c r="B132">
        <v>335.16</v>
      </c>
      <c r="C132">
        <v>132.9</v>
      </c>
      <c r="D132">
        <f t="shared" si="13"/>
        <v>-2.882191748839098</v>
      </c>
      <c r="H132">
        <f t="shared" si="14"/>
        <v>-2.8825260149770289</v>
      </c>
      <c r="I132">
        <f t="shared" si="15"/>
        <v>1.1173385096721333E-7</v>
      </c>
    </row>
    <row r="133" spans="1:9" x14ac:dyDescent="0.35">
      <c r="A133">
        <f t="shared" si="12"/>
        <v>62.010000000000048</v>
      </c>
      <c r="B133">
        <v>335.16</v>
      </c>
      <c r="C133">
        <v>132.9</v>
      </c>
      <c r="D133">
        <f t="shared" si="13"/>
        <v>-2.882191748839098</v>
      </c>
      <c r="H133">
        <f t="shared" si="14"/>
        <v>-2.8825260149770289</v>
      </c>
      <c r="I133">
        <f t="shared" si="15"/>
        <v>1.1173385096721333E-7</v>
      </c>
    </row>
    <row r="134" spans="1:9" x14ac:dyDescent="0.35">
      <c r="A134">
        <f t="shared" si="12"/>
        <v>62.07000000000005</v>
      </c>
      <c r="B134">
        <v>335.22</v>
      </c>
      <c r="C134">
        <v>133.43</v>
      </c>
      <c r="D134">
        <f t="shared" si="13"/>
        <v>-2.8804632437570321</v>
      </c>
      <c r="H134">
        <f t="shared" si="14"/>
        <v>-2.8809144119067627</v>
      </c>
      <c r="I134">
        <f t="shared" si="15"/>
        <v>2.0355269933129977E-7</v>
      </c>
    </row>
    <row r="135" spans="1:9" x14ac:dyDescent="0.35">
      <c r="A135">
        <f t="shared" si="12"/>
        <v>68.490000000000009</v>
      </c>
      <c r="B135">
        <v>341.64</v>
      </c>
      <c r="C135">
        <v>196.51</v>
      </c>
      <c r="D135">
        <f t="shared" si="13"/>
        <v>-2.7123320741323935</v>
      </c>
      <c r="H135">
        <f t="shared" si="14"/>
        <v>-2.7123957366777747</v>
      </c>
      <c r="I135">
        <f t="shared" si="15"/>
        <v>4.052919684406858E-9</v>
      </c>
    </row>
    <row r="136" spans="1:9" x14ac:dyDescent="0.35">
      <c r="A136">
        <f t="shared" si="12"/>
        <v>68.53000000000003</v>
      </c>
      <c r="B136">
        <v>341.68</v>
      </c>
      <c r="C136">
        <v>196.95</v>
      </c>
      <c r="D136">
        <f t="shared" si="13"/>
        <v>-2.7113607446366697</v>
      </c>
      <c r="H136">
        <f t="shared" si="14"/>
        <v>-2.7113695844582546</v>
      </c>
      <c r="I136">
        <f t="shared" si="15"/>
        <v>7.8142445653738167E-11</v>
      </c>
    </row>
    <row r="137" spans="1:9" x14ac:dyDescent="0.35">
      <c r="A137">
        <f t="shared" si="12"/>
        <v>68.550000000000011</v>
      </c>
      <c r="B137">
        <v>341.7</v>
      </c>
      <c r="C137">
        <v>197.12</v>
      </c>
      <c r="D137">
        <f t="shared" si="13"/>
        <v>-2.7109860392974987</v>
      </c>
      <c r="H137">
        <f t="shared" si="14"/>
        <v>-2.710856616398992</v>
      </c>
      <c r="I137">
        <f t="shared" si="15"/>
        <v>1.675028665787651E-8</v>
      </c>
    </row>
    <row r="138" spans="1:9" x14ac:dyDescent="0.35">
      <c r="A138">
        <f t="shared" si="12"/>
        <v>73.520000000000039</v>
      </c>
      <c r="B138">
        <v>346.67</v>
      </c>
      <c r="C138">
        <v>263.05</v>
      </c>
      <c r="D138">
        <f t="shared" si="13"/>
        <v>-2.5856784236486523</v>
      </c>
      <c r="H138">
        <f t="shared" si="14"/>
        <v>-2.585578375916846</v>
      </c>
      <c r="I138">
        <f t="shared" si="15"/>
        <v>1.0009548639580179E-8</v>
      </c>
    </row>
    <row r="139" spans="1:9" x14ac:dyDescent="0.35">
      <c r="A139">
        <f t="shared" si="12"/>
        <v>73.54000000000002</v>
      </c>
      <c r="B139">
        <v>346.69</v>
      </c>
      <c r="C139">
        <v>263.38</v>
      </c>
      <c r="D139">
        <f t="shared" si="13"/>
        <v>-2.585133936450732</v>
      </c>
      <c r="H139">
        <f t="shared" si="14"/>
        <v>-2.5850829157951392</v>
      </c>
      <c r="I139">
        <f t="shared" si="15"/>
        <v>2.6031072971206435E-9</v>
      </c>
    </row>
    <row r="140" spans="1:9" x14ac:dyDescent="0.35">
      <c r="A140">
        <f t="shared" si="12"/>
        <v>73.54000000000002</v>
      </c>
      <c r="B140">
        <v>346.69</v>
      </c>
      <c r="C140">
        <v>263.38</v>
      </c>
      <c r="D140">
        <f t="shared" si="13"/>
        <v>-2.585133936450732</v>
      </c>
      <c r="H140">
        <f t="shared" si="14"/>
        <v>-2.5850829157951392</v>
      </c>
      <c r="I140">
        <f t="shared" si="15"/>
        <v>2.6031072971206435E-9</v>
      </c>
    </row>
    <row r="141" spans="1:9" x14ac:dyDescent="0.35">
      <c r="A141">
        <f t="shared" si="12"/>
        <v>73.56</v>
      </c>
      <c r="B141">
        <v>346.71</v>
      </c>
      <c r="C141">
        <v>263.83</v>
      </c>
      <c r="D141">
        <f t="shared" si="13"/>
        <v>-2.5843925523179685</v>
      </c>
      <c r="H141">
        <f t="shared" si="14"/>
        <v>-2.5845875240318374</v>
      </c>
      <c r="I141">
        <f t="shared" si="15"/>
        <v>3.8013969208996558E-8</v>
      </c>
    </row>
    <row r="142" spans="1:9" x14ac:dyDescent="0.35">
      <c r="A142">
        <f t="shared" si="12"/>
        <v>78.240000000000009</v>
      </c>
      <c r="B142">
        <v>351.39</v>
      </c>
      <c r="C142">
        <v>342.89</v>
      </c>
      <c r="D142">
        <f t="shared" si="13"/>
        <v>-2.4705619101907907</v>
      </c>
      <c r="H142">
        <f t="shared" si="14"/>
        <v>-2.470515252587461</v>
      </c>
      <c r="I142">
        <f t="shared" si="15"/>
        <v>2.176931948479147E-9</v>
      </c>
    </row>
    <row r="143" spans="1:9" x14ac:dyDescent="0.35">
      <c r="A143">
        <f t="shared" si="12"/>
        <v>78.28000000000003</v>
      </c>
      <c r="B143">
        <v>351.43</v>
      </c>
      <c r="C143">
        <v>343.36</v>
      </c>
      <c r="D143">
        <f t="shared" si="13"/>
        <v>-2.4699670294959732</v>
      </c>
      <c r="H143">
        <f t="shared" si="14"/>
        <v>-2.4695558946447926</v>
      </c>
      <c r="I143">
        <f t="shared" si="15"/>
        <v>1.6903186585529876E-7</v>
      </c>
    </row>
    <row r="144" spans="1:9" x14ac:dyDescent="0.35">
      <c r="A144">
        <f t="shared" si="12"/>
        <v>78.300000000000011</v>
      </c>
      <c r="B144">
        <v>351.45</v>
      </c>
      <c r="C144">
        <v>344.11</v>
      </c>
      <c r="D144">
        <f t="shared" si="13"/>
        <v>-2.4690194361736451</v>
      </c>
      <c r="H144">
        <f t="shared" si="14"/>
        <v>-2.4690763133481655</v>
      </c>
      <c r="I144">
        <f t="shared" si="15"/>
        <v>3.2350129814250465E-9</v>
      </c>
    </row>
    <row r="145" spans="1:9" x14ac:dyDescent="0.35">
      <c r="A145">
        <f t="shared" si="12"/>
        <v>83.330000000000041</v>
      </c>
      <c r="B145">
        <v>356.48</v>
      </c>
      <c r="C145">
        <v>451.81</v>
      </c>
      <c r="D145">
        <f t="shared" si="13"/>
        <v>-2.3507608907655313</v>
      </c>
      <c r="H145">
        <f t="shared" si="14"/>
        <v>-2.3504940711447615</v>
      </c>
      <c r="I145">
        <f t="shared" si="15"/>
        <v>7.1192710027738901E-8</v>
      </c>
    </row>
    <row r="146" spans="1:9" x14ac:dyDescent="0.35">
      <c r="A146">
        <f t="shared" si="12"/>
        <v>83.400000000000034</v>
      </c>
      <c r="B146">
        <v>356.55</v>
      </c>
      <c r="C146">
        <v>453.78</v>
      </c>
      <c r="D146">
        <f t="shared" si="13"/>
        <v>-2.3488713790020781</v>
      </c>
      <c r="H146">
        <f t="shared" si="14"/>
        <v>-2.3488718980500476</v>
      </c>
      <c r="I146">
        <f t="shared" si="15"/>
        <v>2.6941079463570815E-13</v>
      </c>
    </row>
    <row r="147" spans="1:9" x14ac:dyDescent="0.35">
      <c r="A147">
        <f t="shared" si="12"/>
        <v>83.43</v>
      </c>
      <c r="B147">
        <v>356.58</v>
      </c>
      <c r="C147">
        <v>454.74</v>
      </c>
      <c r="D147">
        <f t="shared" si="13"/>
        <v>-2.3479535723323357</v>
      </c>
      <c r="H147">
        <f t="shared" si="14"/>
        <v>-2.3481769129115211</v>
      </c>
      <c r="I147">
        <f t="shared" si="15"/>
        <v>4.988101431086217E-8</v>
      </c>
    </row>
    <row r="148" spans="1:9" x14ac:dyDescent="0.35">
      <c r="A148">
        <f t="shared" si="12"/>
        <v>88.150000000000034</v>
      </c>
      <c r="B148">
        <v>361.3</v>
      </c>
      <c r="C148">
        <v>582.38</v>
      </c>
      <c r="D148">
        <f t="shared" si="13"/>
        <v>-2.2405102776917896</v>
      </c>
      <c r="H148">
        <f t="shared" si="14"/>
        <v>-2.2405382333587687</v>
      </c>
      <c r="I148">
        <f t="shared" si="15"/>
        <v>7.8151931624673391E-10</v>
      </c>
    </row>
    <row r="149" spans="1:9" x14ac:dyDescent="0.35">
      <c r="A149">
        <f t="shared" si="12"/>
        <v>88.210000000000036</v>
      </c>
      <c r="B149">
        <v>361.36</v>
      </c>
      <c r="C149">
        <v>584.44000000000005</v>
      </c>
      <c r="D149">
        <f t="shared" si="13"/>
        <v>-2.2389767976996078</v>
      </c>
      <c r="H149">
        <f t="shared" si="14"/>
        <v>-2.2391914193939284</v>
      </c>
      <c r="I149">
        <f t="shared" si="15"/>
        <v>4.6062471673056629E-8</v>
      </c>
    </row>
    <row r="150" spans="1:9" x14ac:dyDescent="0.35">
      <c r="A150">
        <f t="shared" si="12"/>
        <v>88.260000000000048</v>
      </c>
      <c r="B150">
        <v>361.41</v>
      </c>
      <c r="C150">
        <v>585.76</v>
      </c>
      <c r="D150">
        <f t="shared" si="13"/>
        <v>-2.2379970182443745</v>
      </c>
      <c r="H150">
        <f t="shared" si="14"/>
        <v>-2.2380694797095693</v>
      </c>
      <c r="I150">
        <f t="shared" si="15"/>
        <v>5.2506639381765216E-9</v>
      </c>
    </row>
    <row r="151" spans="1:9" x14ac:dyDescent="0.35">
      <c r="A151">
        <f t="shared" si="12"/>
        <v>93.170000000000016</v>
      </c>
      <c r="B151">
        <v>366.32</v>
      </c>
      <c r="C151">
        <v>751.37</v>
      </c>
      <c r="D151">
        <f t="shared" si="13"/>
        <v>-2.1298628788129887</v>
      </c>
      <c r="H151">
        <f t="shared" si="14"/>
        <v>-2.1296604763289819</v>
      </c>
      <c r="I151">
        <f t="shared" si="15"/>
        <v>4.0966765532133064E-8</v>
      </c>
    </row>
    <row r="152" spans="1:9" x14ac:dyDescent="0.35">
      <c r="A152">
        <f t="shared" si="12"/>
        <v>93.170000000000016</v>
      </c>
      <c r="B152">
        <v>366.32</v>
      </c>
      <c r="C152">
        <v>752.12</v>
      </c>
      <c r="D152">
        <f t="shared" si="13"/>
        <v>-2.1294295924080977</v>
      </c>
      <c r="H152">
        <f t="shared" si="14"/>
        <v>-2.1296604763289819</v>
      </c>
      <c r="I152">
        <f t="shared" si="15"/>
        <v>5.33073849228695E-8</v>
      </c>
    </row>
    <row r="153" spans="1:9" x14ac:dyDescent="0.35">
      <c r="A153">
        <f t="shared" si="12"/>
        <v>93.200000000000045</v>
      </c>
      <c r="B153">
        <v>366.35</v>
      </c>
      <c r="C153">
        <v>752.46</v>
      </c>
      <c r="D153">
        <f t="shared" si="13"/>
        <v>-2.129233311550502</v>
      </c>
      <c r="H153">
        <f t="shared" si="14"/>
        <v>-2.129008669855919</v>
      </c>
      <c r="I153">
        <f t="shared" si="15"/>
        <v>5.0463890945134264E-8</v>
      </c>
    </row>
    <row r="154" spans="1:9" x14ac:dyDescent="0.35">
      <c r="H154" t="s">
        <v>21</v>
      </c>
      <c r="I154">
        <f>SUM(I115:I153)</f>
        <v>1.7233066344184631E-6</v>
      </c>
    </row>
    <row r="155" spans="1:9" x14ac:dyDescent="0.35">
      <c r="H155" t="s">
        <v>666</v>
      </c>
      <c r="I155">
        <f>SQRT(SUM(I115:I153)/(COUNT(I115:I153)-1))</f>
        <v>2.1295580431150392E-4</v>
      </c>
    </row>
    <row r="156" spans="1:9" x14ac:dyDescent="0.35">
      <c r="A156" t="s">
        <v>619</v>
      </c>
      <c r="B156" t="s">
        <v>49</v>
      </c>
      <c r="C156">
        <v>208.4</v>
      </c>
    </row>
    <row r="157" spans="1:9" x14ac:dyDescent="0.35">
      <c r="A157" t="s">
        <v>33</v>
      </c>
      <c r="B157" t="s">
        <v>30</v>
      </c>
      <c r="C157" t="s">
        <v>36</v>
      </c>
      <c r="D157" t="s">
        <v>20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</row>
    <row r="158" spans="1:9" x14ac:dyDescent="0.35">
      <c r="A158">
        <f>B158-273.15</f>
        <v>19.920000000000016</v>
      </c>
      <c r="B158">
        <v>293.07</v>
      </c>
      <c r="C158">
        <v>0.16700000000000001</v>
      </c>
      <c r="D158">
        <f>LOG10(C158*0.00000986923)</f>
        <v>-5.7830002586342468</v>
      </c>
      <c r="E158">
        <v>15.500533521462474</v>
      </c>
      <c r="F158">
        <v>9542.8541975709231</v>
      </c>
      <c r="G158">
        <v>154.88785292682871</v>
      </c>
      <c r="H158">
        <f>$E$158-($F$158/(B158+$G$158))</f>
        <v>-5.8024844638694919</v>
      </c>
      <c r="I158">
        <f>(H158-D158)^2</f>
        <v>3.7963425364915171E-4</v>
      </c>
    </row>
    <row r="159" spans="1:9" x14ac:dyDescent="0.35">
      <c r="A159">
        <f t="shared" ref="A159:A175" si="16">B159-273.15</f>
        <v>19.930000000000007</v>
      </c>
      <c r="B159">
        <v>293.08</v>
      </c>
      <c r="C159">
        <v>0.16900000000000001</v>
      </c>
      <c r="D159">
        <f t="shared" ref="D159:D175" si="17">LOG10(C159*0.00000986923)</f>
        <v>-5.7778300251681562</v>
      </c>
      <c r="H159">
        <f t="shared" ref="H159:H175" si="18">$E$158-($F$158/(B159+$G$158))</f>
        <v>-5.8020089159513493</v>
      </c>
      <c r="I159">
        <f t="shared" ref="I159:I175" si="19">(H159-D159)^2</f>
        <v>5.8461875950557634E-4</v>
      </c>
    </row>
    <row r="160" spans="1:9" x14ac:dyDescent="0.35">
      <c r="A160">
        <f t="shared" si="16"/>
        <v>19.930000000000007</v>
      </c>
      <c r="B160">
        <v>293.08</v>
      </c>
      <c r="C160">
        <v>0.157</v>
      </c>
      <c r="D160">
        <f t="shared" si="17"/>
        <v>-5.8098170773725961</v>
      </c>
      <c r="H160">
        <f t="shared" si="18"/>
        <v>-5.8020089159513493</v>
      </c>
      <c r="I160">
        <f t="shared" si="19"/>
        <v>6.0967384780247643E-5</v>
      </c>
    </row>
    <row r="161" spans="1:9" x14ac:dyDescent="0.35">
      <c r="A161">
        <f t="shared" si="16"/>
        <v>24.830000000000041</v>
      </c>
      <c r="B161">
        <v>297.98</v>
      </c>
      <c r="C161">
        <v>0.26800000000000002</v>
      </c>
      <c r="D161">
        <f t="shared" si="17"/>
        <v>-5.5775819357530416</v>
      </c>
      <c r="H161">
        <f t="shared" si="18"/>
        <v>-5.5715168258886134</v>
      </c>
      <c r="I161">
        <f t="shared" si="19"/>
        <v>3.6785557667584367E-5</v>
      </c>
    </row>
    <row r="162" spans="1:9" x14ac:dyDescent="0.35">
      <c r="A162">
        <f t="shared" si="16"/>
        <v>24.830000000000041</v>
      </c>
      <c r="B162">
        <v>297.98</v>
      </c>
      <c r="C162">
        <v>0.26500000000000001</v>
      </c>
      <c r="D162">
        <f t="shared" si="17"/>
        <v>-5.5824708558450222</v>
      </c>
      <c r="H162">
        <f t="shared" si="18"/>
        <v>-5.5715168258886134</v>
      </c>
      <c r="I162">
        <f t="shared" si="19"/>
        <v>1.1999077228590175E-4</v>
      </c>
    </row>
    <row r="163" spans="1:9" x14ac:dyDescent="0.35">
      <c r="A163">
        <f t="shared" si="16"/>
        <v>24.830000000000041</v>
      </c>
      <c r="B163">
        <v>297.98</v>
      </c>
      <c r="C163">
        <v>0.26500000000000001</v>
      </c>
      <c r="D163">
        <f t="shared" si="17"/>
        <v>-5.5824708558450222</v>
      </c>
      <c r="H163">
        <f t="shared" si="18"/>
        <v>-5.5715168258886134</v>
      </c>
      <c r="I163">
        <f t="shared" si="19"/>
        <v>1.1999077228590175E-4</v>
      </c>
    </row>
    <row r="164" spans="1:9" x14ac:dyDescent="0.35">
      <c r="A164">
        <f t="shared" si="16"/>
        <v>29.650000000000034</v>
      </c>
      <c r="B164">
        <v>302.8</v>
      </c>
      <c r="C164">
        <v>0.44400000000000001</v>
      </c>
      <c r="D164">
        <f t="shared" si="17"/>
        <v>-5.35833375966721</v>
      </c>
      <c r="H164">
        <f t="shared" si="18"/>
        <v>-5.3496029559339551</v>
      </c>
      <c r="I164">
        <f t="shared" si="19"/>
        <v>7.6226933828618855E-5</v>
      </c>
    </row>
    <row r="165" spans="1:9" x14ac:dyDescent="0.35">
      <c r="A165">
        <f t="shared" si="16"/>
        <v>29.650000000000034</v>
      </c>
      <c r="B165">
        <v>302.8</v>
      </c>
      <c r="C165">
        <v>0.44700000000000001</v>
      </c>
      <c r="D165">
        <f t="shared" si="17"/>
        <v>-5.3554092066498935</v>
      </c>
      <c r="H165">
        <f t="shared" si="18"/>
        <v>-5.3496029559339551</v>
      </c>
      <c r="I165">
        <f t="shared" si="19"/>
        <v>3.3712547376335561E-5</v>
      </c>
    </row>
    <row r="166" spans="1:9" x14ac:dyDescent="0.35">
      <c r="A166">
        <f t="shared" si="16"/>
        <v>29.660000000000025</v>
      </c>
      <c r="B166">
        <v>302.81</v>
      </c>
      <c r="C166">
        <v>0.45</v>
      </c>
      <c r="D166">
        <f t="shared" si="17"/>
        <v>-5.3525042160064862</v>
      </c>
      <c r="H166">
        <f t="shared" si="18"/>
        <v>-5.34914741225281</v>
      </c>
      <c r="I166">
        <f t="shared" si="19"/>
        <v>1.1268131440694601E-5</v>
      </c>
    </row>
    <row r="167" spans="1:9" x14ac:dyDescent="0.35">
      <c r="A167">
        <f t="shared" si="16"/>
        <v>34.520000000000039</v>
      </c>
      <c r="B167">
        <v>307.67</v>
      </c>
      <c r="C167">
        <v>0.751</v>
      </c>
      <c r="D167">
        <f t="shared" si="17"/>
        <v>-5.130076792777662</v>
      </c>
      <c r="H167">
        <f t="shared" si="18"/>
        <v>-5.1300841130423525</v>
      </c>
      <c r="I167">
        <f t="shared" si="19"/>
        <v>5.3586275137715834E-11</v>
      </c>
    </row>
    <row r="168" spans="1:9" x14ac:dyDescent="0.35">
      <c r="A168">
        <f t="shared" si="16"/>
        <v>34.520000000000039</v>
      </c>
      <c r="B168">
        <v>307.67</v>
      </c>
      <c r="C168">
        <v>0.74099999999999999</v>
      </c>
      <c r="D168">
        <f t="shared" si="17"/>
        <v>-5.1358985218025017</v>
      </c>
      <c r="H168">
        <f t="shared" si="18"/>
        <v>-5.1300841130423525</v>
      </c>
      <c r="I168">
        <f t="shared" si="19"/>
        <v>3.3807349230100571E-5</v>
      </c>
    </row>
    <row r="169" spans="1:9" x14ac:dyDescent="0.35">
      <c r="A169">
        <f t="shared" si="16"/>
        <v>34.520000000000039</v>
      </c>
      <c r="B169">
        <v>307.67</v>
      </c>
      <c r="C169">
        <v>0.74199999999999999</v>
      </c>
      <c r="D169">
        <f t="shared" si="17"/>
        <v>-5.1353128245028028</v>
      </c>
      <c r="H169">
        <f t="shared" si="18"/>
        <v>-5.1300841130423525</v>
      </c>
      <c r="I169">
        <f t="shared" si="19"/>
        <v>2.7339423536644745E-5</v>
      </c>
    </row>
    <row r="170" spans="1:9" x14ac:dyDescent="0.35">
      <c r="A170">
        <f t="shared" si="16"/>
        <v>39.480000000000018</v>
      </c>
      <c r="B170">
        <v>312.63</v>
      </c>
      <c r="C170">
        <v>1.2330000000000001</v>
      </c>
      <c r="D170">
        <f t="shared" si="17"/>
        <v>-4.9147536531860982</v>
      </c>
      <c r="H170">
        <f t="shared" si="18"/>
        <v>-4.9112093410383881</v>
      </c>
      <c r="I170">
        <f t="shared" si="19"/>
        <v>1.2562148600405494E-5</v>
      </c>
    </row>
    <row r="171" spans="1:9" x14ac:dyDescent="0.35">
      <c r="A171">
        <f t="shared" si="16"/>
        <v>39.490000000000009</v>
      </c>
      <c r="B171">
        <v>312.64</v>
      </c>
      <c r="C171">
        <v>1.2450000000000001</v>
      </c>
      <c r="D171">
        <f t="shared" si="17"/>
        <v>-4.910547378350075</v>
      </c>
      <c r="H171">
        <f t="shared" si="18"/>
        <v>-4.910772752229084</v>
      </c>
      <c r="I171">
        <f t="shared" si="19"/>
        <v>5.0793385339565805E-8</v>
      </c>
    </row>
    <row r="172" spans="1:9" x14ac:dyDescent="0.35">
      <c r="A172">
        <f t="shared" si="16"/>
        <v>39.490000000000009</v>
      </c>
      <c r="B172">
        <v>312.64</v>
      </c>
      <c r="C172">
        <v>1.248</v>
      </c>
      <c r="D172">
        <f t="shared" si="17"/>
        <v>-4.9095021444354252</v>
      </c>
      <c r="H172">
        <f t="shared" si="18"/>
        <v>-4.910772752229084</v>
      </c>
      <c r="I172">
        <f t="shared" si="19"/>
        <v>1.6144441653065854E-6</v>
      </c>
    </row>
    <row r="173" spans="1:9" x14ac:dyDescent="0.35">
      <c r="A173">
        <f t="shared" si="16"/>
        <v>43.129999999999995</v>
      </c>
      <c r="B173">
        <v>316.27999999999997</v>
      </c>
      <c r="C173">
        <v>1.8199999999999998</v>
      </c>
      <c r="D173">
        <f t="shared" si="17"/>
        <v>-4.745645341796755</v>
      </c>
      <c r="H173">
        <f t="shared" si="18"/>
        <v>-4.7530855195906252</v>
      </c>
      <c r="I173">
        <f t="shared" si="19"/>
        <v>5.5356245604398998E-5</v>
      </c>
    </row>
    <row r="174" spans="1:9" x14ac:dyDescent="0.35">
      <c r="A174">
        <f t="shared" si="16"/>
        <v>43.129999999999995</v>
      </c>
      <c r="B174">
        <v>316.27999999999997</v>
      </c>
      <c r="C174">
        <v>1.8180000000000001</v>
      </c>
      <c r="D174">
        <f t="shared" si="17"/>
        <v>-4.7461228508958815</v>
      </c>
      <c r="H174">
        <f t="shared" si="18"/>
        <v>-4.7530855195906252</v>
      </c>
      <c r="I174">
        <f t="shared" si="19"/>
        <v>4.8478755352764107E-5</v>
      </c>
    </row>
    <row r="175" spans="1:9" x14ac:dyDescent="0.35">
      <c r="A175">
        <f t="shared" si="16"/>
        <v>43.140000000000043</v>
      </c>
      <c r="B175">
        <v>316.29000000000002</v>
      </c>
      <c r="C175">
        <v>1.827</v>
      </c>
      <c r="D175">
        <f t="shared" si="17"/>
        <v>-4.7439781824292924</v>
      </c>
      <c r="H175">
        <f t="shared" si="18"/>
        <v>-4.7526556687622072</v>
      </c>
      <c r="I175">
        <f t="shared" si="19"/>
        <v>7.5298769057924436E-5</v>
      </c>
    </row>
    <row r="176" spans="1:9" x14ac:dyDescent="0.35">
      <c r="H176" t="s">
        <v>21</v>
      </c>
      <c r="I176">
        <f>SUM(I158:I175)</f>
        <v>1.6777030953391721E-3</v>
      </c>
    </row>
    <row r="177" spans="1:9" x14ac:dyDescent="0.35">
      <c r="H177" t="s">
        <v>666</v>
      </c>
      <c r="I177">
        <f>SQRT(SUM(I158:I175)/(COUNT(I158:I175)-1))</f>
        <v>9.9342044156989478E-3</v>
      </c>
    </row>
    <row r="179" spans="1:9" x14ac:dyDescent="0.35">
      <c r="A179" t="s">
        <v>620</v>
      </c>
      <c r="B179" t="s">
        <v>49</v>
      </c>
      <c r="C179">
        <v>208.4</v>
      </c>
    </row>
    <row r="180" spans="1:9" x14ac:dyDescent="0.35">
      <c r="A180" t="s">
        <v>33</v>
      </c>
      <c r="B180" t="s">
        <v>30</v>
      </c>
      <c r="C180" t="s">
        <v>36</v>
      </c>
      <c r="D180" t="s">
        <v>20</v>
      </c>
      <c r="E180" t="s">
        <v>3</v>
      </c>
      <c r="F180" t="s">
        <v>4</v>
      </c>
      <c r="G180" t="s">
        <v>5</v>
      </c>
      <c r="H180" t="s">
        <v>6</v>
      </c>
      <c r="I180" t="s">
        <v>7</v>
      </c>
    </row>
    <row r="181" spans="1:9" x14ac:dyDescent="0.35">
      <c r="A181">
        <f>B181-273.15</f>
        <v>43.200000000000045</v>
      </c>
      <c r="B181">
        <v>316.35000000000002</v>
      </c>
      <c r="C181">
        <v>1.829</v>
      </c>
      <c r="D181">
        <f>LOG10(C181*0.00000986923)</f>
        <v>-4.7435030243054133</v>
      </c>
      <c r="E181">
        <v>8.9796487257117565</v>
      </c>
      <c r="F181">
        <v>4221.4755039989723</v>
      </c>
      <c r="G181">
        <v>-8.7554198162799253</v>
      </c>
      <c r="H181">
        <f>$E$181-($F$181/(B181+$G$181))</f>
        <v>-4.7445056513828252</v>
      </c>
      <c r="I181">
        <f>(H181-D181)^2</f>
        <v>1.0052610563596162E-6</v>
      </c>
    </row>
    <row r="182" spans="1:9" x14ac:dyDescent="0.35">
      <c r="A182">
        <f t="shared" ref="A182:A219" si="20">B182-273.15</f>
        <v>43.200000000000045</v>
      </c>
      <c r="B182">
        <v>316.35000000000002</v>
      </c>
      <c r="C182">
        <v>1.829</v>
      </c>
      <c r="D182">
        <f t="shared" ref="D182:D219" si="21">LOG10(C182*0.00000986923)</f>
        <v>-4.7435030243054133</v>
      </c>
      <c r="H182">
        <f t="shared" ref="H182:H219" si="22">$E$181-($F$181/(B182+$G$181))</f>
        <v>-4.7445056513828252</v>
      </c>
      <c r="I182">
        <f t="shared" ref="I182:I219" si="23">(H182-D182)^2</f>
        <v>1.0052610563596162E-6</v>
      </c>
    </row>
    <row r="183" spans="1:9" x14ac:dyDescent="0.35">
      <c r="A183">
        <f t="shared" si="20"/>
        <v>43.210000000000036</v>
      </c>
      <c r="B183">
        <v>316.36</v>
      </c>
      <c r="C183">
        <v>1.837</v>
      </c>
      <c r="D183">
        <f t="shared" si="21"/>
        <v>-4.7416075734760224</v>
      </c>
      <c r="H183">
        <f t="shared" si="22"/>
        <v>-4.7440594891582926</v>
      </c>
      <c r="I183">
        <f t="shared" si="23"/>
        <v>6.0118905129625965E-6</v>
      </c>
    </row>
    <row r="184" spans="1:9" x14ac:dyDescent="0.35">
      <c r="A184">
        <f t="shared" si="20"/>
        <v>47.430000000000007</v>
      </c>
      <c r="B184">
        <v>320.58</v>
      </c>
      <c r="C184">
        <v>2.7960000000000003</v>
      </c>
      <c r="D184">
        <f t="shared" si="21"/>
        <v>-4.5591795627081861</v>
      </c>
      <c r="H184">
        <f t="shared" si="22"/>
        <v>-4.55833311494934</v>
      </c>
      <c r="I184">
        <f t="shared" si="23"/>
        <v>7.1647380845562782E-7</v>
      </c>
    </row>
    <row r="185" spans="1:9" x14ac:dyDescent="0.35">
      <c r="A185">
        <f t="shared" si="20"/>
        <v>47.430000000000007</v>
      </c>
      <c r="B185">
        <v>320.58</v>
      </c>
      <c r="C185">
        <v>2.802</v>
      </c>
      <c r="D185">
        <f t="shared" si="21"/>
        <v>-4.5582485988320744</v>
      </c>
      <c r="H185">
        <f t="shared" si="22"/>
        <v>-4.55833311494934</v>
      </c>
      <c r="I185">
        <f t="shared" si="23"/>
        <v>7.1429740776467466E-9</v>
      </c>
    </row>
    <row r="186" spans="1:9" x14ac:dyDescent="0.35">
      <c r="A186">
        <f t="shared" si="20"/>
        <v>47.44</v>
      </c>
      <c r="B186">
        <v>320.58999999999997</v>
      </c>
      <c r="C186">
        <v>2.794</v>
      </c>
      <c r="D186">
        <f t="shared" si="21"/>
        <v>-4.5594903280036672</v>
      </c>
      <c r="H186">
        <f t="shared" si="22"/>
        <v>-4.557898975097606</v>
      </c>
      <c r="I186">
        <f t="shared" si="23"/>
        <v>2.532404071629302E-6</v>
      </c>
    </row>
    <row r="187" spans="1:9" x14ac:dyDescent="0.35">
      <c r="A187">
        <f t="shared" si="20"/>
        <v>52.200000000000045</v>
      </c>
      <c r="B187">
        <v>325.35000000000002</v>
      </c>
      <c r="C187">
        <v>4.47</v>
      </c>
      <c r="D187">
        <f t="shared" si="21"/>
        <v>-4.3554092066498935</v>
      </c>
      <c r="H187">
        <f t="shared" si="22"/>
        <v>-4.3543619245945333</v>
      </c>
      <c r="I187">
        <f t="shared" si="23"/>
        <v>1.0967997034794832E-6</v>
      </c>
    </row>
    <row r="188" spans="1:9" x14ac:dyDescent="0.35">
      <c r="A188">
        <f t="shared" si="20"/>
        <v>52.200000000000045</v>
      </c>
      <c r="B188">
        <v>325.35000000000002</v>
      </c>
      <c r="C188">
        <v>4.4749999999999996</v>
      </c>
      <c r="D188">
        <f t="shared" si="21"/>
        <v>-4.3549236901298993</v>
      </c>
      <c r="H188">
        <f t="shared" si="22"/>
        <v>-4.3543619245945333</v>
      </c>
      <c r="I188">
        <f t="shared" si="23"/>
        <v>3.1558051672507237E-7</v>
      </c>
    </row>
    <row r="189" spans="1:9" x14ac:dyDescent="0.35">
      <c r="A189">
        <f t="shared" si="20"/>
        <v>52.220000000000027</v>
      </c>
      <c r="B189">
        <v>325.37</v>
      </c>
      <c r="C189">
        <v>4.4790000000000001</v>
      </c>
      <c r="D189">
        <f t="shared" si="21"/>
        <v>-4.3545356673371423</v>
      </c>
      <c r="H189">
        <f t="shared" si="22"/>
        <v>-4.3535196380111056</v>
      </c>
      <c r="I189">
        <f t="shared" si="23"/>
        <v>1.0323155913664201E-6</v>
      </c>
    </row>
    <row r="190" spans="1:9" x14ac:dyDescent="0.35">
      <c r="A190">
        <f t="shared" si="20"/>
        <v>56.31</v>
      </c>
      <c r="B190">
        <v>329.46</v>
      </c>
      <c r="C190">
        <v>6.6029999999999998</v>
      </c>
      <c r="D190">
        <f t="shared" si="21"/>
        <v>-4.1859754325088199</v>
      </c>
      <c r="H190">
        <f t="shared" si="22"/>
        <v>-4.1834794765129875</v>
      </c>
      <c r="I190">
        <f t="shared" si="23"/>
        <v>6.2297963331317613E-6</v>
      </c>
    </row>
    <row r="191" spans="1:9" x14ac:dyDescent="0.35">
      <c r="A191">
        <f t="shared" si="20"/>
        <v>56.31</v>
      </c>
      <c r="B191">
        <v>329.46</v>
      </c>
      <c r="C191">
        <v>6.6120000000000001</v>
      </c>
      <c r="D191">
        <f t="shared" si="21"/>
        <v>-4.1853838848824205</v>
      </c>
      <c r="H191">
        <f t="shared" si="22"/>
        <v>-4.1834794765129875</v>
      </c>
      <c r="I191">
        <f t="shared" si="23"/>
        <v>3.6267712375667009E-6</v>
      </c>
    </row>
    <row r="192" spans="1:9" x14ac:dyDescent="0.35">
      <c r="A192">
        <f t="shared" si="20"/>
        <v>56.650000000000034</v>
      </c>
      <c r="B192">
        <v>329.8</v>
      </c>
      <c r="C192">
        <v>6.8410000000000002</v>
      </c>
      <c r="D192">
        <f t="shared" si="21"/>
        <v>-4.1705971393572803</v>
      </c>
      <c r="H192">
        <f t="shared" si="22"/>
        <v>-4.1695391583609229</v>
      </c>
      <c r="I192">
        <f t="shared" si="23"/>
        <v>1.1193237886532781E-6</v>
      </c>
    </row>
    <row r="193" spans="1:9" x14ac:dyDescent="0.35">
      <c r="A193">
        <f t="shared" si="20"/>
        <v>60.870000000000005</v>
      </c>
      <c r="B193">
        <v>334.02</v>
      </c>
      <c r="C193">
        <v>10.17</v>
      </c>
      <c r="D193">
        <f t="shared" si="21"/>
        <v>-3.9983957768590854</v>
      </c>
      <c r="H193">
        <f t="shared" si="22"/>
        <v>-3.9989408938974407</v>
      </c>
      <c r="I193">
        <f t="shared" si="23"/>
        <v>2.9715258550519612E-7</v>
      </c>
    </row>
    <row r="194" spans="1:9" x14ac:dyDescent="0.35">
      <c r="A194">
        <f t="shared" si="20"/>
        <v>60.879999999999995</v>
      </c>
      <c r="B194">
        <v>334.03</v>
      </c>
      <c r="C194">
        <v>10.18</v>
      </c>
      <c r="D194">
        <f t="shared" si="21"/>
        <v>-3.9979689517810901</v>
      </c>
      <c r="H194">
        <f t="shared" si="22"/>
        <v>-3.9985418897818317</v>
      </c>
      <c r="I194">
        <f t="shared" si="23"/>
        <v>3.2825795269371377E-7</v>
      </c>
    </row>
    <row r="195" spans="1:9" x14ac:dyDescent="0.35">
      <c r="A195">
        <f t="shared" si="20"/>
        <v>60.990000000000009</v>
      </c>
      <c r="B195">
        <v>334.14</v>
      </c>
      <c r="C195">
        <v>10.33</v>
      </c>
      <c r="D195">
        <f t="shared" si="21"/>
        <v>-3.9916164082622094</v>
      </c>
      <c r="H195">
        <f t="shared" si="22"/>
        <v>-3.9941544631653088</v>
      </c>
      <c r="I195">
        <f t="shared" si="23"/>
        <v>6.4417226911465459E-6</v>
      </c>
    </row>
    <row r="196" spans="1:9" x14ac:dyDescent="0.35">
      <c r="A196">
        <f t="shared" si="20"/>
        <v>67.960000000000036</v>
      </c>
      <c r="B196">
        <v>341.11</v>
      </c>
      <c r="C196">
        <v>19.29</v>
      </c>
      <c r="D196">
        <f t="shared" si="21"/>
        <v>-3.7203845021379456</v>
      </c>
      <c r="H196">
        <f t="shared" si="22"/>
        <v>-3.7220733377104196</v>
      </c>
      <c r="I196">
        <f t="shared" si="23"/>
        <v>2.8521655908536249E-6</v>
      </c>
    </row>
    <row r="197" spans="1:9" x14ac:dyDescent="0.35">
      <c r="A197">
        <f t="shared" si="20"/>
        <v>68.020000000000039</v>
      </c>
      <c r="B197">
        <v>341.17</v>
      </c>
      <c r="C197">
        <v>19.34</v>
      </c>
      <c r="D197">
        <f t="shared" si="21"/>
        <v>-3.7192602600348472</v>
      </c>
      <c r="H197">
        <f t="shared" si="22"/>
        <v>-3.7197807086585168</v>
      </c>
      <c r="I197">
        <f t="shared" si="23"/>
        <v>2.7086676987960451E-7</v>
      </c>
    </row>
    <row r="198" spans="1:9" x14ac:dyDescent="0.35">
      <c r="A198">
        <f t="shared" si="20"/>
        <v>68.050000000000011</v>
      </c>
      <c r="B198">
        <v>341.2</v>
      </c>
      <c r="C198">
        <v>19.440000000000001</v>
      </c>
      <c r="D198">
        <f t="shared" si="21"/>
        <v>-3.7170204691915743</v>
      </c>
      <c r="H198">
        <f t="shared" si="22"/>
        <v>-3.7186347044649146</v>
      </c>
      <c r="I198">
        <f t="shared" si="23"/>
        <v>2.6057555176962581E-6</v>
      </c>
    </row>
    <row r="199" spans="1:9" x14ac:dyDescent="0.35">
      <c r="A199">
        <f t="shared" si="20"/>
        <v>73.800000000000011</v>
      </c>
      <c r="B199">
        <v>346.95</v>
      </c>
      <c r="C199">
        <v>31.88</v>
      </c>
      <c r="D199">
        <f t="shared" si="21"/>
        <v>-3.5021984170577554</v>
      </c>
      <c r="H199">
        <f t="shared" si="22"/>
        <v>-3.502737898301282</v>
      </c>
      <c r="I199">
        <f t="shared" si="23"/>
        <v>2.9104001211706237E-7</v>
      </c>
    </row>
    <row r="200" spans="1:9" x14ac:dyDescent="0.35">
      <c r="A200">
        <f t="shared" si="20"/>
        <v>73.830000000000041</v>
      </c>
      <c r="B200">
        <v>346.98</v>
      </c>
      <c r="C200">
        <v>31.85</v>
      </c>
      <c r="D200">
        <f t="shared" si="21"/>
        <v>-3.502607293110461</v>
      </c>
      <c r="H200">
        <f t="shared" si="22"/>
        <v>-3.5016307298083316</v>
      </c>
      <c r="I200">
        <f t="shared" si="23"/>
        <v>9.5367588306602214E-7</v>
      </c>
    </row>
    <row r="201" spans="1:9" x14ac:dyDescent="0.35">
      <c r="A201">
        <f t="shared" si="20"/>
        <v>73.88</v>
      </c>
      <c r="B201">
        <v>347.03</v>
      </c>
      <c r="C201">
        <v>31.97</v>
      </c>
      <c r="D201">
        <f t="shared" si="21"/>
        <v>-3.5009740935101421</v>
      </c>
      <c r="H201">
        <f t="shared" si="22"/>
        <v>-3.4997858853850925</v>
      </c>
      <c r="I201">
        <f t="shared" si="23"/>
        <v>1.4118385484338995E-6</v>
      </c>
    </row>
    <row r="202" spans="1:9" x14ac:dyDescent="0.35">
      <c r="A202">
        <f t="shared" si="20"/>
        <v>78.650000000000034</v>
      </c>
      <c r="B202">
        <v>351.8</v>
      </c>
      <c r="C202">
        <v>47.81</v>
      </c>
      <c r="D202">
        <f t="shared" si="21"/>
        <v>-3.3261979860860409</v>
      </c>
      <c r="H202">
        <f t="shared" si="22"/>
        <v>-3.3262606162697708</v>
      </c>
      <c r="I202">
        <f t="shared" si="23"/>
        <v>3.9225399140376003E-9</v>
      </c>
    </row>
    <row r="203" spans="1:9" x14ac:dyDescent="0.35">
      <c r="A203">
        <f t="shared" si="20"/>
        <v>78.650000000000034</v>
      </c>
      <c r="B203">
        <v>351.8</v>
      </c>
      <c r="C203">
        <v>47.7</v>
      </c>
      <c r="D203">
        <f t="shared" si="21"/>
        <v>-3.3271983507417162</v>
      </c>
      <c r="H203">
        <f t="shared" si="22"/>
        <v>-3.3262606162697708</v>
      </c>
      <c r="I203">
        <f t="shared" si="23"/>
        <v>8.7934593987481296E-7</v>
      </c>
    </row>
    <row r="204" spans="1:9" x14ac:dyDescent="0.35">
      <c r="A204">
        <f t="shared" si="20"/>
        <v>78.660000000000025</v>
      </c>
      <c r="B204">
        <v>351.81</v>
      </c>
      <c r="C204">
        <v>47.72</v>
      </c>
      <c r="D204">
        <f t="shared" si="21"/>
        <v>-3.327016294783526</v>
      </c>
      <c r="H204">
        <f t="shared" si="22"/>
        <v>-3.3259019004836308</v>
      </c>
      <c r="I204">
        <f t="shared" si="23"/>
        <v>1.2418746556389983E-6</v>
      </c>
    </row>
    <row r="205" spans="1:9" x14ac:dyDescent="0.35">
      <c r="A205">
        <f t="shared" si="20"/>
        <v>83.410000000000025</v>
      </c>
      <c r="B205">
        <v>356.56</v>
      </c>
      <c r="C205">
        <v>70.44</v>
      </c>
      <c r="D205">
        <f t="shared" si="21"/>
        <v>-3.157897382486591</v>
      </c>
      <c r="H205">
        <f t="shared" si="22"/>
        <v>-3.1578438333829837</v>
      </c>
      <c r="I205">
        <f t="shared" si="23"/>
        <v>2.8675064971486707E-9</v>
      </c>
    </row>
    <row r="206" spans="1:9" x14ac:dyDescent="0.35">
      <c r="A206">
        <f t="shared" si="20"/>
        <v>83.420000000000016</v>
      </c>
      <c r="B206">
        <v>356.57</v>
      </c>
      <c r="C206">
        <v>70.48</v>
      </c>
      <c r="D206">
        <f t="shared" si="21"/>
        <v>-3.1576508343778387</v>
      </c>
      <c r="H206">
        <f t="shared" si="22"/>
        <v>-3.1574948689274773</v>
      </c>
      <c r="I206">
        <f t="shared" si="23"/>
        <v>2.4325221706415445E-8</v>
      </c>
    </row>
    <row r="207" spans="1:9" x14ac:dyDescent="0.35">
      <c r="A207">
        <f t="shared" si="20"/>
        <v>83.590000000000032</v>
      </c>
      <c r="B207">
        <v>356.74</v>
      </c>
      <c r="C207">
        <v>71.61</v>
      </c>
      <c r="D207">
        <f t="shared" si="21"/>
        <v>-3.150743056055413</v>
      </c>
      <c r="H207">
        <f t="shared" si="22"/>
        <v>-3.1515655418003981</v>
      </c>
      <c r="I207">
        <f t="shared" si="23"/>
        <v>6.7648280070353379E-7</v>
      </c>
    </row>
    <row r="208" spans="1:9" x14ac:dyDescent="0.35">
      <c r="A208">
        <f t="shared" si="20"/>
        <v>88.580000000000041</v>
      </c>
      <c r="B208">
        <v>361.73</v>
      </c>
      <c r="C208">
        <v>106.33</v>
      </c>
      <c r="D208">
        <f t="shared" si="21"/>
        <v>-2.9790609159047872</v>
      </c>
      <c r="H208">
        <f t="shared" si="22"/>
        <v>-2.9800666220669196</v>
      </c>
      <c r="I208">
        <f t="shared" si="23"/>
        <v>1.0114448845512204E-6</v>
      </c>
    </row>
    <row r="209" spans="1:9" x14ac:dyDescent="0.35">
      <c r="A209">
        <f t="shared" si="20"/>
        <v>88.600000000000023</v>
      </c>
      <c r="B209">
        <v>361.75</v>
      </c>
      <c r="C209">
        <v>106.63</v>
      </c>
      <c r="D209">
        <f t="shared" si="21"/>
        <v>-2.9778373205746229</v>
      </c>
      <c r="H209">
        <f t="shared" si="22"/>
        <v>-2.9793890073941078</v>
      </c>
      <c r="I209">
        <f t="shared" si="23"/>
        <v>2.4077319857632298E-6</v>
      </c>
    </row>
    <row r="210" spans="1:9" x14ac:dyDescent="0.35">
      <c r="A210">
        <f t="shared" si="20"/>
        <v>88.63</v>
      </c>
      <c r="B210">
        <v>361.78</v>
      </c>
      <c r="C210">
        <v>106.73</v>
      </c>
      <c r="D210">
        <f t="shared" si="21"/>
        <v>-2.9774302203555525</v>
      </c>
      <c r="H210">
        <f t="shared" si="22"/>
        <v>-2.9783727293439899</v>
      </c>
      <c r="I210">
        <f t="shared" si="23"/>
        <v>8.8832319328528355E-7</v>
      </c>
    </row>
    <row r="211" spans="1:9" x14ac:dyDescent="0.35">
      <c r="A211">
        <f t="shared" si="20"/>
        <v>93.010000000000048</v>
      </c>
      <c r="B211">
        <v>366.16</v>
      </c>
      <c r="C211">
        <v>149.18</v>
      </c>
      <c r="D211">
        <f t="shared" si="21"/>
        <v>-2.8320061269659194</v>
      </c>
      <c r="H211">
        <f t="shared" si="22"/>
        <v>-2.8318269465612929</v>
      </c>
      <c r="I211">
        <f t="shared" si="23"/>
        <v>3.2105617402116256E-8</v>
      </c>
    </row>
    <row r="212" spans="1:9" x14ac:dyDescent="0.35">
      <c r="A212">
        <f t="shared" si="20"/>
        <v>93.100000000000023</v>
      </c>
      <c r="B212">
        <v>366.25</v>
      </c>
      <c r="C212">
        <v>150.30000000000001</v>
      </c>
      <c r="D212">
        <f t="shared" si="21"/>
        <v>-2.8287577491949221</v>
      </c>
      <c r="H212">
        <f t="shared" si="22"/>
        <v>-2.8288533831300438</v>
      </c>
      <c r="I212">
        <f t="shared" si="23"/>
        <v>9.1458495468588781E-9</v>
      </c>
    </row>
    <row r="213" spans="1:9" x14ac:dyDescent="0.35">
      <c r="A213">
        <f t="shared" si="20"/>
        <v>93.110000000000014</v>
      </c>
      <c r="B213">
        <v>366.26</v>
      </c>
      <c r="C213">
        <v>150.51</v>
      </c>
      <c r="D213">
        <f t="shared" si="21"/>
        <v>-2.8281513740344164</v>
      </c>
      <c r="H213">
        <f t="shared" si="22"/>
        <v>-2.8285230796104983</v>
      </c>
      <c r="I213">
        <f t="shared" si="23"/>
        <v>1.3816503529038038E-7</v>
      </c>
    </row>
    <row r="214" spans="1:9" x14ac:dyDescent="0.35">
      <c r="A214">
        <f t="shared" si="20"/>
        <v>98.100000000000023</v>
      </c>
      <c r="B214">
        <v>371.25</v>
      </c>
      <c r="C214">
        <v>218.58</v>
      </c>
      <c r="D214">
        <f t="shared" si="21"/>
        <v>-2.6661063081562708</v>
      </c>
      <c r="H214">
        <f t="shared" si="22"/>
        <v>-2.6659750567443492</v>
      </c>
      <c r="I214">
        <f t="shared" si="23"/>
        <v>1.7226933131415317E-8</v>
      </c>
    </row>
    <row r="215" spans="1:9" x14ac:dyDescent="0.35">
      <c r="A215">
        <f t="shared" si="20"/>
        <v>98.110000000000014</v>
      </c>
      <c r="B215">
        <v>371.26</v>
      </c>
      <c r="C215">
        <v>218.53</v>
      </c>
      <c r="D215">
        <f t="shared" si="21"/>
        <v>-2.6662056640355223</v>
      </c>
      <c r="H215">
        <f t="shared" si="22"/>
        <v>-2.6656538022162941</v>
      </c>
      <c r="I215">
        <f t="shared" si="23"/>
        <v>3.0455146752182771E-7</v>
      </c>
    </row>
    <row r="216" spans="1:9" x14ac:dyDescent="0.35">
      <c r="A216">
        <f t="shared" si="20"/>
        <v>98.12</v>
      </c>
      <c r="B216">
        <v>371.27</v>
      </c>
      <c r="C216">
        <v>218.86</v>
      </c>
      <c r="D216">
        <f t="shared" si="21"/>
        <v>-2.6655503348957539</v>
      </c>
      <c r="H216">
        <f t="shared" si="22"/>
        <v>-2.6653325654119158</v>
      </c>
      <c r="I216">
        <f t="shared" si="23"/>
        <v>4.7423548091119036E-8</v>
      </c>
    </row>
    <row r="217" spans="1:9" x14ac:dyDescent="0.35">
      <c r="A217">
        <f t="shared" si="20"/>
        <v>103.18</v>
      </c>
      <c r="B217">
        <v>376.33</v>
      </c>
      <c r="C217">
        <v>316.57</v>
      </c>
      <c r="D217">
        <f t="shared" si="21"/>
        <v>-2.5052469735567611</v>
      </c>
      <c r="H217">
        <f t="shared" si="22"/>
        <v>-2.5050287563083735</v>
      </c>
      <c r="I217">
        <f t="shared" si="23"/>
        <v>4.761876749383513E-8</v>
      </c>
    </row>
    <row r="218" spans="1:9" x14ac:dyDescent="0.35">
      <c r="A218">
        <f t="shared" si="20"/>
        <v>103.19</v>
      </c>
      <c r="B218">
        <v>376.34</v>
      </c>
      <c r="C218">
        <v>316.85000000000002</v>
      </c>
      <c r="D218">
        <f t="shared" si="21"/>
        <v>-2.5048630183205716</v>
      </c>
      <c r="H218">
        <f t="shared" si="22"/>
        <v>-2.5047163199848406</v>
      </c>
      <c r="I218">
        <f t="shared" si="23"/>
        <v>2.1520401706244963E-8</v>
      </c>
    </row>
    <row r="219" spans="1:9" x14ac:dyDescent="0.35">
      <c r="A219">
        <f t="shared" si="20"/>
        <v>103.20000000000005</v>
      </c>
      <c r="B219">
        <v>376.35</v>
      </c>
      <c r="C219">
        <v>316.44</v>
      </c>
      <c r="D219">
        <f t="shared" si="21"/>
        <v>-2.5054253539407711</v>
      </c>
      <c r="H219">
        <f t="shared" si="22"/>
        <v>-2.5044039006602681</v>
      </c>
      <c r="I219">
        <f t="shared" si="23"/>
        <v>1.0433668042504849E-6</v>
      </c>
    </row>
    <row r="220" spans="1:9" x14ac:dyDescent="0.35">
      <c r="H220" t="s">
        <v>21</v>
      </c>
      <c r="I220">
        <f>SUM(I181:I219)</f>
        <v>4.8948939354528013E-5</v>
      </c>
    </row>
    <row r="221" spans="1:9" x14ac:dyDescent="0.35">
      <c r="H221" t="s">
        <v>666</v>
      </c>
      <c r="I221">
        <f>SQRT(SUM(I181:I219)/(COUNT(I181:I219)-1))</f>
        <v>1.1349581415250058E-3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2"/>
  <sheetViews>
    <sheetView zoomScale="108" workbookViewId="0">
      <selection activeCell="H82" sqref="H82:I82"/>
    </sheetView>
  </sheetViews>
  <sheetFormatPr defaultRowHeight="14.5" x14ac:dyDescent="0.35"/>
  <cols>
    <col min="4" max="8" width="8.81640625" bestFit="1" customWidth="1"/>
    <col min="9" max="9" width="11.26953125" bestFit="1" customWidth="1"/>
    <col min="16" max="17" width="11.81640625" bestFit="1" customWidth="1"/>
  </cols>
  <sheetData>
    <row r="1" spans="1:9" x14ac:dyDescent="0.35">
      <c r="A1" t="s">
        <v>624</v>
      </c>
      <c r="B1" t="s">
        <v>49</v>
      </c>
      <c r="C1">
        <v>-25</v>
      </c>
    </row>
    <row r="2" spans="1:9" x14ac:dyDescent="0.35">
      <c r="A2" t="s">
        <v>33</v>
      </c>
      <c r="B2" t="s">
        <v>30</v>
      </c>
      <c r="C2" t="s">
        <v>36</v>
      </c>
      <c r="D2" t="s">
        <v>20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5">
      <c r="A3">
        <f>B3-273.15</f>
        <v>0.5</v>
      </c>
      <c r="B3">
        <v>273.64999999999998</v>
      </c>
      <c r="C3">
        <v>6.31</v>
      </c>
      <c r="D3">
        <f>LOG10(C3*0.00000986923)</f>
        <v>-4.2056873705376958</v>
      </c>
      <c r="E3">
        <v>5.1453972587754322</v>
      </c>
      <c r="F3">
        <v>2236.385662598801</v>
      </c>
      <c r="G3">
        <v>-34.507081418545603</v>
      </c>
      <c r="H3">
        <f>$E$3-($F$3/(B3+$G$3))</f>
        <v>-4.2062727629194256</v>
      </c>
      <c r="I3">
        <f t="shared" ref="I3:I26" si="0">(H3-D3)^2</f>
        <v>3.4268424058732573E-7</v>
      </c>
    </row>
    <row r="4" spans="1:9" x14ac:dyDescent="0.35">
      <c r="A4">
        <f t="shared" ref="A4:A26" si="1">B4-273.15</f>
        <v>0.5</v>
      </c>
      <c r="B4">
        <v>273.64999999999998</v>
      </c>
      <c r="C4">
        <v>6.3</v>
      </c>
      <c r="D4">
        <f t="shared" ref="D4:D26" si="2">LOG10(C4*0.00000986923)</f>
        <v>-4.2063761803282489</v>
      </c>
      <c r="H4">
        <f t="shared" ref="H4:H26" si="3">$E$3-($F$3/(B4+$G$3))</f>
        <v>-4.2062727629194256</v>
      </c>
      <c r="I4">
        <f t="shared" si="0"/>
        <v>1.0695160447714725E-8</v>
      </c>
    </row>
    <row r="5" spans="1:9" x14ac:dyDescent="0.35">
      <c r="A5">
        <f t="shared" si="1"/>
        <v>0.5</v>
      </c>
      <c r="B5">
        <v>273.64999999999998</v>
      </c>
      <c r="C5">
        <v>6.3</v>
      </c>
      <c r="D5">
        <f t="shared" si="2"/>
        <v>-4.2063761803282489</v>
      </c>
      <c r="H5">
        <f t="shared" si="3"/>
        <v>-4.2062727629194256</v>
      </c>
      <c r="I5">
        <f t="shared" si="0"/>
        <v>1.0695160447714725E-8</v>
      </c>
    </row>
    <row r="6" spans="1:9" x14ac:dyDescent="0.35">
      <c r="A6">
        <f t="shared" si="1"/>
        <v>5</v>
      </c>
      <c r="B6">
        <v>278.14999999999998</v>
      </c>
      <c r="C6">
        <v>9.4</v>
      </c>
      <c r="D6">
        <f t="shared" si="2"/>
        <v>-4.0325888761821318</v>
      </c>
      <c r="H6">
        <f t="shared" si="3"/>
        <v>-4.0335506688703102</v>
      </c>
      <c r="I6">
        <f t="shared" si="0"/>
        <v>9.2504517503347147E-7</v>
      </c>
    </row>
    <row r="7" spans="1:9" x14ac:dyDescent="0.35">
      <c r="A7">
        <f t="shared" si="1"/>
        <v>5</v>
      </c>
      <c r="B7">
        <v>278.14999999999998</v>
      </c>
      <c r="C7">
        <v>9.3699999999999992</v>
      </c>
      <c r="D7">
        <f t="shared" si="2"/>
        <v>-4.033977138894052</v>
      </c>
      <c r="H7">
        <f t="shared" si="3"/>
        <v>-4.0335506688703102</v>
      </c>
      <c r="I7">
        <f t="shared" si="0"/>
        <v>1.8187668115028277E-7</v>
      </c>
    </row>
    <row r="8" spans="1:9" x14ac:dyDescent="0.35">
      <c r="A8">
        <f t="shared" si="1"/>
        <v>5</v>
      </c>
      <c r="B8">
        <v>278.14999999999998</v>
      </c>
      <c r="C8">
        <v>9.3800000000000008</v>
      </c>
      <c r="D8">
        <f t="shared" si="2"/>
        <v>-4.0335138914027659</v>
      </c>
      <c r="H8">
        <f t="shared" si="3"/>
        <v>-4.0335506688703102</v>
      </c>
      <c r="I8">
        <f t="shared" si="0"/>
        <v>1.3525821189697534E-9</v>
      </c>
    </row>
    <row r="9" spans="1:9" x14ac:dyDescent="0.35">
      <c r="A9">
        <f t="shared" si="1"/>
        <v>10</v>
      </c>
      <c r="B9">
        <v>283.14999999999998</v>
      </c>
      <c r="C9">
        <v>14.32</v>
      </c>
      <c r="D9">
        <f t="shared" si="2"/>
        <v>-3.8497737118099935</v>
      </c>
      <c r="H9">
        <f t="shared" si="3"/>
        <v>-3.8489697449491089</v>
      </c>
      <c r="I9">
        <f t="shared" si="0"/>
        <v>6.4636271340059779E-7</v>
      </c>
    </row>
    <row r="10" spans="1:9" x14ac:dyDescent="0.35">
      <c r="A10">
        <f t="shared" si="1"/>
        <v>10</v>
      </c>
      <c r="B10">
        <v>283.14999999999998</v>
      </c>
      <c r="C10">
        <v>14.32</v>
      </c>
      <c r="D10">
        <f t="shared" si="2"/>
        <v>-3.8497737118099935</v>
      </c>
      <c r="H10">
        <f t="shared" si="3"/>
        <v>-3.8489697449491089</v>
      </c>
      <c r="I10">
        <f t="shared" si="0"/>
        <v>6.4636271340059779E-7</v>
      </c>
    </row>
    <row r="11" spans="1:9" x14ac:dyDescent="0.35">
      <c r="A11">
        <f t="shared" si="1"/>
        <v>10</v>
      </c>
      <c r="B11">
        <v>283.14999999999998</v>
      </c>
      <c r="C11">
        <v>14.32</v>
      </c>
      <c r="D11">
        <f t="shared" si="2"/>
        <v>-3.8497737118099935</v>
      </c>
      <c r="H11">
        <f t="shared" si="3"/>
        <v>-3.8489697449491089</v>
      </c>
      <c r="I11">
        <f t="shared" si="0"/>
        <v>6.4636271340059779E-7</v>
      </c>
    </row>
    <row r="12" spans="1:9" x14ac:dyDescent="0.35">
      <c r="A12">
        <f t="shared" si="1"/>
        <v>15</v>
      </c>
      <c r="B12">
        <v>288.14999999999998</v>
      </c>
      <c r="C12">
        <v>21.62</v>
      </c>
      <c r="D12">
        <f t="shared" si="2"/>
        <v>-3.6708610401645387</v>
      </c>
      <c r="H12">
        <f t="shared" si="3"/>
        <v>-3.671666017054255</v>
      </c>
      <c r="I12">
        <f t="shared" si="0"/>
        <v>6.4798779297726051E-7</v>
      </c>
    </row>
    <row r="13" spans="1:9" x14ac:dyDescent="0.35">
      <c r="A13">
        <f t="shared" si="1"/>
        <v>15</v>
      </c>
      <c r="B13">
        <v>288.14999999999998</v>
      </c>
      <c r="C13">
        <v>21.59</v>
      </c>
      <c r="D13">
        <f t="shared" si="2"/>
        <v>-3.6714640874475992</v>
      </c>
      <c r="H13">
        <f t="shared" si="3"/>
        <v>-3.671666017054255</v>
      </c>
      <c r="I13">
        <f t="shared" si="0"/>
        <v>4.0775566044154294E-8</v>
      </c>
    </row>
    <row r="14" spans="1:9" x14ac:dyDescent="0.35">
      <c r="A14">
        <f t="shared" si="1"/>
        <v>15</v>
      </c>
      <c r="B14">
        <v>288.14999999999998</v>
      </c>
      <c r="C14">
        <v>21.59</v>
      </c>
      <c r="D14">
        <f t="shared" si="2"/>
        <v>-3.6714640874475992</v>
      </c>
      <c r="H14">
        <f t="shared" si="3"/>
        <v>-3.671666017054255</v>
      </c>
      <c r="I14">
        <f t="shared" si="0"/>
        <v>4.0775566044154294E-8</v>
      </c>
    </row>
    <row r="15" spans="1:9" x14ac:dyDescent="0.35">
      <c r="A15">
        <f t="shared" si="1"/>
        <v>20</v>
      </c>
      <c r="B15">
        <v>293.14999999999998</v>
      </c>
      <c r="C15">
        <v>31.93</v>
      </c>
      <c r="D15">
        <f t="shared" si="2"/>
        <v>-3.5015178112423855</v>
      </c>
      <c r="H15">
        <f t="shared" si="3"/>
        <v>-3.5012174440914343</v>
      </c>
      <c r="I15">
        <f t="shared" si="0"/>
        <v>9.0220425370519385E-8</v>
      </c>
    </row>
    <row r="16" spans="1:9" x14ac:dyDescent="0.35">
      <c r="A16">
        <f t="shared" si="1"/>
        <v>20</v>
      </c>
      <c r="B16">
        <v>293.14999999999998</v>
      </c>
      <c r="C16">
        <v>31.95</v>
      </c>
      <c r="D16">
        <f t="shared" si="2"/>
        <v>-3.5012458672874112</v>
      </c>
      <c r="H16">
        <f t="shared" si="3"/>
        <v>-3.5012174440914343</v>
      </c>
      <c r="I16">
        <f t="shared" si="0"/>
        <v>8.0787806953816655E-10</v>
      </c>
    </row>
    <row r="17" spans="1:9" x14ac:dyDescent="0.35">
      <c r="A17">
        <f t="shared" si="1"/>
        <v>20</v>
      </c>
      <c r="B17">
        <v>293.14999999999998</v>
      </c>
      <c r="C17">
        <v>31.96</v>
      </c>
      <c r="D17">
        <f t="shared" si="2"/>
        <v>-3.5011099591398764</v>
      </c>
      <c r="H17">
        <f t="shared" si="3"/>
        <v>-3.5012174440914343</v>
      </c>
      <c r="I17">
        <f t="shared" si="0"/>
        <v>1.155301481139961E-8</v>
      </c>
    </row>
    <row r="18" spans="1:9" x14ac:dyDescent="0.35">
      <c r="A18">
        <f t="shared" si="1"/>
        <v>25</v>
      </c>
      <c r="B18">
        <v>298.14999999999998</v>
      </c>
      <c r="C18">
        <v>46.64</v>
      </c>
      <c r="D18">
        <f t="shared" si="2"/>
        <v>-3.3369581880308723</v>
      </c>
      <c r="H18">
        <f t="shared" si="3"/>
        <v>-3.3372340010808941</v>
      </c>
      <c r="I18">
        <f t="shared" si="0"/>
        <v>7.6072838562315888E-8</v>
      </c>
    </row>
    <row r="19" spans="1:9" x14ac:dyDescent="0.35">
      <c r="A19">
        <f t="shared" si="1"/>
        <v>25</v>
      </c>
      <c r="B19">
        <v>298.14999999999998</v>
      </c>
      <c r="C19">
        <v>46.65</v>
      </c>
      <c r="D19">
        <f t="shared" si="2"/>
        <v>-3.3368650816993113</v>
      </c>
      <c r="H19">
        <f t="shared" si="3"/>
        <v>-3.3372340010808941</v>
      </c>
      <c r="I19">
        <f t="shared" si="0"/>
        <v>1.3610151010742708E-7</v>
      </c>
    </row>
    <row r="20" spans="1:9" x14ac:dyDescent="0.35">
      <c r="A20">
        <f t="shared" si="1"/>
        <v>25</v>
      </c>
      <c r="B20">
        <v>298.14999999999998</v>
      </c>
      <c r="C20">
        <v>46.6</v>
      </c>
      <c r="D20">
        <f t="shared" si="2"/>
        <v>-3.33733081309183</v>
      </c>
      <c r="H20">
        <f t="shared" si="3"/>
        <v>-3.3372340010808941</v>
      </c>
      <c r="I20">
        <f t="shared" si="0"/>
        <v>9.3725654614567925E-9</v>
      </c>
    </row>
    <row r="21" spans="1:9" x14ac:dyDescent="0.35">
      <c r="A21">
        <f t="shared" si="1"/>
        <v>30</v>
      </c>
      <c r="B21">
        <v>303.14999999999998</v>
      </c>
      <c r="C21">
        <v>67.08</v>
      </c>
      <c r="D21">
        <f t="shared" si="2"/>
        <v>-3.1791236758477819</v>
      </c>
      <c r="H21">
        <f t="shared" si="3"/>
        <v>-3.17935469972711</v>
      </c>
      <c r="I21">
        <f t="shared" si="0"/>
        <v>5.3372032819833482E-8</v>
      </c>
    </row>
    <row r="22" spans="1:9" x14ac:dyDescent="0.35">
      <c r="A22">
        <f t="shared" si="1"/>
        <v>30</v>
      </c>
      <c r="B22">
        <v>303.14999999999998</v>
      </c>
      <c r="C22">
        <v>67.09</v>
      </c>
      <c r="D22">
        <f t="shared" si="2"/>
        <v>-3.1790589379059608</v>
      </c>
      <c r="H22">
        <f t="shared" si="3"/>
        <v>-3.17935469972711</v>
      </c>
      <c r="I22">
        <f t="shared" si="0"/>
        <v>8.747505484949709E-8</v>
      </c>
    </row>
    <row r="23" spans="1:9" x14ac:dyDescent="0.35">
      <c r="A23">
        <f t="shared" si="1"/>
        <v>30</v>
      </c>
      <c r="B23">
        <v>303.14999999999998</v>
      </c>
      <c r="C23">
        <v>67.08</v>
      </c>
      <c r="D23">
        <f t="shared" si="2"/>
        <v>-3.1791236758477819</v>
      </c>
      <c r="H23">
        <f t="shared" si="3"/>
        <v>-3.17935469972711</v>
      </c>
      <c r="I23">
        <f t="shared" si="0"/>
        <v>5.3372032819833482E-8</v>
      </c>
    </row>
    <row r="24" spans="1:9" x14ac:dyDescent="0.35">
      <c r="A24">
        <f t="shared" si="1"/>
        <v>35.020000000000039</v>
      </c>
      <c r="B24">
        <v>308.17</v>
      </c>
      <c r="C24">
        <v>95.1</v>
      </c>
      <c r="D24">
        <f t="shared" si="2"/>
        <v>-3.0275362128444163</v>
      </c>
      <c r="H24">
        <f t="shared" si="3"/>
        <v>-3.0266476576174046</v>
      </c>
      <c r="I24">
        <f t="shared" si="0"/>
        <v>7.8953039144981424E-7</v>
      </c>
    </row>
    <row r="25" spans="1:9" x14ac:dyDescent="0.35">
      <c r="A25">
        <f t="shared" si="1"/>
        <v>35</v>
      </c>
      <c r="B25">
        <v>308.14999999999998</v>
      </c>
      <c r="C25">
        <v>95.18</v>
      </c>
      <c r="D25">
        <f t="shared" si="2"/>
        <v>-3.0271710293190917</v>
      </c>
      <c r="H25">
        <f t="shared" si="3"/>
        <v>-3.0272449356291116</v>
      </c>
      <c r="I25">
        <f t="shared" si="0"/>
        <v>5.4621426607592122E-9</v>
      </c>
    </row>
    <row r="26" spans="1:9" x14ac:dyDescent="0.35">
      <c r="A26">
        <f t="shared" si="1"/>
        <v>35</v>
      </c>
      <c r="B26">
        <v>308.14999999999998</v>
      </c>
      <c r="C26">
        <v>95.16</v>
      </c>
      <c r="D26">
        <f t="shared" si="2"/>
        <v>-3.0272622964166014</v>
      </c>
      <c r="H26">
        <f t="shared" si="3"/>
        <v>-3.0272449356291116</v>
      </c>
      <c r="I26">
        <f t="shared" si="0"/>
        <v>3.0139694226660028E-10</v>
      </c>
    </row>
    <row r="27" spans="1:9" x14ac:dyDescent="0.35">
      <c r="H27" t="s">
        <v>21</v>
      </c>
      <c r="I27">
        <f>SUM(I3:I26)</f>
        <v>5.4546173489775015E-6</v>
      </c>
    </row>
    <row r="28" spans="1:9" x14ac:dyDescent="0.35">
      <c r="H28" t="s">
        <v>666</v>
      </c>
      <c r="I28">
        <f>SQRT(SUM(I3:I26)/(COUNT(I3:I26)-1))</f>
        <v>4.8698796293389026E-4</v>
      </c>
    </row>
    <row r="29" spans="1:9" x14ac:dyDescent="0.35">
      <c r="A29" t="s">
        <v>625</v>
      </c>
      <c r="B29" t="s">
        <v>49</v>
      </c>
      <c r="C29">
        <v>10.3</v>
      </c>
    </row>
    <row r="30" spans="1:9" x14ac:dyDescent="0.35">
      <c r="A30" t="s">
        <v>33</v>
      </c>
      <c r="B30" t="s">
        <v>30</v>
      </c>
      <c r="C30" t="s">
        <v>36</v>
      </c>
      <c r="D30" t="s">
        <v>20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</row>
    <row r="31" spans="1:9" x14ac:dyDescent="0.35">
      <c r="A31">
        <f>B31-273.15</f>
        <v>-14.979999999999961</v>
      </c>
      <c r="B31">
        <v>258.17</v>
      </c>
      <c r="C31">
        <v>0.78</v>
      </c>
      <c r="D31">
        <f>LOG10(C31*0.00000986923)</f>
        <v>-5.1136221270913502</v>
      </c>
      <c r="E31">
        <v>11.81723724932448</v>
      </c>
      <c r="F31">
        <v>5031.0107427065986</v>
      </c>
      <c r="G31">
        <v>38.721902132410875</v>
      </c>
      <c r="H31">
        <f>$E$31-($F$31/(B31+$G$31))</f>
        <v>-5.1283604802586478</v>
      </c>
      <c r="I31">
        <f>(H31-D31)^2</f>
        <v>2.1721905408398961E-4</v>
      </c>
    </row>
    <row r="32" spans="1:9" x14ac:dyDescent="0.35">
      <c r="A32">
        <f t="shared" ref="A32:A53" si="4">B32-273.15</f>
        <v>-14.979999999999961</v>
      </c>
      <c r="B32">
        <v>258.17</v>
      </c>
      <c r="C32">
        <v>0.77</v>
      </c>
      <c r="D32">
        <f t="shared" ref="D32:D53" si="5">LOG10(C32*0.00000986923)</f>
        <v>-5.1192260046093487</v>
      </c>
      <c r="H32">
        <f t="shared" ref="H32:H53" si="6">$E$31-($F$31/(B32+$G$31))</f>
        <v>-5.1283604802586478</v>
      </c>
      <c r="I32">
        <f t="shared" ref="I32:I53" si="7">(H32-D32)^2</f>
        <v>8.3438645387637019E-5</v>
      </c>
    </row>
    <row r="33" spans="1:9" x14ac:dyDescent="0.35">
      <c r="A33">
        <f t="shared" si="4"/>
        <v>-14.979999999999961</v>
      </c>
      <c r="B33">
        <v>258.17</v>
      </c>
      <c r="C33">
        <v>0.76</v>
      </c>
      <c r="D33">
        <f t="shared" si="5"/>
        <v>-5.1249031375010388</v>
      </c>
      <c r="H33">
        <f t="shared" si="6"/>
        <v>-5.1283604802586478</v>
      </c>
      <c r="I33">
        <f t="shared" si="7"/>
        <v>1.1953218943591442E-5</v>
      </c>
    </row>
    <row r="34" spans="1:9" x14ac:dyDescent="0.35">
      <c r="A34">
        <f t="shared" si="4"/>
        <v>-9.9799999999999613</v>
      </c>
      <c r="B34">
        <v>263.17</v>
      </c>
      <c r="C34">
        <v>1.42</v>
      </c>
      <c r="D34">
        <f t="shared" si="5"/>
        <v>-4.8534283853987734</v>
      </c>
      <c r="H34">
        <f t="shared" si="6"/>
        <v>-4.8477037682056245</v>
      </c>
      <c r="I34">
        <f t="shared" si="7"/>
        <v>3.277124200809568E-5</v>
      </c>
    </row>
    <row r="35" spans="1:9" x14ac:dyDescent="0.35">
      <c r="A35">
        <f t="shared" si="4"/>
        <v>-9.9799999999999613</v>
      </c>
      <c r="B35">
        <v>263.17</v>
      </c>
      <c r="C35">
        <v>1.42</v>
      </c>
      <c r="D35">
        <f t="shared" si="5"/>
        <v>-4.8534283853987734</v>
      </c>
      <c r="H35">
        <f t="shared" si="6"/>
        <v>-4.8477037682056245</v>
      </c>
      <c r="I35">
        <f t="shared" si="7"/>
        <v>3.277124200809568E-5</v>
      </c>
    </row>
    <row r="36" spans="1:9" x14ac:dyDescent="0.35">
      <c r="A36">
        <f t="shared" si="4"/>
        <v>-9.9799999999999613</v>
      </c>
      <c r="B36">
        <v>263.17</v>
      </c>
      <c r="C36">
        <v>1.42</v>
      </c>
      <c r="D36">
        <f t="shared" si="5"/>
        <v>-4.8534283853987734</v>
      </c>
      <c r="H36">
        <f t="shared" si="6"/>
        <v>-4.8477037682056245</v>
      </c>
      <c r="I36">
        <f t="shared" si="7"/>
        <v>3.277124200809568E-5</v>
      </c>
    </row>
    <row r="37" spans="1:9" x14ac:dyDescent="0.35">
      <c r="A37">
        <f t="shared" si="4"/>
        <v>-4.9799999999999613</v>
      </c>
      <c r="B37">
        <v>268.17</v>
      </c>
      <c r="C37">
        <v>2.64</v>
      </c>
      <c r="D37">
        <f t="shared" si="5"/>
        <v>-4.5841128029119993</v>
      </c>
      <c r="H37">
        <f t="shared" si="6"/>
        <v>-4.5761921886928523</v>
      </c>
      <c r="I37">
        <f t="shared" si="7"/>
        <v>6.2736129608554063E-5</v>
      </c>
    </row>
    <row r="38" spans="1:9" x14ac:dyDescent="0.35">
      <c r="A38">
        <f t="shared" si="4"/>
        <v>-4.9799999999999613</v>
      </c>
      <c r="B38">
        <v>268.17</v>
      </c>
      <c r="C38">
        <v>2.65</v>
      </c>
      <c r="D38">
        <f t="shared" si="5"/>
        <v>-4.5824708558450222</v>
      </c>
      <c r="H38">
        <f t="shared" si="6"/>
        <v>-4.5761921886928523</v>
      </c>
      <c r="I38">
        <f t="shared" si="7"/>
        <v>3.9421661207738024E-5</v>
      </c>
    </row>
    <row r="39" spans="1:9" x14ac:dyDescent="0.35">
      <c r="A39">
        <f t="shared" si="4"/>
        <v>-4.9799999999999613</v>
      </c>
      <c r="B39">
        <v>268.17</v>
      </c>
      <c r="C39">
        <v>2.65</v>
      </c>
      <c r="D39">
        <f t="shared" si="5"/>
        <v>-4.5824708558450222</v>
      </c>
      <c r="H39">
        <f t="shared" si="6"/>
        <v>-4.5761921886928523</v>
      </c>
      <c r="I39">
        <f t="shared" si="7"/>
        <v>3.9421661207738024E-5</v>
      </c>
    </row>
    <row r="40" spans="1:9" x14ac:dyDescent="0.35">
      <c r="A40">
        <f t="shared" si="4"/>
        <v>0.5</v>
      </c>
      <c r="B40">
        <v>273.64999999999998</v>
      </c>
      <c r="C40">
        <v>5.18</v>
      </c>
      <c r="D40">
        <f t="shared" si="5"/>
        <v>-4.291386970036597</v>
      </c>
      <c r="H40">
        <f t="shared" si="6"/>
        <v>-4.2885991218802868</v>
      </c>
      <c r="I40">
        <f t="shared" si="7"/>
        <v>7.7720973426420065E-6</v>
      </c>
    </row>
    <row r="41" spans="1:9" x14ac:dyDescent="0.35">
      <c r="A41">
        <f t="shared" si="4"/>
        <v>0.5</v>
      </c>
      <c r="B41">
        <v>273.64999999999998</v>
      </c>
      <c r="C41">
        <v>5.2</v>
      </c>
      <c r="D41">
        <f t="shared" si="5"/>
        <v>-4.2897133861470307</v>
      </c>
      <c r="H41">
        <f t="shared" si="6"/>
        <v>-4.2885991218802868</v>
      </c>
      <c r="I41">
        <f t="shared" si="7"/>
        <v>1.241584856142278E-6</v>
      </c>
    </row>
    <row r="42" spans="1:9" x14ac:dyDescent="0.35">
      <c r="A42">
        <f t="shared" si="4"/>
        <v>0.5</v>
      </c>
      <c r="B42">
        <v>273.64999999999998</v>
      </c>
      <c r="C42">
        <v>5.19</v>
      </c>
      <c r="D42">
        <f t="shared" si="5"/>
        <v>-4.2905493719333725</v>
      </c>
      <c r="H42">
        <f t="shared" si="6"/>
        <v>-4.2885991218802868</v>
      </c>
      <c r="I42">
        <f t="shared" si="7"/>
        <v>3.8034752695607338E-6</v>
      </c>
    </row>
    <row r="43" spans="1:9" x14ac:dyDescent="0.35">
      <c r="A43">
        <f t="shared" si="4"/>
        <v>2.5</v>
      </c>
      <c r="B43">
        <v>275.64999999999998</v>
      </c>
      <c r="C43">
        <v>6.58</v>
      </c>
      <c r="D43">
        <f t="shared" si="5"/>
        <v>-4.1874908361678749</v>
      </c>
      <c r="H43">
        <f t="shared" si="6"/>
        <v>-4.1861355348869349</v>
      </c>
      <c r="I43">
        <f t="shared" si="7"/>
        <v>1.8368415621175207E-6</v>
      </c>
    </row>
    <row r="44" spans="1:9" x14ac:dyDescent="0.35">
      <c r="A44">
        <f t="shared" si="4"/>
        <v>2.5</v>
      </c>
      <c r="B44">
        <v>275.64999999999998</v>
      </c>
      <c r="C44">
        <v>6.58</v>
      </c>
      <c r="D44">
        <f t="shared" si="5"/>
        <v>-4.1874908361678749</v>
      </c>
      <c r="H44">
        <f t="shared" si="6"/>
        <v>-4.1861355348869349</v>
      </c>
      <c r="I44">
        <f t="shared" si="7"/>
        <v>1.8368415621175207E-6</v>
      </c>
    </row>
    <row r="45" spans="1:9" x14ac:dyDescent="0.35">
      <c r="A45">
        <f t="shared" si="4"/>
        <v>2.5</v>
      </c>
      <c r="B45">
        <v>275.64999999999998</v>
      </c>
      <c r="C45">
        <v>6.58</v>
      </c>
      <c r="D45">
        <f t="shared" si="5"/>
        <v>-4.1874908361678749</v>
      </c>
      <c r="H45">
        <f t="shared" si="6"/>
        <v>-4.1861355348869349</v>
      </c>
      <c r="I45">
        <f t="shared" si="7"/>
        <v>1.8368415621175207E-6</v>
      </c>
    </row>
    <row r="46" spans="1:9" x14ac:dyDescent="0.35">
      <c r="A46">
        <f t="shared" si="4"/>
        <v>5</v>
      </c>
      <c r="B46">
        <v>278.14999999999998</v>
      </c>
      <c r="C46">
        <v>8.83</v>
      </c>
      <c r="D46">
        <f t="shared" si="5"/>
        <v>-4.059756026204262</v>
      </c>
      <c r="H46">
        <f t="shared" si="6"/>
        <v>-4.0598749491698403</v>
      </c>
      <c r="I46">
        <f t="shared" si="7"/>
        <v>1.4142671741925581E-8</v>
      </c>
    </row>
    <row r="47" spans="1:9" x14ac:dyDescent="0.35">
      <c r="A47">
        <f t="shared" si="4"/>
        <v>5</v>
      </c>
      <c r="B47">
        <v>278.14999999999998</v>
      </c>
      <c r="C47">
        <v>8.84</v>
      </c>
      <c r="D47">
        <f t="shared" si="5"/>
        <v>-4.0592644647687575</v>
      </c>
      <c r="H47">
        <f t="shared" si="6"/>
        <v>-4.0598749491698403</v>
      </c>
      <c r="I47">
        <f t="shared" si="7"/>
        <v>3.7269120396542545E-7</v>
      </c>
    </row>
    <row r="48" spans="1:9" x14ac:dyDescent="0.35">
      <c r="A48">
        <f t="shared" si="4"/>
        <v>5</v>
      </c>
      <c r="B48">
        <v>278.14999999999998</v>
      </c>
      <c r="C48">
        <v>8.83</v>
      </c>
      <c r="D48">
        <f t="shared" si="5"/>
        <v>-4.059756026204262</v>
      </c>
      <c r="H48">
        <f t="shared" si="6"/>
        <v>-4.0598749491698403</v>
      </c>
      <c r="I48">
        <f t="shared" si="7"/>
        <v>1.4142671741925581E-8</v>
      </c>
    </row>
    <row r="49" spans="1:9" x14ac:dyDescent="0.35">
      <c r="A49">
        <f t="shared" si="4"/>
        <v>7.5</v>
      </c>
      <c r="B49">
        <v>280.64999999999998</v>
      </c>
      <c r="C49">
        <v>11.83</v>
      </c>
      <c r="D49">
        <f t="shared" si="5"/>
        <v>-3.9327319851538998</v>
      </c>
      <c r="H49">
        <f t="shared" si="6"/>
        <v>-3.9355910649858785</v>
      </c>
      <c r="I49">
        <f t="shared" si="7"/>
        <v>8.174337485627638E-6</v>
      </c>
    </row>
    <row r="50" spans="1:9" x14ac:dyDescent="0.35">
      <c r="A50">
        <f t="shared" si="4"/>
        <v>7.5</v>
      </c>
      <c r="B50">
        <v>280.64999999999998</v>
      </c>
      <c r="C50">
        <v>11.85</v>
      </c>
      <c r="D50">
        <f t="shared" si="5"/>
        <v>-3.9319983794357074</v>
      </c>
      <c r="H50">
        <f t="shared" si="6"/>
        <v>-3.9355910649858785</v>
      </c>
      <c r="I50">
        <f t="shared" si="7"/>
        <v>1.290738946240833E-5</v>
      </c>
    </row>
    <row r="51" spans="1:9" x14ac:dyDescent="0.35">
      <c r="A51">
        <f t="shared" si="4"/>
        <v>7.5</v>
      </c>
      <c r="B51">
        <v>280.64999999999998</v>
      </c>
      <c r="C51">
        <v>11.85</v>
      </c>
      <c r="D51">
        <f t="shared" si="5"/>
        <v>-3.9319983794357074</v>
      </c>
      <c r="H51">
        <f t="shared" si="6"/>
        <v>-3.9355910649858785</v>
      </c>
      <c r="I51">
        <f t="shared" si="7"/>
        <v>1.290738946240833E-5</v>
      </c>
    </row>
    <row r="52" spans="1:9" x14ac:dyDescent="0.35">
      <c r="A52">
        <f t="shared" si="4"/>
        <v>10</v>
      </c>
      <c r="B52">
        <v>283.14999999999998</v>
      </c>
      <c r="C52">
        <v>15.76</v>
      </c>
      <c r="D52">
        <f t="shared" si="5"/>
        <v>-3.8081605166282939</v>
      </c>
      <c r="H52">
        <f t="shared" si="6"/>
        <v>-3.8132378228269062</v>
      </c>
      <c r="I52">
        <f t="shared" si="7"/>
        <v>2.5779038234466288E-5</v>
      </c>
    </row>
    <row r="53" spans="1:9" x14ac:dyDescent="0.35">
      <c r="A53">
        <f t="shared" si="4"/>
        <v>10</v>
      </c>
      <c r="B53">
        <v>283.14999999999998</v>
      </c>
      <c r="C53">
        <v>15.75</v>
      </c>
      <c r="D53">
        <f t="shared" si="5"/>
        <v>-3.808436171656211</v>
      </c>
      <c r="H53">
        <f t="shared" si="6"/>
        <v>-3.8132378228269062</v>
      </c>
      <c r="I53">
        <f t="shared" si="7"/>
        <v>2.3055853965038567E-5</v>
      </c>
    </row>
    <row r="54" spans="1:9" x14ac:dyDescent="0.35">
      <c r="H54" t="s">
        <v>21</v>
      </c>
      <c r="I54">
        <f>SUM(I31:I53)</f>
        <v>6.5405676377563104E-4</v>
      </c>
    </row>
    <row r="55" spans="1:9" x14ac:dyDescent="0.35">
      <c r="H55" t="s">
        <v>666</v>
      </c>
      <c r="I55">
        <f>SQRT(SUM(I31:I53)/(COUNT(I31:I53)-1))</f>
        <v>5.4525088627981446E-3</v>
      </c>
    </row>
    <row r="56" spans="1:9" x14ac:dyDescent="0.35">
      <c r="A56" t="s">
        <v>626</v>
      </c>
      <c r="B56" t="s">
        <v>49</v>
      </c>
      <c r="C56">
        <v>10.3</v>
      </c>
    </row>
    <row r="57" spans="1:9" x14ac:dyDescent="0.35">
      <c r="A57" t="s">
        <v>33</v>
      </c>
      <c r="B57" t="s">
        <v>30</v>
      </c>
      <c r="C57" t="s">
        <v>36</v>
      </c>
      <c r="D57" t="s">
        <v>20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</row>
    <row r="58" spans="1:9" x14ac:dyDescent="0.35">
      <c r="A58">
        <f>B58-273.15</f>
        <v>12.5</v>
      </c>
      <c r="B58">
        <v>285.64999999999998</v>
      </c>
      <c r="C58">
        <v>19.899999999999999</v>
      </c>
      <c r="D58">
        <f>LOG10(C58*0.00000986923)</f>
        <v>-3.7068636533721238</v>
      </c>
      <c r="E58">
        <v>5.9963013298340231</v>
      </c>
      <c r="F58">
        <v>2400.2863594702512</v>
      </c>
      <c r="G58">
        <v>-38.257713218494231</v>
      </c>
      <c r="H58">
        <f>$E$58-($F$58/(B58+$G$58))</f>
        <v>-3.7060478852413796</v>
      </c>
      <c r="I58">
        <f>(H58-D58)^2</f>
        <v>6.6547764313777565E-7</v>
      </c>
    </row>
    <row r="59" spans="1:9" x14ac:dyDescent="0.35">
      <c r="A59">
        <f t="shared" ref="A59:A80" si="8">B59-273.15</f>
        <v>12.5</v>
      </c>
      <c r="B59">
        <v>285.64999999999998</v>
      </c>
      <c r="C59">
        <v>19.920000000000002</v>
      </c>
      <c r="D59">
        <f t="shared" ref="D59:D80" si="9">LOG10(C59*0.00000986923)</f>
        <v>-3.70642739569415</v>
      </c>
      <c r="H59">
        <f t="shared" ref="H59:H80" si="10">$E$58-($F$58/(B59+$G$58))</f>
        <v>-3.7060478852413796</v>
      </c>
      <c r="I59">
        <f t="shared" ref="I59:I80" si="11">(H59-D59)^2</f>
        <v>1.4402818376199711E-7</v>
      </c>
    </row>
    <row r="60" spans="1:9" x14ac:dyDescent="0.35">
      <c r="A60">
        <f t="shared" si="8"/>
        <v>12.5</v>
      </c>
      <c r="B60">
        <v>285.64999999999998</v>
      </c>
      <c r="C60">
        <v>19.920000000000002</v>
      </c>
      <c r="D60">
        <f t="shared" si="9"/>
        <v>-3.70642739569415</v>
      </c>
      <c r="H60">
        <f t="shared" si="10"/>
        <v>-3.7060478852413796</v>
      </c>
      <c r="I60">
        <f t="shared" si="11"/>
        <v>1.4402818376199711E-7</v>
      </c>
    </row>
    <row r="61" spans="1:9" x14ac:dyDescent="0.35">
      <c r="A61">
        <f t="shared" si="8"/>
        <v>15</v>
      </c>
      <c r="B61">
        <v>288.14999999999998</v>
      </c>
      <c r="C61">
        <v>24.94</v>
      </c>
      <c r="D61">
        <f t="shared" si="9"/>
        <v>-3.6088202806393062</v>
      </c>
      <c r="H61">
        <f t="shared" si="10"/>
        <v>-3.6089825722215485</v>
      </c>
      <c r="I61">
        <f t="shared" si="11"/>
        <v>2.6338557666724325E-8</v>
      </c>
    </row>
    <row r="62" spans="1:9" x14ac:dyDescent="0.35">
      <c r="A62">
        <f t="shared" si="8"/>
        <v>15</v>
      </c>
      <c r="B62">
        <v>288.14999999999998</v>
      </c>
      <c r="C62">
        <v>25.05</v>
      </c>
      <c r="D62">
        <f t="shared" si="9"/>
        <v>-3.6069089995785655</v>
      </c>
      <c r="H62">
        <f t="shared" si="10"/>
        <v>-3.6089825722215485</v>
      </c>
      <c r="I62">
        <f t="shared" si="11"/>
        <v>4.2997035057276022E-6</v>
      </c>
    </row>
    <row r="63" spans="1:9" x14ac:dyDescent="0.35">
      <c r="A63">
        <f t="shared" si="8"/>
        <v>15</v>
      </c>
      <c r="B63">
        <v>288.14999999999998</v>
      </c>
      <c r="C63">
        <v>25.01</v>
      </c>
      <c r="D63">
        <f t="shared" si="9"/>
        <v>-3.6076030380513275</v>
      </c>
      <c r="H63">
        <f t="shared" si="10"/>
        <v>-3.6089825722215485</v>
      </c>
      <c r="I63">
        <f t="shared" si="11"/>
        <v>1.9031145268072438E-6</v>
      </c>
    </row>
    <row r="64" spans="1:9" x14ac:dyDescent="0.35">
      <c r="A64">
        <f t="shared" si="8"/>
        <v>17.5</v>
      </c>
      <c r="B64">
        <v>290.64999999999998</v>
      </c>
      <c r="C64">
        <v>30.92</v>
      </c>
      <c r="D64">
        <f t="shared" si="9"/>
        <v>-3.5154772445355427</v>
      </c>
      <c r="H64">
        <f t="shared" si="10"/>
        <v>-3.5138401648946269</v>
      </c>
      <c r="I64">
        <f t="shared" si="11"/>
        <v>2.680029750700843E-6</v>
      </c>
    </row>
    <row r="65" spans="1:9" x14ac:dyDescent="0.35">
      <c r="A65">
        <f t="shared" si="8"/>
        <v>17.5</v>
      </c>
      <c r="B65">
        <v>290.64999999999998</v>
      </c>
      <c r="C65">
        <v>30.99</v>
      </c>
      <c r="D65">
        <f t="shared" si="9"/>
        <v>-3.5144951535425473</v>
      </c>
      <c r="H65">
        <f t="shared" si="10"/>
        <v>-3.5138401648946269</v>
      </c>
      <c r="I65">
        <f t="shared" si="11"/>
        <v>4.2901012890453017E-7</v>
      </c>
    </row>
    <row r="66" spans="1:9" x14ac:dyDescent="0.35">
      <c r="A66">
        <f t="shared" si="8"/>
        <v>20</v>
      </c>
      <c r="B66">
        <v>293.14999999999998</v>
      </c>
      <c r="C66">
        <v>38.42</v>
      </c>
      <c r="D66">
        <f t="shared" si="9"/>
        <v>-3.4211593692561553</v>
      </c>
      <c r="H66">
        <f t="shared" si="10"/>
        <v>-3.420564083311187</v>
      </c>
      <c r="I66">
        <f t="shared" si="11"/>
        <v>3.5436535627676765E-7</v>
      </c>
    </row>
    <row r="67" spans="1:9" x14ac:dyDescent="0.35">
      <c r="A67">
        <f t="shared" si="8"/>
        <v>20</v>
      </c>
      <c r="B67">
        <v>293.14999999999998</v>
      </c>
      <c r="C67">
        <v>38.479999999999997</v>
      </c>
      <c r="D67">
        <f t="shared" si="9"/>
        <v>-3.4204816664160549</v>
      </c>
      <c r="H67">
        <f t="shared" si="10"/>
        <v>-3.420564083311187</v>
      </c>
      <c r="I67">
        <f t="shared" si="11"/>
        <v>6.7925446032170762E-9</v>
      </c>
    </row>
    <row r="68" spans="1:9" x14ac:dyDescent="0.35">
      <c r="A68">
        <f t="shared" si="8"/>
        <v>20</v>
      </c>
      <c r="B68">
        <v>293.14999999999998</v>
      </c>
      <c r="C68">
        <v>38.49</v>
      </c>
      <c r="D68">
        <f t="shared" si="9"/>
        <v>-3.4203688186872392</v>
      </c>
      <c r="H68">
        <f t="shared" si="10"/>
        <v>-3.420564083311187</v>
      </c>
      <c r="I68">
        <f t="shared" si="11"/>
        <v>3.81282733654799E-8</v>
      </c>
    </row>
    <row r="69" spans="1:9" x14ac:dyDescent="0.35">
      <c r="A69">
        <f t="shared" si="8"/>
        <v>22.5</v>
      </c>
      <c r="B69">
        <v>295.64999999999998</v>
      </c>
      <c r="C69">
        <v>47.35</v>
      </c>
      <c r="D69">
        <f t="shared" si="9"/>
        <v>-3.3303967464425379</v>
      </c>
      <c r="H69">
        <f t="shared" si="10"/>
        <v>-3.3290999457208974</v>
      </c>
      <c r="I69">
        <f t="shared" si="11"/>
        <v>1.6816921116473526E-6</v>
      </c>
    </row>
    <row r="70" spans="1:9" x14ac:dyDescent="0.35">
      <c r="A70">
        <f t="shared" si="8"/>
        <v>22.5</v>
      </c>
      <c r="B70">
        <v>295.64999999999998</v>
      </c>
      <c r="C70">
        <v>47.42</v>
      </c>
      <c r="D70">
        <f t="shared" si="9"/>
        <v>-3.329755180139661</v>
      </c>
      <c r="H70">
        <f t="shared" si="10"/>
        <v>-3.3290999457208974</v>
      </c>
      <c r="I70">
        <f t="shared" si="11"/>
        <v>4.2933214353245162E-7</v>
      </c>
    </row>
    <row r="71" spans="1:9" x14ac:dyDescent="0.35">
      <c r="A71">
        <f t="shared" si="8"/>
        <v>22.5</v>
      </c>
      <c r="B71">
        <v>295.64999999999998</v>
      </c>
      <c r="C71">
        <v>47.44</v>
      </c>
      <c r="D71">
        <f t="shared" si="9"/>
        <v>-3.3295720494256242</v>
      </c>
      <c r="H71">
        <f t="shared" si="10"/>
        <v>-3.3290999457208974</v>
      </c>
      <c r="I71">
        <f t="shared" si="11"/>
        <v>2.2288190801680159E-7</v>
      </c>
    </row>
    <row r="72" spans="1:9" x14ac:dyDescent="0.35">
      <c r="A72">
        <f t="shared" si="8"/>
        <v>25</v>
      </c>
      <c r="B72">
        <v>298.14999999999998</v>
      </c>
      <c r="C72">
        <v>58.77</v>
      </c>
      <c r="D72">
        <f t="shared" si="9"/>
        <v>-3.2365610390674315</v>
      </c>
      <c r="H72">
        <f t="shared" si="10"/>
        <v>-3.2393954628460842</v>
      </c>
      <c r="I72">
        <f t="shared" si="11"/>
        <v>8.03395815699138E-6</v>
      </c>
    </row>
    <row r="73" spans="1:9" x14ac:dyDescent="0.35">
      <c r="A73">
        <f t="shared" si="8"/>
        <v>25</v>
      </c>
      <c r="B73">
        <v>298.14999999999998</v>
      </c>
      <c r="C73">
        <v>58.61</v>
      </c>
      <c r="D73">
        <f t="shared" si="9"/>
        <v>-3.2377450084002115</v>
      </c>
      <c r="H73">
        <f t="shared" si="10"/>
        <v>-3.2393954628460842</v>
      </c>
      <c r="I73">
        <f t="shared" si="11"/>
        <v>2.7239998779007632E-6</v>
      </c>
    </row>
    <row r="74" spans="1:9" x14ac:dyDescent="0.35">
      <c r="A74">
        <f t="shared" si="8"/>
        <v>25</v>
      </c>
      <c r="B74">
        <v>298.14999999999998</v>
      </c>
      <c r="C74">
        <v>58.59</v>
      </c>
      <c r="D74">
        <f t="shared" si="9"/>
        <v>-3.2378932317743132</v>
      </c>
      <c r="H74">
        <f t="shared" si="10"/>
        <v>-3.2393954628460842</v>
      </c>
      <c r="I74">
        <f t="shared" si="11"/>
        <v>2.2566981929940763E-6</v>
      </c>
    </row>
    <row r="75" spans="1:9" x14ac:dyDescent="0.35">
      <c r="A75">
        <f t="shared" si="8"/>
        <v>27.5</v>
      </c>
      <c r="B75">
        <v>300.64999999999998</v>
      </c>
      <c r="C75">
        <v>71.239999999999995</v>
      </c>
      <c r="D75">
        <f t="shared" si="9"/>
        <v>-3.1529928189906244</v>
      </c>
      <c r="H75">
        <f t="shared" si="10"/>
        <v>-3.1514003381992746</v>
      </c>
      <c r="I75">
        <f t="shared" si="11"/>
        <v>2.5359950708183457E-6</v>
      </c>
    </row>
    <row r="76" spans="1:9" x14ac:dyDescent="0.35">
      <c r="A76">
        <f t="shared" si="8"/>
        <v>27.5</v>
      </c>
      <c r="B76">
        <v>300.64999999999998</v>
      </c>
      <c r="C76">
        <v>71.25</v>
      </c>
      <c r="D76">
        <f t="shared" si="9"/>
        <v>-3.1529318611012824</v>
      </c>
      <c r="H76">
        <f t="shared" si="10"/>
        <v>-3.1514003381992746</v>
      </c>
      <c r="I76">
        <f t="shared" si="11"/>
        <v>2.3455623993745915E-6</v>
      </c>
    </row>
    <row r="77" spans="1:9" x14ac:dyDescent="0.35">
      <c r="A77">
        <f t="shared" si="8"/>
        <v>27.5</v>
      </c>
      <c r="B77">
        <v>300.64999999999998</v>
      </c>
      <c r="C77">
        <v>71.430000000000007</v>
      </c>
      <c r="D77">
        <f t="shared" si="9"/>
        <v>-3.1518360796572877</v>
      </c>
      <c r="H77">
        <f t="shared" si="10"/>
        <v>-3.1514003381992746</v>
      </c>
      <c r="I77">
        <f t="shared" si="11"/>
        <v>1.898706182314453E-7</v>
      </c>
    </row>
    <row r="78" spans="1:9" x14ac:dyDescent="0.35">
      <c r="A78">
        <f t="shared" si="8"/>
        <v>30</v>
      </c>
      <c r="B78">
        <v>303.14999999999998</v>
      </c>
      <c r="C78">
        <v>87.25</v>
      </c>
      <c r="D78">
        <f t="shared" si="9"/>
        <v>-3.0649512941506125</v>
      </c>
      <c r="H78">
        <f t="shared" si="10"/>
        <v>-3.0650661740454241</v>
      </c>
      <c r="I78">
        <f t="shared" si="11"/>
        <v>1.3197390231930221E-8</v>
      </c>
    </row>
    <row r="79" spans="1:9" x14ac:dyDescent="0.35">
      <c r="A79">
        <f t="shared" si="8"/>
        <v>30</v>
      </c>
      <c r="B79">
        <v>303.14999999999998</v>
      </c>
      <c r="C79">
        <v>87.36</v>
      </c>
      <c r="D79">
        <f t="shared" si="9"/>
        <v>-3.0644041044211683</v>
      </c>
      <c r="H79">
        <f t="shared" si="10"/>
        <v>-3.0650661740454241</v>
      </c>
      <c r="I79">
        <f t="shared" si="11"/>
        <v>4.3833618736229111E-7</v>
      </c>
    </row>
    <row r="80" spans="1:9" x14ac:dyDescent="0.35">
      <c r="A80">
        <f t="shared" si="8"/>
        <v>30.010000000000048</v>
      </c>
      <c r="B80">
        <v>303.16000000000003</v>
      </c>
      <c r="C80">
        <v>87.22</v>
      </c>
      <c r="D80">
        <f t="shared" si="9"/>
        <v>-3.0651006474444227</v>
      </c>
      <c r="H80">
        <f t="shared" si="10"/>
        <v>-3.0647241095198963</v>
      </c>
      <c r="I80">
        <f t="shared" si="11"/>
        <v>1.4178080860665644E-7</v>
      </c>
    </row>
    <row r="81" spans="8:9" x14ac:dyDescent="0.35">
      <c r="H81" t="s">
        <v>21</v>
      </c>
      <c r="I81">
        <f>SUM(I58:I80)</f>
        <v>3.1704321520422259E-5</v>
      </c>
    </row>
    <row r="82" spans="8:9" x14ac:dyDescent="0.35">
      <c r="H82" t="s">
        <v>666</v>
      </c>
      <c r="I82">
        <f>SQRT(SUM(I58:I80)/(COUNT(I58:I80)-1))</f>
        <v>1.200460546480207E-3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3" sqref="D3"/>
    </sheetView>
  </sheetViews>
  <sheetFormatPr defaultRowHeight="14.5" x14ac:dyDescent="0.35"/>
  <sheetData>
    <row r="1" spans="1:5" x14ac:dyDescent="0.35">
      <c r="A1" t="s">
        <v>22</v>
      </c>
      <c r="B1" t="s">
        <v>627</v>
      </c>
      <c r="C1" t="s">
        <v>672</v>
      </c>
      <c r="D1" t="s">
        <v>15</v>
      </c>
      <c r="E1" t="s">
        <v>672</v>
      </c>
    </row>
    <row r="2" spans="1:5" x14ac:dyDescent="0.35">
      <c r="A2" t="s">
        <v>287</v>
      </c>
      <c r="B2">
        <v>13.44</v>
      </c>
      <c r="C2">
        <v>4851.3999999999996</v>
      </c>
      <c r="D2">
        <f>(B2+LOG10(0.00000986923))</f>
        <v>8.4342832702181703</v>
      </c>
      <c r="E2">
        <f>C2</f>
        <v>4851.3999999999996</v>
      </c>
    </row>
    <row r="3" spans="1:5" x14ac:dyDescent="0.35">
      <c r="A3" t="s">
        <v>290</v>
      </c>
      <c r="B3">
        <v>12.175000000000001</v>
      </c>
      <c r="C3">
        <v>4420.7</v>
      </c>
      <c r="D3">
        <f>(B3+LOG10(0.00000986923))</f>
        <v>7.1692832702181706</v>
      </c>
      <c r="E3">
        <f>C3</f>
        <v>4420.7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7"/>
  <sheetViews>
    <sheetView workbookViewId="0">
      <selection activeCell="L4" sqref="L4"/>
    </sheetView>
  </sheetViews>
  <sheetFormatPr defaultRowHeight="14.5" x14ac:dyDescent="0.35"/>
  <sheetData>
    <row r="1" spans="1:9" x14ac:dyDescent="0.35">
      <c r="A1" t="s">
        <v>624</v>
      </c>
      <c r="B1" t="s">
        <v>49</v>
      </c>
      <c r="C1">
        <v>-25</v>
      </c>
    </row>
    <row r="2" spans="1:9" x14ac:dyDescent="0.35">
      <c r="A2" t="s">
        <v>33</v>
      </c>
      <c r="B2" t="s">
        <v>30</v>
      </c>
      <c r="C2" t="s">
        <v>36</v>
      </c>
      <c r="D2" t="s">
        <v>20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5">
      <c r="A3">
        <f>B3-273.15</f>
        <v>25</v>
      </c>
      <c r="B3">
        <v>298.14999999999998</v>
      </c>
      <c r="C3">
        <v>0.15</v>
      </c>
      <c r="D3">
        <f>LOG10(C3*0.00000986923)</f>
        <v>-5.8296254707261488</v>
      </c>
      <c r="E3">
        <v>6.4784290395462305</v>
      </c>
      <c r="F3">
        <v>3051.7838904598611</v>
      </c>
      <c r="G3">
        <v>-50.72746856580023</v>
      </c>
      <c r="H3">
        <f t="shared" ref="H3:H25" si="0">$E$3-($F$3/(B3+$G$3))</f>
        <v>-5.8558716111261644</v>
      </c>
      <c r="I3">
        <f>(H3-D3)^2</f>
        <v>6.888598858973313E-4</v>
      </c>
    </row>
    <row r="4" spans="1:9" x14ac:dyDescent="0.35">
      <c r="A4">
        <f t="shared" ref="A4:A25" si="1">B4-273.15</f>
        <v>30</v>
      </c>
      <c r="B4">
        <v>303.14999999999998</v>
      </c>
      <c r="C4">
        <v>0.26</v>
      </c>
      <c r="D4">
        <f t="shared" ref="D4:D25" si="2">LOG10(C4*0.00000986923)</f>
        <v>-5.5907433818110119</v>
      </c>
      <c r="H4">
        <f t="shared" si="0"/>
        <v>-5.6115530754433136</v>
      </c>
      <c r="I4">
        <f t="shared" ref="I4:I25" si="3">(H4-D4)^2</f>
        <v>4.3304334907025684E-4</v>
      </c>
    </row>
    <row r="5" spans="1:9" x14ac:dyDescent="0.35">
      <c r="A5">
        <f t="shared" si="1"/>
        <v>40</v>
      </c>
      <c r="B5">
        <v>313.14999999999998</v>
      </c>
      <c r="C5">
        <v>0.72</v>
      </c>
      <c r="D5">
        <f t="shared" si="2"/>
        <v>-5.1483842333505621</v>
      </c>
      <c r="H5">
        <f t="shared" si="0"/>
        <v>-5.1508463652033436</v>
      </c>
      <c r="I5">
        <f t="shared" si="3"/>
        <v>6.0620932604814887E-6</v>
      </c>
    </row>
    <row r="6" spans="1:9" x14ac:dyDescent="0.35">
      <c r="A6">
        <f t="shared" si="1"/>
        <v>50</v>
      </c>
      <c r="B6">
        <v>323.14999999999998</v>
      </c>
      <c r="C6">
        <v>1.87</v>
      </c>
      <c r="D6">
        <f t="shared" si="2"/>
        <v>-4.7338751232453316</v>
      </c>
      <c r="H6">
        <f t="shared" si="0"/>
        <v>-4.7239626069647747</v>
      </c>
      <c r="I6">
        <f t="shared" si="3"/>
        <v>9.8257979012305474E-5</v>
      </c>
    </row>
    <row r="7" spans="1:9" x14ac:dyDescent="0.35">
      <c r="A7">
        <f t="shared" si="1"/>
        <v>60</v>
      </c>
      <c r="B7">
        <v>333.15</v>
      </c>
      <c r="C7">
        <v>4.5599999999999996</v>
      </c>
      <c r="D7">
        <f t="shared" si="2"/>
        <v>-4.3467518871173949</v>
      </c>
      <c r="H7">
        <f t="shared" si="0"/>
        <v>-4.327308997579471</v>
      </c>
      <c r="I7">
        <f t="shared" si="3"/>
        <v>3.7802595358391245E-4</v>
      </c>
    </row>
    <row r="8" spans="1:9" x14ac:dyDescent="0.35">
      <c r="A8">
        <f t="shared" si="1"/>
        <v>70</v>
      </c>
      <c r="B8">
        <v>343.15</v>
      </c>
      <c r="C8">
        <v>10.54</v>
      </c>
      <c r="D8">
        <f t="shared" si="2"/>
        <v>-3.9828761189053026</v>
      </c>
      <c r="H8">
        <f t="shared" si="0"/>
        <v>-3.9577841875681328</v>
      </c>
      <c r="I8">
        <f t="shared" si="3"/>
        <v>6.2960501822924406E-4</v>
      </c>
    </row>
    <row r="9" spans="1:9" x14ac:dyDescent="0.35">
      <c r="A9">
        <f t="shared" si="1"/>
        <v>80</v>
      </c>
      <c r="B9">
        <v>353.15</v>
      </c>
      <c r="C9">
        <v>23.26</v>
      </c>
      <c r="D9">
        <f t="shared" si="2"/>
        <v>-3.6391070193894004</v>
      </c>
      <c r="H9">
        <f t="shared" si="0"/>
        <v>-3.6126970283005351</v>
      </c>
      <c r="I9">
        <f t="shared" si="3"/>
        <v>6.974876293139459E-4</v>
      </c>
    </row>
    <row r="10" spans="1:9" x14ac:dyDescent="0.35">
      <c r="A10">
        <f t="shared" si="1"/>
        <v>90</v>
      </c>
      <c r="B10">
        <v>363.15</v>
      </c>
      <c r="C10">
        <v>49.09</v>
      </c>
      <c r="D10">
        <f t="shared" si="2"/>
        <v>-3.3147236976819605</v>
      </c>
      <c r="H10">
        <f t="shared" si="0"/>
        <v>-3.2897009235854666</v>
      </c>
      <c r="I10">
        <f t="shared" si="3"/>
        <v>6.261392234841658E-4</v>
      </c>
    </row>
    <row r="11" spans="1:9" x14ac:dyDescent="0.35">
      <c r="A11">
        <f t="shared" si="1"/>
        <v>100</v>
      </c>
      <c r="B11">
        <v>373.15</v>
      </c>
      <c r="C11">
        <v>99.47</v>
      </c>
      <c r="D11">
        <f t="shared" si="2"/>
        <v>-3.0080246118401037</v>
      </c>
      <c r="H11">
        <f t="shared" si="0"/>
        <v>-2.9867403978529401</v>
      </c>
      <c r="I11">
        <f t="shared" si="3"/>
        <v>4.530177650513717E-4</v>
      </c>
    </row>
    <row r="12" spans="1:9" x14ac:dyDescent="0.35">
      <c r="A12">
        <f t="shared" si="1"/>
        <v>110</v>
      </c>
      <c r="B12">
        <v>383.15</v>
      </c>
      <c r="C12">
        <v>194.16</v>
      </c>
      <c r="D12">
        <f t="shared" si="2"/>
        <v>-2.717556966457952</v>
      </c>
      <c r="H12">
        <f t="shared" si="0"/>
        <v>-2.7020073084151468</v>
      </c>
      <c r="I12">
        <f t="shared" si="3"/>
        <v>2.4179186524817551E-4</v>
      </c>
    </row>
    <row r="13" spans="1:9" x14ac:dyDescent="0.35">
      <c r="A13">
        <f t="shared" si="1"/>
        <v>120</v>
      </c>
      <c r="B13">
        <v>393.15</v>
      </c>
      <c r="C13">
        <v>366.01</v>
      </c>
      <c r="D13">
        <f t="shared" si="2"/>
        <v>-2.4422237785800691</v>
      </c>
      <c r="H13">
        <f t="shared" si="0"/>
        <v>-2.4339047303076233</v>
      </c>
      <c r="I13">
        <f t="shared" si="3"/>
        <v>6.9206564159283174E-5</v>
      </c>
    </row>
    <row r="14" spans="1:9" x14ac:dyDescent="0.35">
      <c r="A14">
        <f t="shared" si="1"/>
        <v>130</v>
      </c>
      <c r="B14">
        <v>403.15</v>
      </c>
      <c r="C14">
        <v>667.87</v>
      </c>
      <c r="D14">
        <f t="shared" si="2"/>
        <v>-2.1810247939186431</v>
      </c>
      <c r="H14">
        <f t="shared" si="0"/>
        <v>-2.1810169897427754</v>
      </c>
      <c r="I14">
        <f t="shared" si="3"/>
        <v>6.0905160975004648E-11</v>
      </c>
    </row>
    <row r="15" spans="1:9" x14ac:dyDescent="0.35">
      <c r="A15">
        <f t="shared" si="1"/>
        <v>140</v>
      </c>
      <c r="B15">
        <v>413.15</v>
      </c>
      <c r="C15">
        <v>1181.97</v>
      </c>
      <c r="D15">
        <f t="shared" si="2"/>
        <v>-1.9331102760790644</v>
      </c>
      <c r="H15">
        <f t="shared" si="0"/>
        <v>-1.942084658603723</v>
      </c>
      <c r="I15">
        <f t="shared" si="3"/>
        <v>8.053954169889861E-5</v>
      </c>
    </row>
    <row r="16" spans="1:9" x14ac:dyDescent="0.35">
      <c r="A16">
        <f t="shared" si="1"/>
        <v>150</v>
      </c>
      <c r="B16">
        <v>423.15</v>
      </c>
      <c r="C16">
        <v>2031.85</v>
      </c>
      <c r="D16">
        <f t="shared" si="2"/>
        <v>-1.6978250864931963</v>
      </c>
      <c r="H16">
        <f t="shared" si="0"/>
        <v>-1.7159835775084806</v>
      </c>
      <c r="I16">
        <f t="shared" si="3"/>
        <v>3.2973079595216169E-4</v>
      </c>
    </row>
    <row r="17" spans="1:9" x14ac:dyDescent="0.35">
      <c r="A17">
        <f t="shared" si="1"/>
        <v>160</v>
      </c>
      <c r="B17">
        <v>433.15</v>
      </c>
      <c r="C17">
        <v>3396.37</v>
      </c>
      <c r="D17">
        <f t="shared" si="2"/>
        <v>-1.4747017336618375</v>
      </c>
      <c r="H17">
        <f t="shared" si="0"/>
        <v>-1.5017071700404578</v>
      </c>
      <c r="I17">
        <f t="shared" si="3"/>
        <v>7.2929359399970847E-4</v>
      </c>
    </row>
    <row r="18" spans="1:9" x14ac:dyDescent="0.35">
      <c r="A18">
        <f t="shared" si="1"/>
        <v>170</v>
      </c>
      <c r="B18">
        <v>443.15</v>
      </c>
      <c r="C18">
        <v>5523.45</v>
      </c>
      <c r="D18">
        <f t="shared" si="2"/>
        <v>-1.2635063027892564</v>
      </c>
      <c r="H18">
        <f t="shared" si="0"/>
        <v>-1.2983514610697879</v>
      </c>
      <c r="I18">
        <f t="shared" si="3"/>
        <v>1.214185055595299E-3</v>
      </c>
    </row>
    <row r="19" spans="1:9" x14ac:dyDescent="0.35">
      <c r="A19">
        <f t="shared" si="1"/>
        <v>180</v>
      </c>
      <c r="B19">
        <v>453.15</v>
      </c>
      <c r="C19">
        <v>8738.23</v>
      </c>
      <c r="D19">
        <f t="shared" si="2"/>
        <v>-1.0642932581406852</v>
      </c>
      <c r="H19">
        <f t="shared" si="0"/>
        <v>-1.105102328798286</v>
      </c>
      <c r="I19">
        <f t="shared" si="3"/>
        <v>1.6653802479370508E-3</v>
      </c>
    </row>
    <row r="20" spans="1:9" x14ac:dyDescent="0.35">
      <c r="A20">
        <f t="shared" si="1"/>
        <v>190</v>
      </c>
      <c r="B20">
        <v>463.15</v>
      </c>
      <c r="C20">
        <v>13433.93</v>
      </c>
      <c r="D20">
        <f t="shared" si="2"/>
        <v>-0.87751364878572891</v>
      </c>
      <c r="H20">
        <f t="shared" si="0"/>
        <v>-0.92122461140072343</v>
      </c>
      <c r="I20">
        <f t="shared" si="3"/>
        <v>1.9106482527294485E-3</v>
      </c>
    </row>
    <row r="21" spans="1:9" x14ac:dyDescent="0.35">
      <c r="A21">
        <f t="shared" si="1"/>
        <v>200</v>
      </c>
      <c r="B21">
        <v>473.15</v>
      </c>
      <c r="C21">
        <v>20021.8</v>
      </c>
      <c r="D21">
        <f t="shared" si="2"/>
        <v>-0.70421361093788992</v>
      </c>
      <c r="H21">
        <f t="shared" si="0"/>
        <v>-0.74605276093565021</v>
      </c>
      <c r="I21">
        <f t="shared" si="3"/>
        <v>1.7505144725350843E-3</v>
      </c>
    </row>
    <row r="22" spans="1:9" x14ac:dyDescent="0.35">
      <c r="A22">
        <f t="shared" si="1"/>
        <v>210</v>
      </c>
      <c r="B22">
        <v>483.15</v>
      </c>
      <c r="C22">
        <v>28790.92</v>
      </c>
      <c r="D22">
        <f t="shared" si="2"/>
        <v>-0.54646118701074531</v>
      </c>
      <c r="H22">
        <f t="shared" si="0"/>
        <v>-0.57898279405578545</v>
      </c>
      <c r="I22">
        <f t="shared" si="3"/>
        <v>1.0576549247920048E-3</v>
      </c>
    </row>
    <row r="23" spans="1:9" x14ac:dyDescent="0.35">
      <c r="A23">
        <f t="shared" si="1"/>
        <v>220</v>
      </c>
      <c r="B23">
        <v>493.15</v>
      </c>
      <c r="C23">
        <v>39568.92</v>
      </c>
      <c r="D23">
        <f t="shared" si="2"/>
        <v>-0.40836253305235526</v>
      </c>
      <c r="H23">
        <f t="shared" si="0"/>
        <v>-0.41946533433862321</v>
      </c>
      <c r="I23">
        <f t="shared" si="3"/>
        <v>1.2327219640235324E-4</v>
      </c>
    </row>
    <row r="24" spans="1:9" x14ac:dyDescent="0.35">
      <c r="A24">
        <f t="shared" si="1"/>
        <v>230</v>
      </c>
      <c r="B24">
        <v>503.15</v>
      </c>
      <c r="C24">
        <v>50889.02</v>
      </c>
      <c r="D24">
        <f t="shared" si="2"/>
        <v>-0.29909264229407967</v>
      </c>
      <c r="H24">
        <f t="shared" si="0"/>
        <v>-0.26699957733889512</v>
      </c>
      <c r="I24">
        <f t="shared" si="3"/>
        <v>1.0299648182176945E-3</v>
      </c>
    </row>
    <row r="25" spans="1:9" x14ac:dyDescent="0.35">
      <c r="A25">
        <f t="shared" si="1"/>
        <v>240</v>
      </c>
      <c r="B25">
        <v>513.15</v>
      </c>
      <c r="C25">
        <v>57443.06</v>
      </c>
      <c r="D25">
        <f t="shared" si="2"/>
        <v>-0.24647916300236422</v>
      </c>
      <c r="H25">
        <f t="shared" si="0"/>
        <v>-0.12112803868431765</v>
      </c>
      <c r="I25">
        <f t="shared" si="3"/>
        <v>1.5712904367798364E-2</v>
      </c>
    </row>
    <row r="26" spans="1:9" x14ac:dyDescent="0.35">
      <c r="H26" t="s">
        <v>21</v>
      </c>
      <c r="I26">
        <f>SUM(I3:I25)</f>
        <v>2.9925585654873701E-2</v>
      </c>
    </row>
    <row r="27" spans="1:9" x14ac:dyDescent="0.35">
      <c r="H27" t="s">
        <v>666</v>
      </c>
      <c r="I27">
        <f>SQRT(SUM(I3:I25)/(COUNT(I3:I25)-1))</f>
        <v>3.6881619994291875E-2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"/>
  <sheetViews>
    <sheetView workbookViewId="0">
      <selection activeCell="C2" sqref="C2"/>
    </sheetView>
  </sheetViews>
  <sheetFormatPr defaultRowHeight="14.5" x14ac:dyDescent="0.35"/>
  <sheetData>
    <row r="1" spans="1:5" x14ac:dyDescent="0.35">
      <c r="A1" t="s">
        <v>22</v>
      </c>
      <c r="B1" t="s">
        <v>14</v>
      </c>
      <c r="C1" t="s">
        <v>672</v>
      </c>
      <c r="D1" t="s">
        <v>15</v>
      </c>
      <c r="E1" t="s">
        <v>672</v>
      </c>
    </row>
    <row r="2" spans="1:5" x14ac:dyDescent="0.35">
      <c r="A2" t="s">
        <v>27</v>
      </c>
      <c r="B2">
        <v>39.6</v>
      </c>
      <c r="C2">
        <v>15459</v>
      </c>
      <c r="D2">
        <f t="shared" ref="D2:D3" si="0">(B2+LN(0.00000986923))/LN(10)</f>
        <v>12.192344753586941</v>
      </c>
      <c r="E2">
        <f>C2/LN(10)</f>
        <v>6713.7583957423694</v>
      </c>
    </row>
    <row r="3" spans="1:5" x14ac:dyDescent="0.35">
      <c r="A3" t="s">
        <v>35</v>
      </c>
      <c r="B3">
        <v>34.9</v>
      </c>
      <c r="C3">
        <v>12058</v>
      </c>
      <c r="D3">
        <f t="shared" si="0"/>
        <v>10.151160688641657</v>
      </c>
      <c r="E3">
        <f t="shared" ref="E3" si="1">C3/LN(10)</f>
        <v>5236.7228627894101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"/>
  <sheetViews>
    <sheetView workbookViewId="0">
      <selection activeCell="H2" sqref="H2"/>
    </sheetView>
  </sheetViews>
  <sheetFormatPr defaultRowHeight="14.5" x14ac:dyDescent="0.35"/>
  <sheetData>
    <row r="1" spans="1:7" x14ac:dyDescent="0.35">
      <c r="A1" t="s">
        <v>22</v>
      </c>
      <c r="B1" t="s">
        <v>14</v>
      </c>
      <c r="C1" t="s">
        <v>672</v>
      </c>
      <c r="D1" t="s">
        <v>15</v>
      </c>
      <c r="E1" t="s">
        <v>672</v>
      </c>
      <c r="F1" t="s">
        <v>647</v>
      </c>
      <c r="G1" t="s">
        <v>648</v>
      </c>
    </row>
    <row r="2" spans="1:7" x14ac:dyDescent="0.35">
      <c r="A2" t="s">
        <v>27</v>
      </c>
      <c r="B2">
        <v>39.159999999999997</v>
      </c>
      <c r="C2">
        <v>15860</v>
      </c>
      <c r="D2">
        <f>(B2+LN(0.00000986923))/LN(10)</f>
        <v>12.001255181549508</v>
      </c>
      <c r="E2">
        <f>C2/LN(10)</f>
        <v>6887.9104829855733</v>
      </c>
      <c r="F2">
        <v>100</v>
      </c>
      <c r="G2">
        <v>140</v>
      </c>
    </row>
    <row r="3" spans="1:7" x14ac:dyDescent="0.35">
      <c r="A3" t="s">
        <v>35</v>
      </c>
      <c r="B3">
        <v>30.8</v>
      </c>
      <c r="C3">
        <v>11687</v>
      </c>
      <c r="D3">
        <f>(B3+LN(0.00000986923))/LN(10)</f>
        <v>8.3705533128383269</v>
      </c>
      <c r="E3">
        <f t="shared" ref="E3" si="0">C3/LN(10)</f>
        <v>5075.5996100033035</v>
      </c>
      <c r="F3">
        <v>55</v>
      </c>
      <c r="G3">
        <v>80</v>
      </c>
    </row>
    <row r="4" spans="1:7" x14ac:dyDescent="0.35">
      <c r="A4" t="s">
        <v>446</v>
      </c>
      <c r="B4">
        <v>44.95</v>
      </c>
      <c r="C4">
        <v>17190</v>
      </c>
      <c r="D4">
        <f t="shared" ref="D4" si="1">(B4+LN(0.00000986923))/LN(10)</f>
        <v>14.515820231769339</v>
      </c>
      <c r="E4">
        <f t="shared" ref="E4" si="2">C4/LN(10)</f>
        <v>7465.5221439168981</v>
      </c>
      <c r="F4">
        <v>110</v>
      </c>
      <c r="G4">
        <v>135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1"/>
  <sheetViews>
    <sheetView workbookViewId="0">
      <selection activeCell="H35" sqref="H35:I35"/>
    </sheetView>
  </sheetViews>
  <sheetFormatPr defaultRowHeight="14.5" x14ac:dyDescent="0.35"/>
  <sheetData>
    <row r="1" spans="1:9" x14ac:dyDescent="0.35">
      <c r="A1" t="s">
        <v>480</v>
      </c>
      <c r="B1" t="s">
        <v>49</v>
      </c>
      <c r="C1">
        <v>95</v>
      </c>
    </row>
    <row r="2" spans="1:9" x14ac:dyDescent="0.35">
      <c r="A2" t="s">
        <v>33</v>
      </c>
      <c r="B2" t="s">
        <v>30</v>
      </c>
      <c r="C2" t="s">
        <v>649</v>
      </c>
      <c r="D2" t="s">
        <v>20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5">
      <c r="A3">
        <v>75</v>
      </c>
      <c r="B3">
        <f>A3+273.15</f>
        <v>348.15</v>
      </c>
      <c r="C3">
        <v>3.5</v>
      </c>
      <c r="D3">
        <f>LOG10(C3*0.00131579)</f>
        <v>-2.3367453742127577</v>
      </c>
      <c r="E3">
        <v>12.089578461734733</v>
      </c>
      <c r="F3">
        <v>5025.216444168982</v>
      </c>
      <c r="G3">
        <v>0</v>
      </c>
      <c r="H3">
        <f>$E$3-($F$3/(B3+$G$3))</f>
        <v>-2.3444771010082857</v>
      </c>
      <c r="I3">
        <f>(H3-D3)^2</f>
        <v>5.9779599240684368E-5</v>
      </c>
    </row>
    <row r="4" spans="1:9" x14ac:dyDescent="0.35">
      <c r="A4">
        <v>80</v>
      </c>
      <c r="B4">
        <f t="shared" ref="B4:B9" si="0">A4+273.15</f>
        <v>353.15</v>
      </c>
      <c r="C4">
        <v>5</v>
      </c>
      <c r="D4">
        <f t="shared" ref="D4:D9" si="1">LOG10(C4*0.00131579)</f>
        <v>-2.1818434142270147</v>
      </c>
      <c r="H4">
        <f t="shared" ref="H4:H9" si="2">$E$3-($F$3/(B4+$G$3))</f>
        <v>-2.1401155611138645</v>
      </c>
      <c r="I4">
        <f t="shared" ref="I4:I9" si="3">(H4-D4)^2</f>
        <v>1.7412137254326381E-3</v>
      </c>
    </row>
    <row r="5" spans="1:9" x14ac:dyDescent="0.35">
      <c r="A5">
        <v>80</v>
      </c>
      <c r="B5">
        <f t="shared" si="0"/>
        <v>353.15</v>
      </c>
      <c r="C5">
        <v>6</v>
      </c>
      <c r="D5">
        <f t="shared" si="1"/>
        <v>-2.1026621681793896</v>
      </c>
      <c r="H5">
        <f>$E$3-($F$3/(B5+$G$3))</f>
        <v>-2.1401155611138645</v>
      </c>
      <c r="I5">
        <f t="shared" si="3"/>
        <v>1.4027566423041756E-3</v>
      </c>
    </row>
    <row r="6" spans="1:9" x14ac:dyDescent="0.35">
      <c r="A6">
        <v>85</v>
      </c>
      <c r="B6">
        <f t="shared" si="0"/>
        <v>358.15</v>
      </c>
      <c r="C6">
        <v>8.5</v>
      </c>
      <c r="D6">
        <f t="shared" si="1"/>
        <v>-1.9513944928487406</v>
      </c>
      <c r="H6">
        <f t="shared" si="2"/>
        <v>-1.9414600533259456</v>
      </c>
      <c r="I6">
        <f t="shared" si="3"/>
        <v>9.8693088632070066E-5</v>
      </c>
    </row>
    <row r="7" spans="1:9" x14ac:dyDescent="0.35">
      <c r="A7">
        <v>90</v>
      </c>
      <c r="B7">
        <f t="shared" si="0"/>
        <v>363.15</v>
      </c>
      <c r="C7">
        <v>11.5</v>
      </c>
      <c r="D7">
        <f t="shared" si="1"/>
        <v>-1.8201155782094216</v>
      </c>
      <c r="H7">
        <f t="shared" si="2"/>
        <v>-1.7482748885860211</v>
      </c>
      <c r="I7">
        <f t="shared" si="3"/>
        <v>5.1610846855657654E-3</v>
      </c>
    </row>
    <row r="8" spans="1:9" x14ac:dyDescent="0.35">
      <c r="A8">
        <v>90</v>
      </c>
      <c r="B8">
        <f t="shared" si="0"/>
        <v>363.15</v>
      </c>
      <c r="C8">
        <v>16</v>
      </c>
      <c r="D8">
        <f t="shared" si="1"/>
        <v>-1.6766934359071086</v>
      </c>
      <c r="H8">
        <f t="shared" si="2"/>
        <v>-1.7482748885860211</v>
      </c>
      <c r="I8">
        <f t="shared" si="3"/>
        <v>5.1239043676233852E-3</v>
      </c>
    </row>
    <row r="9" spans="1:9" x14ac:dyDescent="0.35">
      <c r="A9">
        <v>94</v>
      </c>
      <c r="B9">
        <f t="shared" si="0"/>
        <v>367.15</v>
      </c>
      <c r="C9">
        <v>19.5</v>
      </c>
      <c r="D9">
        <f t="shared" si="1"/>
        <v>-1.5907788072005153</v>
      </c>
      <c r="H9">
        <f t="shared" si="2"/>
        <v>-1.5975152170586266</v>
      </c>
      <c r="I9">
        <f t="shared" si="3"/>
        <v>4.5379217776459145E-5</v>
      </c>
    </row>
    <row r="10" spans="1:9" x14ac:dyDescent="0.35">
      <c r="H10" t="s">
        <v>21</v>
      </c>
      <c r="I10">
        <f>SUM(I3:I9)</f>
        <v>1.3632811326575178E-2</v>
      </c>
    </row>
    <row r="11" spans="1:9" x14ac:dyDescent="0.35">
      <c r="H11" t="s">
        <v>666</v>
      </c>
      <c r="I11">
        <f>SQRT(SUM(I3:I9)/(COUNT(I3:I9)-1))</f>
        <v>4.7666919567933723E-2</v>
      </c>
    </row>
    <row r="12" spans="1:9" x14ac:dyDescent="0.35">
      <c r="A12" t="s">
        <v>480</v>
      </c>
      <c r="B12" t="s">
        <v>49</v>
      </c>
      <c r="C12">
        <v>95</v>
      </c>
    </row>
    <row r="13" spans="1:9" x14ac:dyDescent="0.35">
      <c r="A13" t="s">
        <v>33</v>
      </c>
      <c r="B13" t="s">
        <v>30</v>
      </c>
      <c r="C13" t="s">
        <v>649</v>
      </c>
      <c r="D13" t="s">
        <v>20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</row>
    <row r="14" spans="1:9" x14ac:dyDescent="0.35">
      <c r="A14">
        <v>98.5</v>
      </c>
      <c r="B14">
        <f>A14+273.15</f>
        <v>371.65</v>
      </c>
      <c r="C14">
        <v>24.5</v>
      </c>
      <c r="D14">
        <f>LOG10(C14*0.00131579)</f>
        <v>-1.4916473341985008</v>
      </c>
      <c r="E14">
        <v>6.2544413227040172</v>
      </c>
      <c r="F14">
        <v>2875.8779836917811</v>
      </c>
      <c r="G14">
        <v>0</v>
      </c>
      <c r="H14">
        <f>$E$14-($F$14/(B14+$G$14))</f>
        <v>-1.4836939758074355</v>
      </c>
      <c r="I14">
        <f>(H14-D14)^2</f>
        <v>6.3255909696729908E-5</v>
      </c>
    </row>
    <row r="15" spans="1:9" x14ac:dyDescent="0.35">
      <c r="A15">
        <v>99</v>
      </c>
      <c r="B15">
        <f t="shared" ref="B15:B33" si="4">A15+273.15</f>
        <v>372.15</v>
      </c>
      <c r="C15">
        <v>27.5</v>
      </c>
      <c r="D15">
        <f t="shared" ref="D15:D33" si="5">LOG10(C15*0.00131579)</f>
        <v>-1.4414807247327708</v>
      </c>
      <c r="H15">
        <f t="shared" ref="H15:H33" si="6">$E$14-($F$14/(B15+$G$14))</f>
        <v>-1.4732974484683092</v>
      </c>
      <c r="I15">
        <f t="shared" ref="I15:I33" si="7">(H15-D15)^2</f>
        <v>1.0123039092635761E-3</v>
      </c>
    </row>
    <row r="16" spans="1:9" x14ac:dyDescent="0.35">
      <c r="A16">
        <v>100.5</v>
      </c>
      <c r="B16">
        <f t="shared" si="4"/>
        <v>373.65</v>
      </c>
      <c r="C16">
        <v>29.5</v>
      </c>
      <c r="D16">
        <f t="shared" si="5"/>
        <v>-1.4109914025848702</v>
      </c>
      <c r="H16">
        <f t="shared" si="6"/>
        <v>-1.4422748118919451</v>
      </c>
      <c r="I16">
        <f t="shared" si="7"/>
        <v>9.7865169787397723E-4</v>
      </c>
    </row>
    <row r="17" spans="1:9" x14ac:dyDescent="0.35">
      <c r="A17">
        <v>105.5</v>
      </c>
      <c r="B17">
        <f t="shared" si="4"/>
        <v>378.65</v>
      </c>
      <c r="C17">
        <v>36</v>
      </c>
      <c r="D17">
        <f t="shared" si="5"/>
        <v>-1.3245109177957459</v>
      </c>
      <c r="H17">
        <f t="shared" si="6"/>
        <v>-1.3406411642675433</v>
      </c>
      <c r="I17">
        <f t="shared" si="7"/>
        <v>2.6018485124093229E-4</v>
      </c>
    </row>
    <row r="18" spans="1:9" x14ac:dyDescent="0.35">
      <c r="A18">
        <v>106.5</v>
      </c>
      <c r="B18">
        <f t="shared" si="4"/>
        <v>379.65</v>
      </c>
      <c r="C18">
        <v>36.5</v>
      </c>
      <c r="D18">
        <f t="shared" si="5"/>
        <v>-1.3185205541065586</v>
      </c>
      <c r="H18">
        <f t="shared" si="6"/>
        <v>-1.320635678986438</v>
      </c>
      <c r="I18">
        <f t="shared" si="7"/>
        <v>4.4737532574849115E-6</v>
      </c>
    </row>
    <row r="19" spans="1:9" x14ac:dyDescent="0.35">
      <c r="A19">
        <v>110.5</v>
      </c>
      <c r="B19">
        <f t="shared" si="4"/>
        <v>383.65</v>
      </c>
      <c r="C19">
        <v>44</v>
      </c>
      <c r="D19">
        <f t="shared" si="5"/>
        <v>-1.237360742076846</v>
      </c>
      <c r="H19">
        <f t="shared" si="6"/>
        <v>-1.2416566407829661</v>
      </c>
      <c r="I19">
        <f t="shared" si="7"/>
        <v>1.8454745693244583E-5</v>
      </c>
    </row>
    <row r="20" spans="1:9" x14ac:dyDescent="0.35">
      <c r="A20">
        <v>110.6</v>
      </c>
      <c r="B20">
        <f t="shared" si="4"/>
        <v>383.75</v>
      </c>
      <c r="C20">
        <v>45.5</v>
      </c>
      <c r="D20">
        <f t="shared" si="5"/>
        <v>-1.222802021905921</v>
      </c>
      <c r="H20">
        <f t="shared" si="6"/>
        <v>-1.2397032602061619</v>
      </c>
      <c r="I20">
        <f t="shared" si="7"/>
        <v>2.8565185608153085E-4</v>
      </c>
    </row>
    <row r="21" spans="1:9" x14ac:dyDescent="0.35">
      <c r="A21">
        <v>111</v>
      </c>
      <c r="B21">
        <f t="shared" si="4"/>
        <v>384.15</v>
      </c>
      <c r="C21">
        <v>42</v>
      </c>
      <c r="D21">
        <f t="shared" si="5"/>
        <v>-1.2575641281651329</v>
      </c>
      <c r="H21">
        <f t="shared" si="6"/>
        <v>-1.2318999077835038</v>
      </c>
      <c r="I21">
        <f t="shared" si="7"/>
        <v>6.5865220779682534E-4</v>
      </c>
    </row>
    <row r="22" spans="1:9" x14ac:dyDescent="0.35">
      <c r="A22">
        <v>114.8</v>
      </c>
      <c r="B22">
        <f t="shared" si="4"/>
        <v>387.95</v>
      </c>
      <c r="C22">
        <v>51</v>
      </c>
      <c r="D22">
        <f t="shared" si="5"/>
        <v>-1.1732432424650969</v>
      </c>
      <c r="H22">
        <f t="shared" si="6"/>
        <v>-1.158570621339754</v>
      </c>
      <c r="I22">
        <f t="shared" si="7"/>
        <v>2.1528581068786036E-4</v>
      </c>
    </row>
    <row r="23" spans="1:9" x14ac:dyDescent="0.35">
      <c r="A23">
        <v>117</v>
      </c>
      <c r="B23">
        <f t="shared" si="4"/>
        <v>390.15</v>
      </c>
      <c r="C23">
        <v>50.5</v>
      </c>
      <c r="D23">
        <f t="shared" si="5"/>
        <v>-1.1775220404443718</v>
      </c>
      <c r="H23">
        <f t="shared" si="6"/>
        <v>-1.1167697081604739</v>
      </c>
      <c r="I23">
        <f t="shared" si="7"/>
        <v>3.6908458779331393E-3</v>
      </c>
    </row>
    <row r="24" spans="1:9" x14ac:dyDescent="0.35">
      <c r="A24">
        <v>120</v>
      </c>
      <c r="B24">
        <f t="shared" si="4"/>
        <v>393.15</v>
      </c>
      <c r="C24">
        <v>62</v>
      </c>
      <c r="D24">
        <f t="shared" si="5"/>
        <v>-1.0884217290647795</v>
      </c>
      <c r="H24">
        <f t="shared" si="6"/>
        <v>-1.0605223901073302</v>
      </c>
      <c r="I24">
        <f t="shared" si="7"/>
        <v>7.783731142626503E-4</v>
      </c>
    </row>
    <row r="25" spans="1:9" x14ac:dyDescent="0.35">
      <c r="A25">
        <v>120</v>
      </c>
      <c r="B25">
        <f t="shared" si="4"/>
        <v>393.15</v>
      </c>
      <c r="C25">
        <v>65</v>
      </c>
      <c r="D25">
        <f t="shared" si="5"/>
        <v>-1.0679000619201777</v>
      </c>
      <c r="H25">
        <f t="shared" si="6"/>
        <v>-1.0605223901073302</v>
      </c>
      <c r="I25">
        <f t="shared" si="7"/>
        <v>5.4430041378085127E-5</v>
      </c>
    </row>
    <row r="26" spans="1:9" x14ac:dyDescent="0.35">
      <c r="A26">
        <v>121</v>
      </c>
      <c r="B26">
        <f t="shared" si="4"/>
        <v>394.15</v>
      </c>
      <c r="C26">
        <v>66.5</v>
      </c>
      <c r="D26">
        <f t="shared" si="5"/>
        <v>-1.0579917732599287</v>
      </c>
      <c r="H26">
        <f t="shared" si="6"/>
        <v>-1.0419635579043334</v>
      </c>
      <c r="I26">
        <f t="shared" si="7"/>
        <v>2.5690368748534058E-4</v>
      </c>
    </row>
    <row r="27" spans="1:9" x14ac:dyDescent="0.35">
      <c r="A27">
        <v>123.9</v>
      </c>
      <c r="B27">
        <f t="shared" si="4"/>
        <v>397.04999999999995</v>
      </c>
      <c r="C27">
        <v>76.5</v>
      </c>
      <c r="D27">
        <f t="shared" si="5"/>
        <v>-0.99715198340941569</v>
      </c>
      <c r="H27">
        <f t="shared" si="6"/>
        <v>-0.98867159428825424</v>
      </c>
      <c r="I27">
        <f t="shared" si="7"/>
        <v>7.191699964631342E-5</v>
      </c>
    </row>
    <row r="28" spans="1:9" x14ac:dyDescent="0.35">
      <c r="A28">
        <v>125</v>
      </c>
      <c r="B28">
        <f t="shared" si="4"/>
        <v>398.15</v>
      </c>
      <c r="C28">
        <v>85.5</v>
      </c>
      <c r="D28">
        <f t="shared" si="5"/>
        <v>-0.94884730383486071</v>
      </c>
      <c r="H28">
        <f t="shared" si="6"/>
        <v>-0.96866048237392111</v>
      </c>
      <c r="I28">
        <f t="shared" si="7"/>
        <v>3.9256204382068336E-4</v>
      </c>
    </row>
    <row r="29" spans="1:9" x14ac:dyDescent="0.35">
      <c r="A29">
        <v>126</v>
      </c>
      <c r="B29">
        <f t="shared" si="4"/>
        <v>399.15</v>
      </c>
      <c r="C29">
        <v>81</v>
      </c>
      <c r="D29">
        <f t="shared" si="5"/>
        <v>-0.97232839968438356</v>
      </c>
      <c r="H29">
        <f t="shared" si="6"/>
        <v>-0.95056427341719374</v>
      </c>
      <c r="I29">
        <f t="shared" si="7"/>
        <v>4.7367719217418193E-4</v>
      </c>
    </row>
    <row r="30" spans="1:9" x14ac:dyDescent="0.35">
      <c r="A30">
        <v>128.5</v>
      </c>
      <c r="B30">
        <f t="shared" si="4"/>
        <v>401.65</v>
      </c>
      <c r="C30">
        <v>94</v>
      </c>
      <c r="D30">
        <f t="shared" si="5"/>
        <v>-0.90768556496333463</v>
      </c>
      <c r="H30">
        <f t="shared" si="6"/>
        <v>-0.90571797940423959</v>
      </c>
      <c r="I30">
        <f t="shared" si="7"/>
        <v>3.8713929323593487E-6</v>
      </c>
    </row>
    <row r="31" spans="1:9" x14ac:dyDescent="0.35">
      <c r="A31">
        <v>132.69999999999999</v>
      </c>
      <c r="B31">
        <f t="shared" si="4"/>
        <v>405.84999999999997</v>
      </c>
      <c r="C31">
        <v>115.5</v>
      </c>
      <c r="D31">
        <f t="shared" si="5"/>
        <v>-0.81823143433487022</v>
      </c>
      <c r="H31">
        <f t="shared" si="6"/>
        <v>-0.83161998982963148</v>
      </c>
      <c r="I31">
        <f t="shared" si="7"/>
        <v>1.7925341823630183E-4</v>
      </c>
    </row>
    <row r="32" spans="1:9" x14ac:dyDescent="0.35">
      <c r="A32">
        <v>137.19999999999999</v>
      </c>
      <c r="B32">
        <f t="shared" si="4"/>
        <v>410.34999999999997</v>
      </c>
      <c r="C32">
        <v>143</v>
      </c>
      <c r="D32">
        <f t="shared" si="5"/>
        <v>-0.72547738109797155</v>
      </c>
      <c r="H32">
        <f t="shared" si="6"/>
        <v>-0.75391248183303983</v>
      </c>
      <c r="I32">
        <f t="shared" si="7"/>
        <v>8.085549538134803E-4</v>
      </c>
    </row>
    <row r="33" spans="1:9" x14ac:dyDescent="0.35">
      <c r="A33">
        <v>142.69999999999999</v>
      </c>
      <c r="B33">
        <f t="shared" si="4"/>
        <v>415.84999999999997</v>
      </c>
      <c r="C33">
        <v>177</v>
      </c>
      <c r="D33">
        <f t="shared" si="5"/>
        <v>-0.63284015220122669</v>
      </c>
      <c r="H33">
        <f t="shared" si="6"/>
        <v>-0.66122053539813841</v>
      </c>
      <c r="I33">
        <f t="shared" si="7"/>
        <v>8.0544615040354902E-4</v>
      </c>
    </row>
    <row r="34" spans="1:9" x14ac:dyDescent="0.35">
      <c r="H34" t="s">
        <v>21</v>
      </c>
      <c r="I34">
        <f>SUM(I14:I33)</f>
        <v>1.1012749613678246E-2</v>
      </c>
    </row>
    <row r="35" spans="1:9" x14ac:dyDescent="0.35">
      <c r="H35" t="s">
        <v>666</v>
      </c>
      <c r="I35">
        <f>SQRT(SUM(I14:I33)/(COUNT(I14:I33)-1))</f>
        <v>2.4075265330207842E-2</v>
      </c>
    </row>
    <row r="36" spans="1:9" x14ac:dyDescent="0.35">
      <c r="A36" t="s">
        <v>301</v>
      </c>
      <c r="B36" t="s">
        <v>49</v>
      </c>
      <c r="C36">
        <v>132</v>
      </c>
    </row>
    <row r="37" spans="1:9" x14ac:dyDescent="0.35">
      <c r="A37" t="s">
        <v>33</v>
      </c>
      <c r="B37" t="s">
        <v>30</v>
      </c>
      <c r="C37" t="s">
        <v>649</v>
      </c>
      <c r="D37" t="s">
        <v>20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</row>
    <row r="38" spans="1:9" x14ac:dyDescent="0.35">
      <c r="A38">
        <v>67.5</v>
      </c>
      <c r="B38">
        <f>A38+273.15</f>
        <v>340.65</v>
      </c>
      <c r="C38">
        <v>8.5</v>
      </c>
      <c r="D38">
        <f>LOG10(C38*0.00131579)</f>
        <v>-1.9513944928487406</v>
      </c>
      <c r="E38">
        <v>9.4556219635326535</v>
      </c>
      <c r="F38">
        <v>3880.9664378949838</v>
      </c>
      <c r="G38">
        <v>0</v>
      </c>
      <c r="H38">
        <f>$E$38-($F$38/(B38+$G$38))</f>
        <v>-1.9372048026349198</v>
      </c>
      <c r="I38">
        <f>(H38-D38)^2</f>
        <v>2.0134730836420098E-4</v>
      </c>
    </row>
    <row r="39" spans="1:9" x14ac:dyDescent="0.35">
      <c r="A39">
        <v>70</v>
      </c>
      <c r="B39">
        <f t="shared" ref="B39:B58" si="8">A39+273.15</f>
        <v>343.15</v>
      </c>
      <c r="C39">
        <v>10.5</v>
      </c>
      <c r="D39">
        <f t="shared" ref="D39:D59" si="9">LOG10(C39*0.00131579)</f>
        <v>-1.8596241194930951</v>
      </c>
      <c r="H39">
        <f t="shared" ref="H39:H59" si="10">$E$38-($F$38/(B39+$G$38))</f>
        <v>-1.854203004833904</v>
      </c>
      <c r="I39">
        <f t="shared" ref="I39:I59" si="11">(H39-D39)^2</f>
        <v>2.9388484148097186E-5</v>
      </c>
    </row>
    <row r="40" spans="1:9" x14ac:dyDescent="0.35">
      <c r="A40">
        <v>70</v>
      </c>
      <c r="B40">
        <f t="shared" si="8"/>
        <v>343.15</v>
      </c>
      <c r="C40">
        <v>12.5</v>
      </c>
      <c r="D40">
        <f t="shared" si="9"/>
        <v>-1.783903405554977</v>
      </c>
      <c r="H40">
        <f t="shared" si="10"/>
        <v>-1.854203004833904</v>
      </c>
      <c r="I40">
        <f t="shared" si="11"/>
        <v>4.9420336587777192E-3</v>
      </c>
    </row>
    <row r="41" spans="1:9" x14ac:dyDescent="0.35">
      <c r="A41">
        <v>70.5</v>
      </c>
      <c r="B41">
        <f t="shared" si="8"/>
        <v>343.65</v>
      </c>
      <c r="C41">
        <v>12.8</v>
      </c>
      <c r="D41">
        <f t="shared" si="9"/>
        <v>-1.7736034489151649</v>
      </c>
      <c r="H41">
        <f t="shared" si="10"/>
        <v>-1.837747563296924</v>
      </c>
      <c r="I41">
        <f t="shared" si="11"/>
        <v>4.1144674098202013E-3</v>
      </c>
    </row>
    <row r="42" spans="1:9" x14ac:dyDescent="0.35">
      <c r="A42">
        <v>70.5</v>
      </c>
      <c r="B42">
        <f t="shared" si="8"/>
        <v>343.65</v>
      </c>
      <c r="C42">
        <v>9</v>
      </c>
      <c r="D42">
        <f t="shared" si="9"/>
        <v>-1.9265709091237084</v>
      </c>
      <c r="H42">
        <f t="shared" si="10"/>
        <v>-1.837747563296924</v>
      </c>
      <c r="I42">
        <f t="shared" si="11"/>
        <v>7.8895867638645398E-3</v>
      </c>
    </row>
    <row r="43" spans="1:9" x14ac:dyDescent="0.35">
      <c r="A43">
        <v>73</v>
      </c>
      <c r="B43">
        <f t="shared" si="8"/>
        <v>346.15</v>
      </c>
      <c r="C43">
        <v>12.5</v>
      </c>
      <c r="D43">
        <f t="shared" si="9"/>
        <v>-1.783903405554977</v>
      </c>
      <c r="H43">
        <f t="shared" si="10"/>
        <v>-1.7561834326683687</v>
      </c>
      <c r="I43">
        <f t="shared" si="11"/>
        <v>7.6839689683429451E-4</v>
      </c>
    </row>
    <row r="44" spans="1:9" x14ac:dyDescent="0.35">
      <c r="A44">
        <v>76.5</v>
      </c>
      <c r="B44">
        <f t="shared" si="8"/>
        <v>349.65</v>
      </c>
      <c r="C44">
        <v>17.5</v>
      </c>
      <c r="D44">
        <f t="shared" si="9"/>
        <v>-1.637775369876739</v>
      </c>
      <c r="H44">
        <f t="shared" si="10"/>
        <v>-1.6439531484221135</v>
      </c>
      <c r="I44">
        <f t="shared" si="11"/>
        <v>3.8164947755689354E-5</v>
      </c>
    </row>
    <row r="45" spans="1:9" x14ac:dyDescent="0.35">
      <c r="A45">
        <v>77.5</v>
      </c>
      <c r="B45">
        <f t="shared" si="8"/>
        <v>350.65</v>
      </c>
      <c r="C45">
        <v>15</v>
      </c>
      <c r="D45">
        <f t="shared" si="9"/>
        <v>-1.7047221595073521</v>
      </c>
      <c r="H45">
        <f t="shared" si="10"/>
        <v>-1.6122988632033621</v>
      </c>
      <c r="I45">
        <f t="shared" si="11"/>
        <v>8.5420656996951193E-3</v>
      </c>
    </row>
    <row r="46" spans="1:9" x14ac:dyDescent="0.35">
      <c r="A46">
        <v>78</v>
      </c>
      <c r="B46">
        <f t="shared" si="8"/>
        <v>351.15</v>
      </c>
      <c r="C46">
        <v>18.8</v>
      </c>
      <c r="D46">
        <f t="shared" si="9"/>
        <v>-1.6066555692993534</v>
      </c>
      <c r="H46">
        <f t="shared" si="10"/>
        <v>-1.5965393290630576</v>
      </c>
      <c r="I46">
        <f t="shared" si="11"/>
        <v>1.0233831651844928E-4</v>
      </c>
    </row>
    <row r="47" spans="1:9" x14ac:dyDescent="0.35">
      <c r="A47">
        <v>80</v>
      </c>
      <c r="B47">
        <f t="shared" si="8"/>
        <v>353.15</v>
      </c>
      <c r="C47">
        <v>25</v>
      </c>
      <c r="D47">
        <f t="shared" si="9"/>
        <v>-1.4828734098909957</v>
      </c>
      <c r="H47">
        <f t="shared" si="10"/>
        <v>-1.533947448600955</v>
      </c>
      <c r="I47">
        <f t="shared" si="11"/>
        <v>2.6085574301464211E-3</v>
      </c>
    </row>
    <row r="48" spans="1:9" x14ac:dyDescent="0.35">
      <c r="A48">
        <v>82</v>
      </c>
      <c r="B48">
        <f t="shared" si="8"/>
        <v>355.15</v>
      </c>
      <c r="C48">
        <v>25</v>
      </c>
      <c r="D48">
        <f t="shared" si="9"/>
        <v>-1.4828734098909957</v>
      </c>
      <c r="H48">
        <f t="shared" si="10"/>
        <v>-1.4720605308921932</v>
      </c>
      <c r="I48">
        <f t="shared" si="11"/>
        <v>1.1691835224274319E-4</v>
      </c>
    </row>
    <row r="49" spans="1:9" x14ac:dyDescent="0.35">
      <c r="A49">
        <v>84.5</v>
      </c>
      <c r="B49">
        <f t="shared" si="8"/>
        <v>357.65</v>
      </c>
      <c r="C49">
        <v>31.6</v>
      </c>
      <c r="D49">
        <f t="shared" si="9"/>
        <v>-1.3811263359446295</v>
      </c>
      <c r="H49">
        <f t="shared" si="10"/>
        <v>-1.3956752205718725</v>
      </c>
      <c r="I49">
        <f t="shared" si="11"/>
        <v>2.1167004389682824E-4</v>
      </c>
    </row>
    <row r="50" spans="1:9" x14ac:dyDescent="0.35">
      <c r="A50">
        <v>85</v>
      </c>
      <c r="B50">
        <f t="shared" si="8"/>
        <v>358.15</v>
      </c>
      <c r="C50">
        <v>30</v>
      </c>
      <c r="D50">
        <f t="shared" si="9"/>
        <v>-1.4036921638433708</v>
      </c>
      <c r="H50">
        <f t="shared" si="10"/>
        <v>-1.3805261249637422</v>
      </c>
      <c r="I50">
        <f t="shared" si="11"/>
        <v>5.3666535737246612E-4</v>
      </c>
    </row>
    <row r="51" spans="1:9" x14ac:dyDescent="0.35">
      <c r="A51">
        <v>85.5</v>
      </c>
      <c r="B51">
        <f t="shared" si="8"/>
        <v>358.65</v>
      </c>
      <c r="C51">
        <v>33.5</v>
      </c>
      <c r="D51">
        <f t="shared" si="9"/>
        <v>-1.355768611526188</v>
      </c>
      <c r="H51">
        <f t="shared" si="10"/>
        <v>-1.3654192685738131</v>
      </c>
      <c r="I51">
        <f t="shared" si="11"/>
        <v>9.3135181450876644E-5</v>
      </c>
    </row>
    <row r="52" spans="1:9" x14ac:dyDescent="0.35">
      <c r="A52">
        <v>88</v>
      </c>
      <c r="B52">
        <f t="shared" si="8"/>
        <v>361.15</v>
      </c>
      <c r="C52">
        <v>41.2</v>
      </c>
      <c r="D52">
        <f t="shared" si="9"/>
        <v>-1.2659162025298987</v>
      </c>
      <c r="H52">
        <f t="shared" si="10"/>
        <v>-1.2905124346259615</v>
      </c>
      <c r="I52">
        <f t="shared" si="11"/>
        <v>6.049746333233936E-4</v>
      </c>
    </row>
    <row r="53" spans="1:9" x14ac:dyDescent="0.35">
      <c r="A53">
        <v>90</v>
      </c>
      <c r="B53">
        <f t="shared" si="8"/>
        <v>363.15</v>
      </c>
      <c r="C53">
        <v>48.5</v>
      </c>
      <c r="D53">
        <f t="shared" si="9"/>
        <v>-1.1950716799607697</v>
      </c>
      <c r="H53">
        <f t="shared" si="10"/>
        <v>-1.23132953831227</v>
      </c>
      <c r="I53">
        <f t="shared" si="11"/>
        <v>1.3146322922374604E-3</v>
      </c>
    </row>
    <row r="54" spans="1:9" x14ac:dyDescent="0.35">
      <c r="A54">
        <v>94.5</v>
      </c>
      <c r="B54">
        <f t="shared" si="8"/>
        <v>367.65</v>
      </c>
      <c r="C54">
        <v>59.1</v>
      </c>
      <c r="D54">
        <f t="shared" si="9"/>
        <v>-1.1092259376817779</v>
      </c>
      <c r="H54">
        <f t="shared" si="10"/>
        <v>-1.1005222983876077</v>
      </c>
      <c r="I54">
        <f t="shared" si="11"/>
        <v>7.5753336963023081E-5</v>
      </c>
    </row>
    <row r="55" spans="1:9" x14ac:dyDescent="0.35">
      <c r="A55">
        <v>98.5</v>
      </c>
      <c r="B55">
        <f t="shared" si="8"/>
        <v>371.65</v>
      </c>
      <c r="C55">
        <v>82</v>
      </c>
      <c r="D55">
        <f t="shared" si="9"/>
        <v>-0.96699956617931659</v>
      </c>
      <c r="H55">
        <f t="shared" si="10"/>
        <v>-0.98690847611482191</v>
      </c>
      <c r="I55">
        <f t="shared" si="11"/>
        <v>3.9636469482006223E-4</v>
      </c>
    </row>
    <row r="56" spans="1:9" x14ac:dyDescent="0.35">
      <c r="A56">
        <v>105</v>
      </c>
      <c r="B56">
        <f t="shared" si="8"/>
        <v>378.15</v>
      </c>
      <c r="C56">
        <v>126.5</v>
      </c>
      <c r="D56">
        <f t="shared" si="9"/>
        <v>-0.77872289305119657</v>
      </c>
      <c r="H56">
        <f t="shared" si="10"/>
        <v>-0.80741238234856816</v>
      </c>
      <c r="I56">
        <f t="shared" si="11"/>
        <v>8.2308679614399871E-4</v>
      </c>
    </row>
    <row r="57" spans="1:9" x14ac:dyDescent="0.35">
      <c r="A57">
        <v>110.3</v>
      </c>
      <c r="B57">
        <f t="shared" si="8"/>
        <v>383.45</v>
      </c>
      <c r="C57">
        <v>168</v>
      </c>
      <c r="D57">
        <f t="shared" si="9"/>
        <v>-0.65550413683717046</v>
      </c>
      <c r="H57">
        <f t="shared" si="10"/>
        <v>-0.66555795013271002</v>
      </c>
      <c r="I57">
        <f t="shared" si="11"/>
        <v>1.0107916178156803E-4</v>
      </c>
    </row>
    <row r="58" spans="1:9" x14ac:dyDescent="0.35">
      <c r="A58">
        <v>114.3</v>
      </c>
      <c r="B58">
        <f t="shared" si="8"/>
        <v>387.45</v>
      </c>
      <c r="C58">
        <v>204.5</v>
      </c>
      <c r="D58">
        <f t="shared" si="9"/>
        <v>-0.57012010621967268</v>
      </c>
      <c r="H58">
        <f t="shared" si="10"/>
        <v>-0.56106777164603727</v>
      </c>
      <c r="I58">
        <f t="shared" si="11"/>
        <v>8.1944761233035022E-5</v>
      </c>
    </row>
    <row r="59" spans="1:9" x14ac:dyDescent="0.35">
      <c r="A59">
        <v>119.8</v>
      </c>
      <c r="B59">
        <f>A59+273.15</f>
        <v>392.95</v>
      </c>
      <c r="C59">
        <v>260</v>
      </c>
      <c r="D59">
        <f t="shared" si="9"/>
        <v>-0.46584007059221538</v>
      </c>
      <c r="H59">
        <f t="shared" si="10"/>
        <v>-0.42086725365778754</v>
      </c>
      <c r="I59">
        <f t="shared" si="11"/>
        <v>2.0225542630175593E-3</v>
      </c>
    </row>
    <row r="60" spans="1:9" x14ac:dyDescent="0.35">
      <c r="H60" t="s">
        <v>21</v>
      </c>
      <c r="I60">
        <f>SUM(I38:I59)</f>
        <v>3.5615125790407758E-2</v>
      </c>
    </row>
    <row r="61" spans="1:9" x14ac:dyDescent="0.35">
      <c r="H61" t="s">
        <v>666</v>
      </c>
      <c r="I61">
        <f>SQRT(SUM(I38:I59)/(COUNT(I38:I59)-1))</f>
        <v>4.118201513976457E-2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7"/>
  <sheetViews>
    <sheetView topLeftCell="A18" workbookViewId="0">
      <selection activeCell="H37" sqref="H37:I37"/>
    </sheetView>
  </sheetViews>
  <sheetFormatPr defaultRowHeight="14.5" x14ac:dyDescent="0.35"/>
  <sheetData>
    <row r="1" spans="1:9" x14ac:dyDescent="0.35">
      <c r="A1" t="s">
        <v>480</v>
      </c>
      <c r="B1" t="s">
        <v>49</v>
      </c>
      <c r="C1">
        <v>95</v>
      </c>
    </row>
    <row r="2" spans="1:9" x14ac:dyDescent="0.35">
      <c r="A2" t="s">
        <v>33</v>
      </c>
      <c r="B2" t="s">
        <v>30</v>
      </c>
      <c r="C2" t="s">
        <v>650</v>
      </c>
      <c r="D2" t="s">
        <v>20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5">
      <c r="A3">
        <f>B3-273.15</f>
        <v>1.1500000000000341</v>
      </c>
      <c r="B3">
        <v>274.3</v>
      </c>
      <c r="C3">
        <v>0.43</v>
      </c>
      <c r="D3">
        <f>LOG10(C3*0.00000986923)</f>
        <v>-5.3722482742022439</v>
      </c>
      <c r="E3">
        <v>5.8258909905174923</v>
      </c>
      <c r="F3">
        <v>2237.9898688903127</v>
      </c>
      <c r="G3">
        <v>-74.282513517514502</v>
      </c>
      <c r="H3">
        <f>$E$3-($F$3/(B3+$G$3))</f>
        <v>-5.3630800752012133</v>
      </c>
      <c r="I3">
        <f>(H3-D3)^2</f>
        <v>8.4055872922498642E-5</v>
      </c>
    </row>
    <row r="4" spans="1:9" x14ac:dyDescent="0.35">
      <c r="A4">
        <f t="shared" ref="A4:A16" si="0">B4-273.15</f>
        <v>1.25</v>
      </c>
      <c r="B4">
        <v>274.39999999999998</v>
      </c>
      <c r="C4">
        <v>0.44</v>
      </c>
      <c r="D4">
        <f t="shared" ref="D4:D16" si="1">LOG10(C4*0.00000986923)</f>
        <v>-5.3622640532956432</v>
      </c>
      <c r="H4">
        <f t="shared" ref="H4:H16" si="2">$E$3-($F$3/(B4+$G$3))</f>
        <v>-5.3574888741210946</v>
      </c>
      <c r="I4">
        <f t="shared" ref="I4:I16" si="3">(H4-D4)^2</f>
        <v>2.2802336149041741E-5</v>
      </c>
    </row>
    <row r="5" spans="1:9" x14ac:dyDescent="0.35">
      <c r="A5">
        <f t="shared" si="0"/>
        <v>5.1500000000000341</v>
      </c>
      <c r="B5">
        <v>278.3</v>
      </c>
      <c r="C5">
        <v>0.74</v>
      </c>
      <c r="D5">
        <f t="shared" si="1"/>
        <v>-5.1364850100508539</v>
      </c>
      <c r="H5">
        <f t="shared" si="2"/>
        <v>-5.1437072898850049</v>
      </c>
      <c r="I5">
        <f t="shared" si="3"/>
        <v>5.2161326002784546E-5</v>
      </c>
    </row>
    <row r="6" spans="1:9" x14ac:dyDescent="0.35">
      <c r="A6">
        <f t="shared" si="0"/>
        <v>10.050000000000011</v>
      </c>
      <c r="B6">
        <v>283.2</v>
      </c>
      <c r="C6">
        <v>1.4</v>
      </c>
      <c r="D6">
        <f t="shared" si="1"/>
        <v>-4.859588694103592</v>
      </c>
      <c r="H6">
        <f t="shared" si="2"/>
        <v>-4.8864237446970433</v>
      </c>
      <c r="I6">
        <f t="shared" si="3"/>
        <v>7.2011994035309473E-4</v>
      </c>
    </row>
    <row r="7" spans="1:9" x14ac:dyDescent="0.35">
      <c r="A7">
        <f t="shared" si="0"/>
        <v>15.050000000000011</v>
      </c>
      <c r="B7">
        <v>288.2</v>
      </c>
      <c r="C7">
        <v>2.2999999999999998</v>
      </c>
      <c r="D7">
        <f t="shared" si="1"/>
        <v>-4.6439888937642371</v>
      </c>
      <c r="H7">
        <f t="shared" si="2"/>
        <v>-4.6360394747768838</v>
      </c>
      <c r="I7">
        <f t="shared" si="3"/>
        <v>6.3193262236492222E-5</v>
      </c>
    </row>
    <row r="8" spans="1:9" x14ac:dyDescent="0.35">
      <c r="A8">
        <f t="shared" si="0"/>
        <v>20.050000000000011</v>
      </c>
      <c r="B8">
        <v>293.2</v>
      </c>
      <c r="C8">
        <v>4.2</v>
      </c>
      <c r="D8">
        <f t="shared" si="1"/>
        <v>-4.3824674393839294</v>
      </c>
      <c r="H8">
        <f t="shared" si="2"/>
        <v>-4.397092585850964</v>
      </c>
      <c r="I8">
        <f t="shared" si="3"/>
        <v>2.1389490918221496E-4</v>
      </c>
    </row>
    <row r="9" spans="1:9" x14ac:dyDescent="0.35">
      <c r="A9">
        <f t="shared" si="0"/>
        <v>20.050000000000011</v>
      </c>
      <c r="B9">
        <v>293.2</v>
      </c>
      <c r="C9">
        <v>4.0999999999999996</v>
      </c>
      <c r="D9">
        <f t="shared" si="1"/>
        <v>-4.3929328730620947</v>
      </c>
      <c r="H9">
        <f t="shared" si="2"/>
        <v>-4.397092585850964</v>
      </c>
      <c r="I9">
        <f t="shared" si="3"/>
        <v>1.7303210485882688E-5</v>
      </c>
    </row>
    <row r="10" spans="1:9" x14ac:dyDescent="0.35">
      <c r="A10">
        <f t="shared" si="0"/>
        <v>25.050000000000011</v>
      </c>
      <c r="B10">
        <v>298.2</v>
      </c>
      <c r="C10">
        <v>7.1</v>
      </c>
      <c r="D10">
        <f t="shared" si="1"/>
        <v>-4.1544583810627547</v>
      </c>
      <c r="H10">
        <f t="shared" si="2"/>
        <v>-4.1688168996381298</v>
      </c>
      <c r="I10">
        <f t="shared" si="3"/>
        <v>2.0616705567939406E-4</v>
      </c>
    </row>
    <row r="11" spans="1:9" x14ac:dyDescent="0.35">
      <c r="A11">
        <f t="shared" si="0"/>
        <v>20.050000000000011</v>
      </c>
      <c r="B11">
        <v>293.2</v>
      </c>
      <c r="C11">
        <v>3.7</v>
      </c>
      <c r="D11">
        <f t="shared" si="1"/>
        <v>-4.4375150057148351</v>
      </c>
      <c r="H11">
        <f t="shared" si="2"/>
        <v>-4.397092585850964</v>
      </c>
      <c r="I11">
        <f t="shared" si="3"/>
        <v>1.6339720276510876E-3</v>
      </c>
    </row>
    <row r="12" spans="1:9" x14ac:dyDescent="0.35">
      <c r="A12">
        <f t="shared" si="0"/>
        <v>29.950000000000045</v>
      </c>
      <c r="B12">
        <v>303.10000000000002</v>
      </c>
      <c r="C12">
        <v>10.9</v>
      </c>
      <c r="D12">
        <f t="shared" si="1"/>
        <v>-3.9682902318412068</v>
      </c>
      <c r="H12">
        <f t="shared" si="2"/>
        <v>-3.9547857544900014</v>
      </c>
      <c r="I12">
        <f t="shared" si="3"/>
        <v>1.8237090852921996E-4</v>
      </c>
    </row>
    <row r="13" spans="1:9" x14ac:dyDescent="0.35">
      <c r="A13">
        <f t="shared" si="0"/>
        <v>34.950000000000045</v>
      </c>
      <c r="B13">
        <v>308.10000000000002</v>
      </c>
      <c r="C13">
        <v>18.399999999999999</v>
      </c>
      <c r="D13">
        <f t="shared" si="1"/>
        <v>-3.7408989067722938</v>
      </c>
      <c r="H13">
        <f t="shared" si="2"/>
        <v>-3.7456338024237441</v>
      </c>
      <c r="I13">
        <f t="shared" si="3"/>
        <v>2.2419236830123482E-5</v>
      </c>
    </row>
    <row r="14" spans="1:9" x14ac:dyDescent="0.35">
      <c r="A14">
        <f t="shared" si="0"/>
        <v>40.950000000000045</v>
      </c>
      <c r="B14">
        <v>314.10000000000002</v>
      </c>
      <c r="C14">
        <v>31.8</v>
      </c>
      <c r="D14">
        <f t="shared" si="1"/>
        <v>-3.5032896097973976</v>
      </c>
      <c r="H14">
        <f t="shared" si="2"/>
        <v>-3.5061635719581217</v>
      </c>
      <c r="I14">
        <f t="shared" si="3"/>
        <v>8.2596585012739864E-6</v>
      </c>
    </row>
    <row r="15" spans="1:9" x14ac:dyDescent="0.35">
      <c r="A15">
        <f t="shared" si="0"/>
        <v>40.950000000000045</v>
      </c>
      <c r="B15">
        <v>314.10000000000002</v>
      </c>
      <c r="C15">
        <v>31.7</v>
      </c>
      <c r="D15">
        <f t="shared" si="1"/>
        <v>-3.5046574675640789</v>
      </c>
      <c r="H15">
        <f t="shared" si="2"/>
        <v>-3.5061635719581217</v>
      </c>
      <c r="I15">
        <f t="shared" si="3"/>
        <v>2.268350445754882E-6</v>
      </c>
    </row>
    <row r="16" spans="1:9" x14ac:dyDescent="0.35">
      <c r="A16">
        <f t="shared" si="0"/>
        <v>40.950000000000045</v>
      </c>
      <c r="B16">
        <v>314.10000000000002</v>
      </c>
      <c r="C16">
        <v>31.5</v>
      </c>
      <c r="D16">
        <f t="shared" si="1"/>
        <v>-3.5074061759922297</v>
      </c>
      <c r="H16">
        <f t="shared" si="2"/>
        <v>-3.5061635719581217</v>
      </c>
      <c r="I16">
        <f t="shared" si="3"/>
        <v>1.5440647855815508E-6</v>
      </c>
    </row>
    <row r="17" spans="1:9" x14ac:dyDescent="0.35">
      <c r="H17" t="s">
        <v>21</v>
      </c>
      <c r="I17">
        <f>SUM(I3:I16)</f>
        <v>3.2305321597544449E-3</v>
      </c>
    </row>
    <row r="18" spans="1:9" x14ac:dyDescent="0.35">
      <c r="H18" t="s">
        <v>666</v>
      </c>
      <c r="I18">
        <f>SQRT(SUM(I3:I16)/(COUNT(I3:I16)-1))</f>
        <v>1.5763961235275382E-2</v>
      </c>
    </row>
    <row r="19" spans="1:9" x14ac:dyDescent="0.35">
      <c r="A19" t="s">
        <v>301</v>
      </c>
      <c r="B19" t="s">
        <v>49</v>
      </c>
      <c r="C19">
        <v>132</v>
      </c>
    </row>
    <row r="20" spans="1:9" x14ac:dyDescent="0.35">
      <c r="A20" t="s">
        <v>33</v>
      </c>
      <c r="B20" t="s">
        <v>30</v>
      </c>
      <c r="C20" t="s">
        <v>650</v>
      </c>
      <c r="D20" t="s">
        <v>20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</row>
    <row r="21" spans="1:9" x14ac:dyDescent="0.35">
      <c r="A21">
        <f>B21-273.15</f>
        <v>1.5500000000000114</v>
      </c>
      <c r="B21">
        <v>274.7</v>
      </c>
      <c r="C21">
        <v>1.98</v>
      </c>
      <c r="D21">
        <f>LOG10(C21*0.00000986923)</f>
        <v>-4.7090515395202992</v>
      </c>
      <c r="E21">
        <v>7.9439374189811724</v>
      </c>
      <c r="F21">
        <v>3019.2930753736591</v>
      </c>
      <c r="G21">
        <v>-36.131208495406668</v>
      </c>
      <c r="H21">
        <f>$E$21-($F$21/(B21+$G$21))</f>
        <v>-4.7119219511054924</v>
      </c>
      <c r="I21">
        <f>(H21-D21)^2</f>
        <v>8.2392626684112749E-6</v>
      </c>
    </row>
    <row r="22" spans="1:9" x14ac:dyDescent="0.35">
      <c r="A22">
        <f t="shared" ref="A22:A35" si="4">B22-273.15</f>
        <v>1.5500000000000114</v>
      </c>
      <c r="B22">
        <v>274.7</v>
      </c>
      <c r="C22">
        <v>1.95</v>
      </c>
      <c r="D22">
        <f t="shared" ref="D22:D35" si="5">LOG10(C22*0.00000986923)</f>
        <v>-4.7156821184193118</v>
      </c>
      <c r="H22">
        <f t="shared" ref="H22:H35" si="6">$E$21-($F$21/(B22+$G$21))</f>
        <v>-4.7119219511054924</v>
      </c>
      <c r="I22">
        <f t="shared" ref="I22:I35" si="7">(H22-D22)^2</f>
        <v>1.4138858227916188E-5</v>
      </c>
    </row>
    <row r="23" spans="1:9" x14ac:dyDescent="0.35">
      <c r="A23">
        <f t="shared" si="4"/>
        <v>5.3500000000000227</v>
      </c>
      <c r="B23">
        <v>278.5</v>
      </c>
      <c r="C23">
        <v>3.13</v>
      </c>
      <c r="D23">
        <f t="shared" si="5"/>
        <v>-4.5101723922353818</v>
      </c>
      <c r="H23">
        <f t="shared" si="6"/>
        <v>-4.5134959685036096</v>
      </c>
      <c r="I23">
        <f t="shared" si="7"/>
        <v>1.1046159210726817E-5</v>
      </c>
    </row>
    <row r="24" spans="1:9" x14ac:dyDescent="0.35">
      <c r="A24">
        <f t="shared" si="4"/>
        <v>15.150000000000034</v>
      </c>
      <c r="B24">
        <v>288.3</v>
      </c>
      <c r="C24">
        <v>9.9499999999999993</v>
      </c>
      <c r="D24">
        <f t="shared" si="5"/>
        <v>-4.007893649036105</v>
      </c>
      <c r="H24">
        <f t="shared" si="6"/>
        <v>-4.0293645005732204</v>
      </c>
      <c r="I24">
        <f t="shared" si="7"/>
        <v>4.6099746572884925E-4</v>
      </c>
    </row>
    <row r="25" spans="1:9" x14ac:dyDescent="0.35">
      <c r="A25">
        <f t="shared" si="4"/>
        <v>10.25</v>
      </c>
      <c r="B25">
        <v>283.39999999999998</v>
      </c>
      <c r="C25">
        <v>5.36</v>
      </c>
      <c r="D25">
        <f t="shared" si="5"/>
        <v>-4.2765519400890604</v>
      </c>
      <c r="H25">
        <f t="shared" si="6"/>
        <v>-4.2666333408859183</v>
      </c>
      <c r="I25">
        <f t="shared" si="7"/>
        <v>9.8378610152570842E-5</v>
      </c>
    </row>
    <row r="26" spans="1:9" x14ac:dyDescent="0.35">
      <c r="A26">
        <f t="shared" si="4"/>
        <v>20.150000000000034</v>
      </c>
      <c r="B26">
        <v>293.3</v>
      </c>
      <c r="C26">
        <v>16.600000000000001</v>
      </c>
      <c r="D26">
        <f t="shared" si="5"/>
        <v>-3.7856086417417751</v>
      </c>
      <c r="H26">
        <f t="shared" si="6"/>
        <v>-3.7965737748886754</v>
      </c>
      <c r="I26">
        <f t="shared" si="7"/>
        <v>1.2023414492925135E-4</v>
      </c>
    </row>
    <row r="27" spans="1:9" x14ac:dyDescent="0.35">
      <c r="A27">
        <f t="shared" si="4"/>
        <v>20.150000000000034</v>
      </c>
      <c r="B27">
        <v>293.3</v>
      </c>
      <c r="C27">
        <v>16.3</v>
      </c>
      <c r="D27">
        <f t="shared" si="5"/>
        <v>-3.7935291253778725</v>
      </c>
      <c r="H27">
        <f t="shared" si="6"/>
        <v>-3.7965737748886754</v>
      </c>
      <c r="I27">
        <f t="shared" si="7"/>
        <v>9.2698906436327387E-6</v>
      </c>
    </row>
    <row r="28" spans="1:9" x14ac:dyDescent="0.35">
      <c r="A28">
        <f t="shared" si="4"/>
        <v>20.150000000000034</v>
      </c>
      <c r="B28">
        <v>293.3</v>
      </c>
      <c r="C28">
        <v>15.6</v>
      </c>
      <c r="D28">
        <f t="shared" si="5"/>
        <v>-3.8125921314273685</v>
      </c>
      <c r="H28">
        <f t="shared" si="6"/>
        <v>-3.7965737748886754</v>
      </c>
      <c r="I28">
        <f t="shared" si="7"/>
        <v>2.5658774620069202E-4</v>
      </c>
    </row>
    <row r="29" spans="1:9" x14ac:dyDescent="0.35">
      <c r="A29">
        <f t="shared" si="4"/>
        <v>25.050000000000011</v>
      </c>
      <c r="B29">
        <v>298.2</v>
      </c>
      <c r="C29">
        <v>27.6</v>
      </c>
      <c r="D29">
        <f t="shared" si="5"/>
        <v>-3.5648076477166124</v>
      </c>
      <c r="H29">
        <f t="shared" si="6"/>
        <v>-3.5770569658871976</v>
      </c>
      <c r="I29">
        <f t="shared" si="7"/>
        <v>1.5004579564422793E-4</v>
      </c>
    </row>
    <row r="30" spans="1:9" x14ac:dyDescent="0.35">
      <c r="A30">
        <f t="shared" si="4"/>
        <v>20.150000000000034</v>
      </c>
      <c r="B30">
        <v>293.3</v>
      </c>
      <c r="C30">
        <v>15.4</v>
      </c>
      <c r="D30">
        <f t="shared" si="5"/>
        <v>-3.818196008945367</v>
      </c>
      <c r="H30">
        <f t="shared" si="6"/>
        <v>-3.7965737748886754</v>
      </c>
      <c r="I30">
        <f t="shared" si="7"/>
        <v>4.6752100560235467E-4</v>
      </c>
    </row>
    <row r="31" spans="1:9" x14ac:dyDescent="0.35">
      <c r="A31">
        <f t="shared" si="4"/>
        <v>30.050000000000011</v>
      </c>
      <c r="B31">
        <v>303.2</v>
      </c>
      <c r="C31">
        <v>43</v>
      </c>
      <c r="D31">
        <f t="shared" si="5"/>
        <v>-3.3722482742022435</v>
      </c>
      <c r="H31">
        <f t="shared" si="6"/>
        <v>-3.3613635799254338</v>
      </c>
      <c r="I31">
        <f t="shared" si="7"/>
        <v>1.1847656949961416E-4</v>
      </c>
    </row>
    <row r="32" spans="1:9" x14ac:dyDescent="0.35">
      <c r="A32">
        <f t="shared" si="4"/>
        <v>34.950000000000045</v>
      </c>
      <c r="B32">
        <v>308.10000000000002</v>
      </c>
      <c r="C32">
        <v>72.400000000000006</v>
      </c>
      <c r="D32">
        <f t="shared" si="5"/>
        <v>-3.1459781635846831</v>
      </c>
      <c r="H32">
        <f t="shared" si="6"/>
        <v>-3.1576785372844034</v>
      </c>
      <c r="I32">
        <f t="shared" si="7"/>
        <v>1.3689874471310703E-4</v>
      </c>
    </row>
    <row r="33" spans="1:9" x14ac:dyDescent="0.35">
      <c r="A33">
        <f t="shared" si="4"/>
        <v>40.950000000000045</v>
      </c>
      <c r="B33">
        <v>314.10000000000002</v>
      </c>
      <c r="C33">
        <v>123</v>
      </c>
      <c r="D33">
        <f t="shared" si="5"/>
        <v>-2.9158116183424321</v>
      </c>
      <c r="H33">
        <f t="shared" si="6"/>
        <v>-2.9180484141434286</v>
      </c>
      <c r="I33">
        <f t="shared" si="7"/>
        <v>5.0032554553558444E-6</v>
      </c>
    </row>
    <row r="34" spans="1:9" x14ac:dyDescent="0.35">
      <c r="A34">
        <f t="shared" si="4"/>
        <v>40.950000000000045</v>
      </c>
      <c r="B34">
        <v>314.10000000000002</v>
      </c>
      <c r="C34">
        <v>123</v>
      </c>
      <c r="D34">
        <f t="shared" si="5"/>
        <v>-2.9158116183424321</v>
      </c>
      <c r="H34">
        <f t="shared" si="6"/>
        <v>-2.9180484141434286</v>
      </c>
      <c r="I34">
        <f t="shared" si="7"/>
        <v>5.0032554553558444E-6</v>
      </c>
    </row>
    <row r="35" spans="1:9" x14ac:dyDescent="0.35">
      <c r="A35">
        <f t="shared" si="4"/>
        <v>40.950000000000045</v>
      </c>
      <c r="B35">
        <v>314.10000000000002</v>
      </c>
      <c r="C35">
        <v>120</v>
      </c>
      <c r="D35">
        <f t="shared" si="5"/>
        <v>-2.9265354837342055</v>
      </c>
      <c r="H35">
        <f t="shared" si="6"/>
        <v>-2.9180484141434286</v>
      </c>
      <c r="I35">
        <f t="shared" si="7"/>
        <v>7.2030350238688786E-5</v>
      </c>
    </row>
    <row r="36" spans="1:9" x14ac:dyDescent="0.35">
      <c r="H36" t="s">
        <v>21</v>
      </c>
      <c r="I36">
        <f>SUM(I21:I35)</f>
        <v>1.9338711143707544E-3</v>
      </c>
    </row>
    <row r="37" spans="1:9" x14ac:dyDescent="0.35">
      <c r="H37" t="s">
        <v>666</v>
      </c>
      <c r="I37">
        <f>SQRT(SUM(I21:I35)/(COUNT(I21:I35)-1))</f>
        <v>1.1753027313270503E-2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3"/>
  <sheetViews>
    <sheetView topLeftCell="A55" workbookViewId="0">
      <selection activeCell="H73" sqref="H73:I73"/>
    </sheetView>
  </sheetViews>
  <sheetFormatPr defaultRowHeight="14.5" x14ac:dyDescent="0.35"/>
  <cols>
    <col min="9" max="9" width="11.81640625" bestFit="1" customWidth="1"/>
  </cols>
  <sheetData>
    <row r="1" spans="1:9" x14ac:dyDescent="0.35">
      <c r="A1" t="s">
        <v>637</v>
      </c>
    </row>
    <row r="2" spans="1:9" x14ac:dyDescent="0.35">
      <c r="A2" t="s">
        <v>22</v>
      </c>
      <c r="B2" t="s">
        <v>636</v>
      </c>
      <c r="C2" t="s">
        <v>610</v>
      </c>
      <c r="D2" t="s">
        <v>44</v>
      </c>
      <c r="E2" t="s">
        <v>15</v>
      </c>
      <c r="F2" t="s">
        <v>609</v>
      </c>
      <c r="G2" t="s">
        <v>44</v>
      </c>
    </row>
    <row r="3" spans="1:9" x14ac:dyDescent="0.35">
      <c r="A3" t="s">
        <v>638</v>
      </c>
      <c r="B3">
        <v>14.65738</v>
      </c>
      <c r="C3">
        <v>4112.28</v>
      </c>
      <c r="D3">
        <v>-66.866</v>
      </c>
      <c r="E3">
        <f>(B3+LN(0.00000986923*1000))/LN(10)</f>
        <v>4.3599025233772544</v>
      </c>
      <c r="F3">
        <f>C3/LN(10)</f>
        <v>1785.9405120411041</v>
      </c>
      <c r="G3">
        <f>D3</f>
        <v>-66.866</v>
      </c>
    </row>
    <row r="5" spans="1:9" x14ac:dyDescent="0.35">
      <c r="A5" t="s">
        <v>639</v>
      </c>
    </row>
    <row r="6" spans="1:9" x14ac:dyDescent="0.35">
      <c r="A6" t="s">
        <v>33</v>
      </c>
      <c r="B6" t="s">
        <v>30</v>
      </c>
      <c r="C6" t="s">
        <v>36</v>
      </c>
      <c r="D6" t="s">
        <v>20</v>
      </c>
      <c r="E6" t="s">
        <v>3</v>
      </c>
      <c r="F6" t="s">
        <v>4</v>
      </c>
      <c r="G6" t="s">
        <v>5</v>
      </c>
      <c r="H6" t="s">
        <v>6</v>
      </c>
      <c r="I6" t="s">
        <v>7</v>
      </c>
    </row>
    <row r="7" spans="1:9" x14ac:dyDescent="0.35">
      <c r="A7">
        <f>B7-273.15</f>
        <v>79.12</v>
      </c>
      <c r="B7">
        <v>352.27</v>
      </c>
      <c r="C7">
        <v>1285.2</v>
      </c>
      <c r="D7">
        <f>LOG10(C7*0.00000986923)</f>
        <v>-1.8967460129023497</v>
      </c>
      <c r="E7">
        <v>5.0636361967297558</v>
      </c>
      <c r="F7">
        <v>2214.4662073868958</v>
      </c>
      <c r="G7">
        <v>-34.082031360570696</v>
      </c>
      <c r="H7">
        <f>$E$7-($F$7/(B7+$G$7))</f>
        <v>-1.895980211319694</v>
      </c>
      <c r="I7">
        <f>(H7-D7)^2</f>
        <v>5.8645206399799304E-7</v>
      </c>
    </row>
    <row r="8" spans="1:9" x14ac:dyDescent="0.35">
      <c r="A8">
        <f t="shared" ref="A8:A13" si="0">B8-273.15</f>
        <v>79.330000000000041</v>
      </c>
      <c r="B8">
        <v>352.48</v>
      </c>
      <c r="C8">
        <v>1297.2</v>
      </c>
      <c r="D8">
        <f t="shared" ref="D8:D13" si="1">LOG10(C8*0.00000986923)</f>
        <v>-1.8927097897808951</v>
      </c>
      <c r="H8">
        <f t="shared" ref="H8:H13" si="2">$E$7-($F$7/(B8+$G$7))</f>
        <v>-1.8913899827703844</v>
      </c>
      <c r="I8">
        <f t="shared" ref="I8:I13" si="3">(H8-D8)^2</f>
        <v>1.7418905449932162E-6</v>
      </c>
    </row>
    <row r="9" spans="1:9" x14ac:dyDescent="0.35">
      <c r="A9">
        <f t="shared" si="0"/>
        <v>86.110000000000014</v>
      </c>
      <c r="B9">
        <v>359.26</v>
      </c>
      <c r="C9">
        <v>1822.5</v>
      </c>
      <c r="D9">
        <f t="shared" si="1"/>
        <v>-1.7450491927918179</v>
      </c>
      <c r="H9">
        <f t="shared" si="2"/>
        <v>-1.7463768452127839</v>
      </c>
      <c r="I9">
        <f t="shared" si="3"/>
        <v>1.7626609508968722E-6</v>
      </c>
    </row>
    <row r="10" spans="1:9" x14ac:dyDescent="0.35">
      <c r="A10">
        <f t="shared" si="0"/>
        <v>90.210000000000036</v>
      </c>
      <c r="B10">
        <v>363.36</v>
      </c>
      <c r="C10">
        <v>2217.1999999999998</v>
      </c>
      <c r="D10">
        <f t="shared" si="1"/>
        <v>-1.6599118598614067</v>
      </c>
      <c r="H10">
        <f t="shared" si="2"/>
        <v>-1.6615820635049952</v>
      </c>
      <c r="I10">
        <f t="shared" si="3"/>
        <v>2.7895802110562911E-6</v>
      </c>
    </row>
    <row r="11" spans="1:9" x14ac:dyDescent="0.35">
      <c r="A11">
        <f t="shared" si="0"/>
        <v>95.12</v>
      </c>
      <c r="B11">
        <v>368.27</v>
      </c>
      <c r="C11">
        <v>2777.1</v>
      </c>
      <c r="D11">
        <f t="shared" si="1"/>
        <v>-1.5621252113328834</v>
      </c>
      <c r="H11">
        <f t="shared" si="2"/>
        <v>-1.5627729358389413</v>
      </c>
      <c r="I11">
        <f t="shared" si="3"/>
        <v>4.1954703574792264E-7</v>
      </c>
    </row>
    <row r="12" spans="1:9" x14ac:dyDescent="0.35">
      <c r="A12">
        <f t="shared" si="0"/>
        <v>99.94</v>
      </c>
      <c r="B12">
        <v>373.09</v>
      </c>
      <c r="C12">
        <v>3443.7</v>
      </c>
      <c r="D12">
        <f t="shared" si="1"/>
        <v>-1.4686914191777625</v>
      </c>
      <c r="H12">
        <f t="shared" si="2"/>
        <v>-1.4685589498162361</v>
      </c>
      <c r="I12">
        <f t="shared" si="3"/>
        <v>1.7548131743194266E-8</v>
      </c>
    </row>
    <row r="13" spans="1:9" x14ac:dyDescent="0.35">
      <c r="A13">
        <f t="shared" si="0"/>
        <v>104.71000000000004</v>
      </c>
      <c r="B13">
        <v>377.86</v>
      </c>
      <c r="C13">
        <v>4229</v>
      </c>
      <c r="D13">
        <f t="shared" si="1"/>
        <v>-1.3794790446349299</v>
      </c>
      <c r="H13">
        <f t="shared" si="2"/>
        <v>-1.3779232090433728</v>
      </c>
      <c r="I13">
        <f t="shared" si="3"/>
        <v>2.4206243879556164E-6</v>
      </c>
    </row>
    <row r="14" spans="1:9" x14ac:dyDescent="0.35">
      <c r="H14" t="s">
        <v>21</v>
      </c>
      <c r="I14">
        <f>SUM(I7:I13)</f>
        <v>9.7383033263911048E-6</v>
      </c>
    </row>
    <row r="15" spans="1:9" x14ac:dyDescent="0.35">
      <c r="H15" t="s">
        <v>666</v>
      </c>
      <c r="I15">
        <f>SQRT(SUM(I7:I13)/(COUNT(I7:I13)-1))</f>
        <v>1.2739900134610621E-3</v>
      </c>
    </row>
    <row r="16" spans="1:9" x14ac:dyDescent="0.35">
      <c r="A16" t="s">
        <v>640</v>
      </c>
    </row>
    <row r="17" spans="1:9" x14ac:dyDescent="0.35">
      <c r="A17" t="s">
        <v>33</v>
      </c>
      <c r="B17" t="s">
        <v>30</v>
      </c>
      <c r="C17" t="s">
        <v>36</v>
      </c>
      <c r="D17" t="s">
        <v>20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5">
      <c r="A18">
        <f>B18-273.15</f>
        <v>141.30000000000001</v>
      </c>
      <c r="B18">
        <v>414.45</v>
      </c>
      <c r="C18">
        <v>16660</v>
      </c>
      <c r="D18">
        <f>LOG10(C18*0.00000986923)</f>
        <v>-0.78404173271106137</v>
      </c>
      <c r="E18">
        <v>4.0420822029591994</v>
      </c>
      <c r="F18">
        <v>1508.5350226884448</v>
      </c>
      <c r="G18">
        <v>-101.872251369819</v>
      </c>
      <c r="H18">
        <f>$E$18-($F$18/(B18+$G$18))</f>
        <v>-0.78402915429301689</v>
      </c>
      <c r="I18">
        <f>(H18-D18)^2</f>
        <v>1.5821660050152997E-10</v>
      </c>
    </row>
    <row r="19" spans="1:9" x14ac:dyDescent="0.35">
      <c r="A19">
        <f t="shared" ref="A19:A30" si="4">B19-273.15</f>
        <v>145.95000000000005</v>
      </c>
      <c r="B19">
        <v>419.1</v>
      </c>
      <c r="C19">
        <v>19530</v>
      </c>
      <c r="D19">
        <f t="shared" ref="D19:D30" si="5">LOG10(C19*0.00000986923)</f>
        <v>-0.71501448649397581</v>
      </c>
      <c r="H19">
        <f t="shared" ref="H19:H30" si="6">$E$18-($F$18/(B19+$G$18))</f>
        <v>-0.71328686296406651</v>
      </c>
      <c r="I19">
        <f t="shared" ref="I19:I30" si="7">(H19-D19)^2</f>
        <v>2.9846830610962512E-6</v>
      </c>
    </row>
    <row r="20" spans="1:9" x14ac:dyDescent="0.35">
      <c r="A20">
        <f t="shared" si="4"/>
        <v>148.90000000000003</v>
      </c>
      <c r="B20">
        <v>422.05</v>
      </c>
      <c r="C20">
        <v>21600</v>
      </c>
      <c r="D20">
        <f t="shared" si="5"/>
        <v>-0.67126297863089934</v>
      </c>
      <c r="H20">
        <f t="shared" si="6"/>
        <v>-0.66947264163078923</v>
      </c>
      <c r="I20">
        <f t="shared" si="7"/>
        <v>3.2053065739632654E-6</v>
      </c>
    </row>
    <row r="21" spans="1:9" x14ac:dyDescent="0.35">
      <c r="A21">
        <f t="shared" si="4"/>
        <v>152.20000000000005</v>
      </c>
      <c r="B21">
        <v>425.35</v>
      </c>
      <c r="C21">
        <v>24540</v>
      </c>
      <c r="D21">
        <f t="shared" si="5"/>
        <v>-0.61584217139084474</v>
      </c>
      <c r="H21">
        <f t="shared" si="6"/>
        <v>-0.62140710682047118</v>
      </c>
      <c r="I21">
        <f t="shared" si="7"/>
        <v>3.0968506335911593E-5</v>
      </c>
    </row>
    <row r="22" spans="1:9" x14ac:dyDescent="0.35">
      <c r="A22">
        <f t="shared" si="4"/>
        <v>155.40000000000003</v>
      </c>
      <c r="B22">
        <v>428.55</v>
      </c>
      <c r="C22">
        <v>26930</v>
      </c>
      <c r="D22">
        <f t="shared" si="5"/>
        <v>-0.57548037637031979</v>
      </c>
      <c r="H22">
        <f t="shared" si="6"/>
        <v>-0.57572549595511457</v>
      </c>
      <c r="I22">
        <f t="shared" si="7"/>
        <v>6.0083610849967306E-8</v>
      </c>
    </row>
    <row r="23" spans="1:9" x14ac:dyDescent="0.35">
      <c r="A23">
        <f t="shared" si="4"/>
        <v>159.90000000000003</v>
      </c>
      <c r="B23">
        <v>433.05</v>
      </c>
      <c r="C23">
        <v>30990</v>
      </c>
      <c r="D23">
        <f t="shared" si="5"/>
        <v>-0.51449515354254727</v>
      </c>
      <c r="H23">
        <f t="shared" si="6"/>
        <v>-0.5129793279801671</v>
      </c>
      <c r="I23">
        <f t="shared" si="7"/>
        <v>2.2977271355651547E-6</v>
      </c>
    </row>
    <row r="24" spans="1:9" x14ac:dyDescent="0.35">
      <c r="A24">
        <f t="shared" si="4"/>
        <v>161.95000000000005</v>
      </c>
      <c r="B24">
        <v>435.1</v>
      </c>
      <c r="C24">
        <v>33210</v>
      </c>
      <c r="D24">
        <f t="shared" si="5"/>
        <v>-0.48444785418344494</v>
      </c>
      <c r="H24">
        <f t="shared" si="6"/>
        <v>-0.48495682332138035</v>
      </c>
      <c r="I24">
        <f t="shared" si="7"/>
        <v>2.5904958337071551E-7</v>
      </c>
    </row>
    <row r="25" spans="1:9" x14ac:dyDescent="0.35">
      <c r="A25">
        <f t="shared" si="4"/>
        <v>164.85000000000002</v>
      </c>
      <c r="B25">
        <v>438</v>
      </c>
      <c r="C25">
        <v>36170</v>
      </c>
      <c r="D25">
        <f t="shared" si="5"/>
        <v>-0.44736822102021045</v>
      </c>
      <c r="H25">
        <f t="shared" si="6"/>
        <v>-0.44589901500381224</v>
      </c>
      <c r="I25">
        <f t="shared" si="7"/>
        <v>2.1585663186207171E-6</v>
      </c>
    </row>
    <row r="26" spans="1:9" x14ac:dyDescent="0.35">
      <c r="A26">
        <f t="shared" si="4"/>
        <v>169.15000000000003</v>
      </c>
      <c r="B26">
        <v>442.3</v>
      </c>
      <c r="C26">
        <v>41360</v>
      </c>
      <c r="D26">
        <f t="shared" si="5"/>
        <v>-0.3891361996959441</v>
      </c>
      <c r="H26">
        <f t="shared" si="6"/>
        <v>-0.38921057137695225</v>
      </c>
      <c r="I26">
        <f t="shared" si="7"/>
        <v>5.5311469359789533E-9</v>
      </c>
    </row>
    <row r="27" spans="1:9" x14ac:dyDescent="0.35">
      <c r="A27">
        <f t="shared" si="4"/>
        <v>171</v>
      </c>
      <c r="B27">
        <v>444.15</v>
      </c>
      <c r="C27">
        <v>43380</v>
      </c>
      <c r="D27">
        <f t="shared" si="5"/>
        <v>-0.36842718210365571</v>
      </c>
      <c r="H27">
        <f t="shared" si="6"/>
        <v>-0.36525957933808773</v>
      </c>
      <c r="I27">
        <f t="shared" si="7"/>
        <v>1.0033707280433975E-5</v>
      </c>
    </row>
    <row r="28" spans="1:9" x14ac:dyDescent="0.35">
      <c r="A28">
        <f t="shared" si="4"/>
        <v>173.25</v>
      </c>
      <c r="B28">
        <v>446.4</v>
      </c>
      <c r="C28">
        <v>46960</v>
      </c>
      <c r="D28">
        <f t="shared" si="5"/>
        <v>-0.33398864154227209</v>
      </c>
      <c r="H28">
        <f t="shared" si="6"/>
        <v>-0.33647664661468202</v>
      </c>
      <c r="I28">
        <f t="shared" si="7"/>
        <v>6.1901692403375247E-6</v>
      </c>
    </row>
    <row r="29" spans="1:9" x14ac:dyDescent="0.35">
      <c r="A29">
        <f t="shared" si="4"/>
        <v>175.75</v>
      </c>
      <c r="B29">
        <v>448.9</v>
      </c>
      <c r="C29">
        <v>50330</v>
      </c>
      <c r="D29">
        <f t="shared" si="5"/>
        <v>-0.3038897993846908</v>
      </c>
      <c r="H29">
        <f t="shared" si="6"/>
        <v>-0.30493335600710569</v>
      </c>
      <c r="I29">
        <f t="shared" si="7"/>
        <v>1.0890104241859908E-6</v>
      </c>
    </row>
    <row r="30" spans="1:9" x14ac:dyDescent="0.35">
      <c r="A30">
        <f t="shared" si="4"/>
        <v>201.95000000000005</v>
      </c>
      <c r="B30">
        <v>475.1</v>
      </c>
      <c r="C30">
        <v>101320</v>
      </c>
      <c r="D30">
        <f t="shared" si="5"/>
        <v>-2.1548663319829783E-5</v>
      </c>
      <c r="H30">
        <f t="shared" si="6"/>
        <v>2.2028828360554087E-4</v>
      </c>
      <c r="I30">
        <f t="shared" si="7"/>
        <v>5.8485108898184544E-8</v>
      </c>
    </row>
    <row r="31" spans="1:9" x14ac:dyDescent="0.35">
      <c r="H31" t="s">
        <v>21</v>
      </c>
      <c r="I31">
        <f>SUM(I18:I30)</f>
        <v>5.9310984036769827E-5</v>
      </c>
    </row>
    <row r="32" spans="1:9" x14ac:dyDescent="0.35">
      <c r="H32" t="s">
        <v>666</v>
      </c>
      <c r="I32">
        <f>SQRT(SUM(I18:I30)/(COUNT(I18:I30)-1))</f>
        <v>2.2231918502603758E-3</v>
      </c>
    </row>
    <row r="33" spans="1:9" x14ac:dyDescent="0.35">
      <c r="A33" t="s">
        <v>641</v>
      </c>
    </row>
    <row r="34" spans="1:9" x14ac:dyDescent="0.35">
      <c r="A34" t="s">
        <v>33</v>
      </c>
      <c r="B34" t="s">
        <v>30</v>
      </c>
      <c r="C34" t="s">
        <v>36</v>
      </c>
      <c r="D34" t="s">
        <v>20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1:9" x14ac:dyDescent="0.35">
      <c r="A35">
        <f>B35-273.15</f>
        <v>56.850000000000023</v>
      </c>
      <c r="B35">
        <v>330</v>
      </c>
      <c r="C35">
        <v>373</v>
      </c>
      <c r="D35">
        <f>LOG10(C35*0.00000986923)</f>
        <v>-2.4340078979731428</v>
      </c>
      <c r="E35">
        <v>7.305735954289811</v>
      </c>
      <c r="F35">
        <v>3773.4611208390315</v>
      </c>
      <c r="G35">
        <v>57.539289440985215</v>
      </c>
      <c r="H35">
        <f>$E$35-($F$35/(B35+$G$35))</f>
        <v>-2.4312409759258218</v>
      </c>
      <c r="I35">
        <f>(H35-D35)^2</f>
        <v>7.6558576159509545E-6</v>
      </c>
    </row>
    <row r="36" spans="1:9" x14ac:dyDescent="0.35">
      <c r="A36">
        <f t="shared" ref="A36:A43" si="8">B36-273.15</f>
        <v>66.850000000000023</v>
      </c>
      <c r="B36">
        <v>340</v>
      </c>
      <c r="C36">
        <v>688</v>
      </c>
      <c r="D36">
        <f t="shared" ref="D36:D43" si="9">LOG10(C36*0.00000986923)</f>
        <v>-2.1681282915463189</v>
      </c>
      <c r="H36">
        <f t="shared" ref="H36:H43" si="10">$E$35-($F$35/(B36+$G$35))</f>
        <v>-2.1863097907866704</v>
      </c>
      <c r="I36">
        <f t="shared" ref="I36:I43" si="11">(H36-D36)^2</f>
        <v>3.3056691462690239E-4</v>
      </c>
    </row>
    <row r="37" spans="1:9" x14ac:dyDescent="0.35">
      <c r="A37">
        <f t="shared" si="8"/>
        <v>69.94</v>
      </c>
      <c r="B37">
        <v>343.09</v>
      </c>
      <c r="C37">
        <v>753</v>
      </c>
      <c r="D37">
        <f t="shared" si="9"/>
        <v>-2.1289217535811296</v>
      </c>
      <c r="H37">
        <f t="shared" si="10"/>
        <v>-2.1130989144845111</v>
      </c>
      <c r="I37">
        <f t="shared" si="11"/>
        <v>2.5036223707747621E-4</v>
      </c>
    </row>
    <row r="38" spans="1:9" x14ac:dyDescent="0.35">
      <c r="A38">
        <f t="shared" si="8"/>
        <v>70</v>
      </c>
      <c r="B38">
        <v>343.15</v>
      </c>
      <c r="C38">
        <v>756</v>
      </c>
      <c r="D38">
        <f t="shared" si="9"/>
        <v>-2.1271949342806238</v>
      </c>
      <c r="H38">
        <f t="shared" si="10"/>
        <v>-2.1116885196798103</v>
      </c>
      <c r="I38">
        <f t="shared" si="11"/>
        <v>2.4044889377232144E-4</v>
      </c>
    </row>
    <row r="39" spans="1:9" x14ac:dyDescent="0.35">
      <c r="A39">
        <f t="shared" si="8"/>
        <v>70</v>
      </c>
      <c r="B39">
        <v>343.15</v>
      </c>
      <c r="C39">
        <v>807</v>
      </c>
      <c r="D39">
        <f t="shared" si="9"/>
        <v>-2.0988431950597599</v>
      </c>
      <c r="H39">
        <f t="shared" si="10"/>
        <v>-2.1116885196798103</v>
      </c>
      <c r="I39">
        <f t="shared" si="11"/>
        <v>1.6500236459447273E-4</v>
      </c>
    </row>
    <row r="40" spans="1:9" x14ac:dyDescent="0.35">
      <c r="A40">
        <f t="shared" si="8"/>
        <v>76.850000000000023</v>
      </c>
      <c r="B40">
        <v>350</v>
      </c>
      <c r="C40">
        <v>1138</v>
      </c>
      <c r="D40">
        <f t="shared" si="9"/>
        <v>-1.9495744677227778</v>
      </c>
      <c r="H40">
        <f t="shared" si="10"/>
        <v>-1.953398609190006</v>
      </c>
      <c r="I40">
        <f t="shared" si="11"/>
        <v>1.4624057961374279E-5</v>
      </c>
    </row>
    <row r="41" spans="1:9" x14ac:dyDescent="0.35">
      <c r="A41">
        <f t="shared" si="8"/>
        <v>96.850000000000023</v>
      </c>
      <c r="B41">
        <v>370</v>
      </c>
      <c r="C41">
        <v>3012</v>
      </c>
      <c r="D41">
        <f t="shared" si="9"/>
        <v>-1.5268617622531673</v>
      </c>
      <c r="H41">
        <f t="shared" si="10"/>
        <v>-1.5202625306047475</v>
      </c>
      <c r="I41">
        <f t="shared" si="11"/>
        <v>4.3549858349505526E-5</v>
      </c>
    </row>
    <row r="42" spans="1:9" x14ac:dyDescent="0.35">
      <c r="A42">
        <f t="shared" si="8"/>
        <v>100</v>
      </c>
      <c r="B42">
        <v>373.15</v>
      </c>
      <c r="C42">
        <v>3454</v>
      </c>
      <c r="D42">
        <f t="shared" si="9"/>
        <v>-1.4673943965503902</v>
      </c>
      <c r="H42">
        <f t="shared" si="10"/>
        <v>-1.455710437230187</v>
      </c>
      <c r="I42">
        <f t="shared" si="11"/>
        <v>1.3651490539616235E-4</v>
      </c>
    </row>
    <row r="43" spans="1:9" x14ac:dyDescent="0.35">
      <c r="A43">
        <f t="shared" si="8"/>
        <v>99.760000000000048</v>
      </c>
      <c r="B43">
        <v>372.91</v>
      </c>
      <c r="C43">
        <v>3653</v>
      </c>
      <c r="D43">
        <f t="shared" si="9"/>
        <v>-1.4430670575699136</v>
      </c>
      <c r="H43">
        <f t="shared" si="10"/>
        <v>-1.4605954427013197</v>
      </c>
      <c r="I43">
        <f t="shared" si="11"/>
        <v>3.0724428531489804E-4</v>
      </c>
    </row>
    <row r="44" spans="1:9" x14ac:dyDescent="0.35">
      <c r="H44" t="s">
        <v>21</v>
      </c>
      <c r="I44">
        <f>SUM(I35:I43)</f>
        <v>1.4959693747090639E-3</v>
      </c>
    </row>
    <row r="45" spans="1:9" x14ac:dyDescent="0.35">
      <c r="H45" t="s">
        <v>666</v>
      </c>
      <c r="I45">
        <f>SQRT(SUM(I35:I43)/(COUNT(I35:I43)-1))</f>
        <v>1.367465435901884E-2</v>
      </c>
    </row>
    <row r="46" spans="1:9" x14ac:dyDescent="0.35">
      <c r="A46" t="s">
        <v>643</v>
      </c>
    </row>
    <row r="47" spans="1:9" x14ac:dyDescent="0.35">
      <c r="A47" t="s">
        <v>33</v>
      </c>
      <c r="B47" t="s">
        <v>30</v>
      </c>
      <c r="C47" t="s">
        <v>642</v>
      </c>
      <c r="D47" t="s">
        <v>20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</row>
    <row r="48" spans="1:9" x14ac:dyDescent="0.35">
      <c r="A48">
        <v>25</v>
      </c>
      <c r="B48">
        <f>A48+273.15</f>
        <v>298.14999999999998</v>
      </c>
      <c r="C48">
        <v>0.46</v>
      </c>
      <c r="D48">
        <f>LOG10(C48*0.00131579)</f>
        <v>-3.2180555868814591</v>
      </c>
      <c r="E48">
        <v>5.5329459207249947</v>
      </c>
      <c r="F48">
        <v>2668.1537124176557</v>
      </c>
      <c r="G48">
        <v>6.7311727174983789</v>
      </c>
      <c r="H48">
        <f>$E$48-($F$48/(B48+$G$48))</f>
        <v>-3.2185085841091094</v>
      </c>
      <c r="I48">
        <f>(H48-D48)^2</f>
        <v>2.0520648825890625E-7</v>
      </c>
    </row>
    <row r="49" spans="1:9" x14ac:dyDescent="0.35">
      <c r="A49">
        <v>50</v>
      </c>
      <c r="B49">
        <f t="shared" ref="B49:B52" si="12">A49+273.15</f>
        <v>323.14999999999998</v>
      </c>
      <c r="C49">
        <v>2.11</v>
      </c>
      <c r="D49">
        <f t="shared" ref="D49:D52" si="13">LOG10(C49*0.00131579)</f>
        <v>-2.5565309632653408</v>
      </c>
      <c r="H49">
        <f t="shared" ref="H49:H52" si="14">$E$48-($F$48/(B49+$G$48))</f>
        <v>-2.5552807896322918</v>
      </c>
      <c r="I49">
        <f t="shared" ref="I49:I52" si="15">(H49-D49)^2</f>
        <v>1.5629341127709937E-6</v>
      </c>
    </row>
    <row r="50" spans="1:9" x14ac:dyDescent="0.35">
      <c r="A50">
        <v>75</v>
      </c>
      <c r="B50">
        <f t="shared" si="12"/>
        <v>348.15</v>
      </c>
      <c r="C50">
        <v>7.87</v>
      </c>
      <c r="D50">
        <f t="shared" si="13"/>
        <v>-1.9848386862039689</v>
      </c>
      <c r="H50">
        <f t="shared" si="14"/>
        <v>-1.9854966384739061</v>
      </c>
      <c r="I50">
        <f t="shared" si="15"/>
        <v>4.3290118951558831E-7</v>
      </c>
    </row>
    <row r="51" spans="1:9" x14ac:dyDescent="0.35">
      <c r="A51">
        <v>100</v>
      </c>
      <c r="B51">
        <f t="shared" si="12"/>
        <v>373.15</v>
      </c>
      <c r="C51">
        <v>24.59</v>
      </c>
      <c r="D51">
        <f t="shared" si="13"/>
        <v>-1.4900548898243162</v>
      </c>
      <c r="H51">
        <f t="shared" si="14"/>
        <v>-1.490707537357407</v>
      </c>
      <c r="I51">
        <f t="shared" si="15"/>
        <v>4.259488024495068E-7</v>
      </c>
    </row>
    <row r="52" spans="1:9" x14ac:dyDescent="0.35">
      <c r="A52">
        <v>125</v>
      </c>
      <c r="B52">
        <f t="shared" si="12"/>
        <v>398.15</v>
      </c>
      <c r="C52">
        <v>66.569999999999993</v>
      </c>
      <c r="D52">
        <f t="shared" si="13"/>
        <v>-1.0575348616113627</v>
      </c>
      <c r="H52">
        <f t="shared" si="14"/>
        <v>-1.0570214381161938</v>
      </c>
      <c r="I52">
        <f t="shared" si="15"/>
        <v>2.636036853914687E-7</v>
      </c>
    </row>
    <row r="53" spans="1:9" x14ac:dyDescent="0.35">
      <c r="H53" t="s">
        <v>21</v>
      </c>
      <c r="I53">
        <f>SUM(I48:I52)</f>
        <v>2.8905942783864636E-6</v>
      </c>
    </row>
    <row r="54" spans="1:9" x14ac:dyDescent="0.35">
      <c r="H54" t="s">
        <v>666</v>
      </c>
      <c r="I54">
        <f>SQRT(SUM(I48:I52)/(COUNT(I48:I52)-1))</f>
        <v>8.5008738938806511E-4</v>
      </c>
    </row>
    <row r="55" spans="1:9" x14ac:dyDescent="0.35">
      <c r="A55" t="s">
        <v>644</v>
      </c>
    </row>
    <row r="56" spans="1:9" x14ac:dyDescent="0.35">
      <c r="A56" t="s">
        <v>33</v>
      </c>
      <c r="B56" t="s">
        <v>30</v>
      </c>
      <c r="C56" t="s">
        <v>645</v>
      </c>
      <c r="D56" t="s">
        <v>20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</row>
    <row r="57" spans="1:9" x14ac:dyDescent="0.35">
      <c r="A57">
        <f>B57-273.15</f>
        <v>63.730000000000018</v>
      </c>
      <c r="B57">
        <v>336.88</v>
      </c>
      <c r="C57">
        <v>5.1700000000000001E-3</v>
      </c>
      <c r="D57">
        <f>LOG10(C57*0.986923)</f>
        <v>-2.2922261866878877</v>
      </c>
      <c r="E57">
        <v>4.0341895605879285</v>
      </c>
      <c r="F57">
        <v>1562.572281132791</v>
      </c>
      <c r="G57">
        <v>-89.710622667926145</v>
      </c>
      <c r="H57">
        <f>$E$57-($F$57/(B57+$G$57))</f>
        <v>-2.287678860164954</v>
      </c>
      <c r="I57">
        <f>(H57-D57)^2</f>
        <v>2.067817850617592E-5</v>
      </c>
    </row>
    <row r="58" spans="1:9" x14ac:dyDescent="0.35">
      <c r="A58">
        <f t="shared" ref="A58:A71" si="16">B58-273.15</f>
        <v>75.590000000000032</v>
      </c>
      <c r="B58">
        <v>348.74</v>
      </c>
      <c r="C58">
        <v>1.0240000000000001E-2</v>
      </c>
      <c r="D58">
        <f t="shared" ref="D58:D71" si="17">LOG10(C58*0.986923)</f>
        <v>-1.9954167731420183</v>
      </c>
      <c r="H58">
        <f t="shared" ref="H58:H71" si="18">$E$57-($F$57/(B58+$G$57))</f>
        <v>-1.9982238174884284</v>
      </c>
      <c r="I58">
        <f t="shared" ref="I58:I71" si="19">(H58-D58)^2</f>
        <v>7.8794979627129262E-6</v>
      </c>
    </row>
    <row r="59" spans="1:9" x14ac:dyDescent="0.35">
      <c r="A59">
        <f t="shared" si="16"/>
        <v>94.03000000000003</v>
      </c>
      <c r="B59">
        <v>367.18</v>
      </c>
      <c r="C59">
        <v>2.5950000000000001E-2</v>
      </c>
      <c r="D59">
        <f t="shared" si="17"/>
        <v>-1.5915793675973535</v>
      </c>
      <c r="H59">
        <f t="shared" si="18"/>
        <v>-1.5973229910213718</v>
      </c>
      <c r="I59">
        <f t="shared" si="19"/>
        <v>3.2989210036931016E-5</v>
      </c>
    </row>
    <row r="60" spans="1:9" x14ac:dyDescent="0.35">
      <c r="A60">
        <f t="shared" si="16"/>
        <v>109.80000000000001</v>
      </c>
      <c r="B60">
        <v>382.95</v>
      </c>
      <c r="C60">
        <v>5.16E-2</v>
      </c>
      <c r="D60">
        <f t="shared" si="17"/>
        <v>-1.2930670281546188</v>
      </c>
      <c r="H60">
        <f t="shared" si="18"/>
        <v>-1.2944681911412435</v>
      </c>
      <c r="I60">
        <f t="shared" si="19"/>
        <v>1.9632577150868437E-6</v>
      </c>
    </row>
    <row r="61" spans="1:9" x14ac:dyDescent="0.35">
      <c r="A61">
        <f t="shared" si="16"/>
        <v>127.59000000000003</v>
      </c>
      <c r="B61">
        <v>400.74</v>
      </c>
      <c r="C61">
        <v>0.10329000000000001</v>
      </c>
      <c r="D61">
        <f t="shared" si="17"/>
        <v>-0.99165845235749428</v>
      </c>
      <c r="H61">
        <f t="shared" si="18"/>
        <v>-0.98968405076066723</v>
      </c>
      <c r="I61">
        <f t="shared" si="19"/>
        <v>3.8982616655531919E-6</v>
      </c>
    </row>
    <row r="62" spans="1:9" x14ac:dyDescent="0.35">
      <c r="A62">
        <f t="shared" si="16"/>
        <v>147.56</v>
      </c>
      <c r="B62">
        <v>420.71</v>
      </c>
      <c r="C62">
        <v>0.20701</v>
      </c>
      <c r="D62">
        <f t="shared" si="17"/>
        <v>-0.68972540442191554</v>
      </c>
      <c r="H62">
        <f t="shared" si="18"/>
        <v>-0.68658149864323903</v>
      </c>
      <c r="I62">
        <f t="shared" si="19"/>
        <v>9.8841435451955806E-6</v>
      </c>
    </row>
    <row r="63" spans="1:9" x14ac:dyDescent="0.35">
      <c r="A63">
        <f t="shared" si="16"/>
        <v>160.31</v>
      </c>
      <c r="B63">
        <v>433.46</v>
      </c>
      <c r="C63">
        <v>0.31022</v>
      </c>
      <c r="D63">
        <f t="shared" si="17"/>
        <v>-0.514046936273165</v>
      </c>
      <c r="H63">
        <f t="shared" si="18"/>
        <v>-0.51148349127418946</v>
      </c>
      <c r="I63">
        <f t="shared" si="19"/>
        <v>6.5712502627727027E-6</v>
      </c>
    </row>
    <row r="64" spans="1:9" x14ac:dyDescent="0.35">
      <c r="A64">
        <f t="shared" si="16"/>
        <v>170.05</v>
      </c>
      <c r="B64">
        <v>443.2</v>
      </c>
      <c r="C64">
        <v>0.41475000000000001</v>
      </c>
      <c r="D64">
        <f t="shared" si="17"/>
        <v>-0.38793033508543195</v>
      </c>
      <c r="H64">
        <f t="shared" si="18"/>
        <v>-0.38623261143362075</v>
      </c>
      <c r="I64">
        <f t="shared" si="19"/>
        <v>2.8822655979191582E-6</v>
      </c>
    </row>
    <row r="65" spans="1:9" x14ac:dyDescent="0.35">
      <c r="A65">
        <f t="shared" si="16"/>
        <v>177.77000000000004</v>
      </c>
      <c r="B65">
        <v>450.92</v>
      </c>
      <c r="C65">
        <v>0.51629999999999998</v>
      </c>
      <c r="D65">
        <f t="shared" si="17"/>
        <v>-0.29281460473460752</v>
      </c>
      <c r="H65">
        <f t="shared" si="18"/>
        <v>-0.29175649506017098</v>
      </c>
      <c r="I65">
        <f t="shared" si="19"/>
        <v>1.119596083136192E-6</v>
      </c>
    </row>
    <row r="66" spans="1:9" x14ac:dyDescent="0.35">
      <c r="A66">
        <f t="shared" si="16"/>
        <v>184.54000000000002</v>
      </c>
      <c r="B66">
        <v>457.69</v>
      </c>
      <c r="C66">
        <v>0.62165999999999999</v>
      </c>
      <c r="D66">
        <f t="shared" si="17"/>
        <v>-0.21216380569523752</v>
      </c>
      <c r="H66">
        <f t="shared" si="18"/>
        <v>-0.21216873389520607</v>
      </c>
      <c r="I66">
        <f t="shared" si="19"/>
        <v>2.4287154930083913E-11</v>
      </c>
    </row>
    <row r="67" spans="1:9" x14ac:dyDescent="0.35">
      <c r="A67">
        <f t="shared" si="16"/>
        <v>190.34000000000003</v>
      </c>
      <c r="B67">
        <v>463.49</v>
      </c>
      <c r="C67">
        <v>0.72424999999999995</v>
      </c>
      <c r="D67">
        <f t="shared" si="17"/>
        <v>-0.14582822590603084</v>
      </c>
      <c r="H67">
        <f t="shared" si="18"/>
        <v>-0.14627724923439978</v>
      </c>
      <c r="I67">
        <f t="shared" si="19"/>
        <v>2.0162194941951732E-7</v>
      </c>
    </row>
    <row r="68" spans="1:9" x14ac:dyDescent="0.35">
      <c r="A68">
        <f t="shared" si="16"/>
        <v>195.60000000000002</v>
      </c>
      <c r="B68">
        <v>468.75</v>
      </c>
      <c r="C68">
        <v>0.82826</v>
      </c>
      <c r="D68">
        <f t="shared" si="17"/>
        <v>-8.7550041740236298E-2</v>
      </c>
      <c r="H68">
        <f t="shared" si="18"/>
        <v>-8.8264133092113006E-2</v>
      </c>
      <c r="I68">
        <f t="shared" si="19"/>
        <v>5.0992645882510488E-7</v>
      </c>
    </row>
    <row r="69" spans="1:9" x14ac:dyDescent="0.35">
      <c r="A69">
        <f t="shared" si="16"/>
        <v>200.26000000000005</v>
      </c>
      <c r="B69">
        <v>473.41</v>
      </c>
      <c r="C69">
        <v>0.93042999999999998</v>
      </c>
      <c r="D69">
        <f t="shared" si="17"/>
        <v>-3.7033024810783188E-2</v>
      </c>
      <c r="H69">
        <f t="shared" si="18"/>
        <v>-3.8197243888060228E-2</v>
      </c>
      <c r="I69">
        <f t="shared" si="19"/>
        <v>1.3554060598958024E-6</v>
      </c>
    </row>
    <row r="70" spans="1:9" x14ac:dyDescent="0.35">
      <c r="A70">
        <f t="shared" si="16"/>
        <v>202.09000000000003</v>
      </c>
      <c r="B70">
        <v>475.24</v>
      </c>
      <c r="C70">
        <v>0.97304000000000002</v>
      </c>
      <c r="D70">
        <f t="shared" si="17"/>
        <v>-1.7586036047692825E-2</v>
      </c>
      <c r="H70">
        <f t="shared" si="18"/>
        <v>-1.8866764058576457E-2</v>
      </c>
      <c r="I70">
        <f t="shared" si="19"/>
        <v>1.6402642378619462E-6</v>
      </c>
    </row>
    <row r="71" spans="1:9" x14ac:dyDescent="0.35">
      <c r="A71">
        <f t="shared" si="16"/>
        <v>204.21000000000004</v>
      </c>
      <c r="B71">
        <v>477.36</v>
      </c>
      <c r="C71">
        <v>1.0243199999999999</v>
      </c>
      <c r="D71">
        <f t="shared" si="17"/>
        <v>4.7189226822079945E-3</v>
      </c>
      <c r="H71">
        <f t="shared" si="18"/>
        <v>3.2988317367443898E-3</v>
      </c>
      <c r="I71">
        <f t="shared" si="19"/>
        <v>2.0166582933877148E-6</v>
      </c>
    </row>
    <row r="72" spans="1:9" x14ac:dyDescent="0.35">
      <c r="H72" t="s">
        <v>21</v>
      </c>
      <c r="I72">
        <f>SUM(I57:I71)</f>
        <v>9.3589562662028556E-5</v>
      </c>
    </row>
    <row r="73" spans="1:9" x14ac:dyDescent="0.35">
      <c r="H73" t="s">
        <v>666</v>
      </c>
      <c r="I73">
        <f>SQRT(SUM(I57:I71)/(COUNT(I57:I71)-1))</f>
        <v>2.5855306537679009E-3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40" workbookViewId="0">
      <selection activeCell="E70" sqref="E70"/>
    </sheetView>
  </sheetViews>
  <sheetFormatPr defaultRowHeight="14.5" x14ac:dyDescent="0.35"/>
  <sheetData>
    <row r="1" spans="1:8" x14ac:dyDescent="0.35">
      <c r="A1" t="s">
        <v>27</v>
      </c>
      <c r="B1" t="s">
        <v>49</v>
      </c>
      <c r="C1">
        <v>210</v>
      </c>
    </row>
    <row r="2" spans="1:8" x14ac:dyDescent="0.35">
      <c r="A2" t="s">
        <v>33</v>
      </c>
      <c r="B2" t="s">
        <v>30</v>
      </c>
      <c r="C2" t="s">
        <v>20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5">
      <c r="A3">
        <v>7.2</v>
      </c>
      <c r="B3">
        <f>A3+273.15</f>
        <v>280.34999999999997</v>
      </c>
      <c r="C3">
        <v>-12.24</v>
      </c>
      <c r="D3">
        <v>13.474185197466673</v>
      </c>
      <c r="E3">
        <v>7166.6056334485393</v>
      </c>
      <c r="F3">
        <v>0</v>
      </c>
      <c r="G3">
        <f>$D$3-($E$3/(B3+$F$3))</f>
        <v>-12.08888108913415</v>
      </c>
      <c r="H3">
        <f>(G3-C3)^2</f>
        <v>2.2836925221280901E-2</v>
      </c>
    </row>
    <row r="4" spans="1:8" x14ac:dyDescent="0.35">
      <c r="A4">
        <v>7.9</v>
      </c>
      <c r="B4">
        <f t="shared" ref="B4:B41" si="0">A4+273.15</f>
        <v>281.04999999999995</v>
      </c>
      <c r="C4">
        <v>-12.1</v>
      </c>
      <c r="G4">
        <f t="shared" ref="G4:G41" si="1">$D$3-($E$3/(B4+$F$3))</f>
        <v>-12.025212181820075</v>
      </c>
      <c r="H4">
        <f t="shared" ref="H4:H41" si="2">(G4-C4)^2</f>
        <v>5.5932177481134325E-3</v>
      </c>
    </row>
    <row r="5" spans="1:8" x14ac:dyDescent="0.35">
      <c r="A5">
        <v>10.5</v>
      </c>
      <c r="B5">
        <f t="shared" si="0"/>
        <v>283.64999999999998</v>
      </c>
      <c r="C5">
        <v>-11.75</v>
      </c>
      <c r="G5">
        <f t="shared" si="1"/>
        <v>-11.791478943018221</v>
      </c>
      <c r="H5">
        <f t="shared" si="2"/>
        <v>1.720502713908859E-3</v>
      </c>
    </row>
    <row r="6" spans="1:8" x14ac:dyDescent="0.35">
      <c r="A6">
        <v>10.7</v>
      </c>
      <c r="B6">
        <f t="shared" si="0"/>
        <v>283.84999999999997</v>
      </c>
      <c r="C6">
        <v>-12.04</v>
      </c>
      <c r="G6">
        <f t="shared" si="1"/>
        <v>-11.773676819262375</v>
      </c>
      <c r="H6">
        <f t="shared" si="2"/>
        <v>7.0928036598205055E-2</v>
      </c>
    </row>
    <row r="7" spans="1:8" x14ac:dyDescent="0.35">
      <c r="A7">
        <v>10.7</v>
      </c>
      <c r="B7">
        <f t="shared" si="0"/>
        <v>283.84999999999997</v>
      </c>
      <c r="C7">
        <v>-12</v>
      </c>
      <c r="G7">
        <f t="shared" si="1"/>
        <v>-11.773676819262375</v>
      </c>
      <c r="H7">
        <f t="shared" si="2"/>
        <v>5.1222182139195535E-2</v>
      </c>
    </row>
    <row r="8" spans="1:8" x14ac:dyDescent="0.35">
      <c r="A8">
        <v>10.7</v>
      </c>
      <c r="B8">
        <f t="shared" si="0"/>
        <v>283.84999999999997</v>
      </c>
      <c r="C8">
        <v>-11.88</v>
      </c>
      <c r="G8">
        <f t="shared" si="1"/>
        <v>-11.773676819262375</v>
      </c>
      <c r="H8">
        <f t="shared" si="2"/>
        <v>1.1304618762165774E-2</v>
      </c>
    </row>
    <row r="9" spans="1:8" x14ac:dyDescent="0.35">
      <c r="A9">
        <v>10.8</v>
      </c>
      <c r="B9">
        <f t="shared" si="0"/>
        <v>283.95</v>
      </c>
      <c r="C9">
        <v>-11.72</v>
      </c>
      <c r="G9">
        <f t="shared" si="1"/>
        <v>-11.764785161570268</v>
      </c>
      <c r="H9">
        <f t="shared" si="2"/>
        <v>2.0057106968749613E-3</v>
      </c>
    </row>
    <row r="10" spans="1:8" x14ac:dyDescent="0.35">
      <c r="A10">
        <v>11</v>
      </c>
      <c r="B10">
        <f t="shared" si="0"/>
        <v>284.14999999999998</v>
      </c>
      <c r="C10">
        <v>-11.56</v>
      </c>
      <c r="G10">
        <f t="shared" si="1"/>
        <v>-11.747020621461852</v>
      </c>
      <c r="H10">
        <f t="shared" si="2"/>
        <v>3.4976712851977065E-2</v>
      </c>
    </row>
    <row r="11" spans="1:8" x14ac:dyDescent="0.35">
      <c r="A11">
        <v>11.3</v>
      </c>
      <c r="B11">
        <f t="shared" si="0"/>
        <v>284.45</v>
      </c>
      <c r="C11">
        <v>-11.49</v>
      </c>
      <c r="G11">
        <f t="shared" si="1"/>
        <v>-11.720420650480383</v>
      </c>
      <c r="H11">
        <f t="shared" si="2"/>
        <v>5.3093676167802806E-2</v>
      </c>
    </row>
    <row r="12" spans="1:8" x14ac:dyDescent="0.35">
      <c r="A12">
        <v>15.3</v>
      </c>
      <c r="B12">
        <f t="shared" si="0"/>
        <v>288.45</v>
      </c>
      <c r="C12">
        <v>-11.34</v>
      </c>
      <c r="G12">
        <f t="shared" si="1"/>
        <v>-11.3710414742218</v>
      </c>
      <c r="H12">
        <f t="shared" si="2"/>
        <v>9.635731218626555E-4</v>
      </c>
    </row>
    <row r="13" spans="1:8" x14ac:dyDescent="0.35">
      <c r="A13">
        <v>15.6</v>
      </c>
      <c r="B13">
        <f t="shared" si="0"/>
        <v>288.75</v>
      </c>
      <c r="C13">
        <v>-11.38</v>
      </c>
      <c r="G13">
        <f t="shared" si="1"/>
        <v>-11.345228251705757</v>
      </c>
      <c r="H13">
        <f t="shared" si="2"/>
        <v>1.2090744794382303E-3</v>
      </c>
    </row>
    <row r="14" spans="1:8" x14ac:dyDescent="0.35">
      <c r="A14">
        <v>15.6</v>
      </c>
      <c r="B14">
        <f t="shared" si="0"/>
        <v>288.75</v>
      </c>
      <c r="C14">
        <v>-11.27</v>
      </c>
      <c r="G14">
        <f t="shared" si="1"/>
        <v>-11.345228251705757</v>
      </c>
      <c r="H14">
        <f t="shared" si="2"/>
        <v>5.6592898547048274E-3</v>
      </c>
    </row>
    <row r="15" spans="1:8" x14ac:dyDescent="0.35">
      <c r="A15">
        <v>15.7</v>
      </c>
      <c r="B15">
        <f t="shared" si="0"/>
        <v>288.84999999999997</v>
      </c>
      <c r="C15">
        <v>-11.29</v>
      </c>
      <c r="G15">
        <f t="shared" si="1"/>
        <v>-11.336635759599419</v>
      </c>
      <c r="H15">
        <f t="shared" si="2"/>
        <v>2.1748940734148958E-3</v>
      </c>
    </row>
    <row r="16" spans="1:8" x14ac:dyDescent="0.35">
      <c r="A16">
        <v>16</v>
      </c>
      <c r="B16">
        <f t="shared" si="0"/>
        <v>289.14999999999998</v>
      </c>
      <c r="C16">
        <v>-11.29</v>
      </c>
      <c r="G16">
        <f t="shared" si="1"/>
        <v>-11.310893942939829</v>
      </c>
      <c r="H16">
        <f t="shared" si="2"/>
        <v>4.3655685157288312E-4</v>
      </c>
    </row>
    <row r="17" spans="1:8" x14ac:dyDescent="0.35">
      <c r="A17">
        <v>16.399999999999999</v>
      </c>
      <c r="B17">
        <f t="shared" si="0"/>
        <v>289.54999999999995</v>
      </c>
      <c r="C17">
        <v>-11.26</v>
      </c>
      <c r="G17">
        <f t="shared" si="1"/>
        <v>-11.276654496708913</v>
      </c>
      <c r="H17">
        <f t="shared" si="2"/>
        <v>2.7737226062719589E-4</v>
      </c>
    </row>
    <row r="18" spans="1:8" x14ac:dyDescent="0.35">
      <c r="A18">
        <v>16.8</v>
      </c>
      <c r="B18">
        <f t="shared" si="0"/>
        <v>289.95</v>
      </c>
      <c r="C18">
        <v>-11.05</v>
      </c>
      <c r="G18">
        <f t="shared" si="1"/>
        <v>-11.242509520410684</v>
      </c>
      <c r="H18">
        <f t="shared" si="2"/>
        <v>3.7059915448751105E-2</v>
      </c>
    </row>
    <row r="19" spans="1:8" x14ac:dyDescent="0.35">
      <c r="A19">
        <v>17.2</v>
      </c>
      <c r="B19">
        <f t="shared" si="0"/>
        <v>290.34999999999997</v>
      </c>
      <c r="C19">
        <v>-11.02</v>
      </c>
      <c r="G19">
        <f t="shared" si="1"/>
        <v>-11.20845862360631</v>
      </c>
      <c r="H19">
        <f t="shared" si="2"/>
        <v>3.5516652811584969E-2</v>
      </c>
    </row>
    <row r="20" spans="1:8" x14ac:dyDescent="0.35">
      <c r="A20">
        <v>20.399999999999999</v>
      </c>
      <c r="B20">
        <f t="shared" si="0"/>
        <v>293.54999999999995</v>
      </c>
      <c r="C20">
        <v>-10.95</v>
      </c>
      <c r="G20">
        <f t="shared" si="1"/>
        <v>-10.939392160559356</v>
      </c>
      <c r="H20">
        <f t="shared" si="2"/>
        <v>1.1252625759847125E-4</v>
      </c>
    </row>
    <row r="21" spans="1:8" x14ac:dyDescent="0.35">
      <c r="A21">
        <v>20.5</v>
      </c>
      <c r="B21">
        <f t="shared" si="0"/>
        <v>293.64999999999998</v>
      </c>
      <c r="C21">
        <v>-10.97</v>
      </c>
      <c r="G21">
        <f t="shared" si="1"/>
        <v>-10.931078325259497</v>
      </c>
      <c r="H21">
        <f t="shared" si="2"/>
        <v>1.5148967646055618E-3</v>
      </c>
    </row>
    <row r="22" spans="1:8" x14ac:dyDescent="0.35">
      <c r="A22">
        <v>20.7</v>
      </c>
      <c r="B22">
        <f t="shared" si="0"/>
        <v>293.84999999999997</v>
      </c>
      <c r="C22">
        <v>-10.92</v>
      </c>
      <c r="G22">
        <f t="shared" si="1"/>
        <v>-10.914467630331659</v>
      </c>
      <c r="H22">
        <f t="shared" si="2"/>
        <v>3.0607114147178614E-5</v>
      </c>
    </row>
    <row r="23" spans="1:8" x14ac:dyDescent="0.35">
      <c r="A23">
        <v>22.2</v>
      </c>
      <c r="B23">
        <f t="shared" si="0"/>
        <v>295.34999999999997</v>
      </c>
      <c r="C23">
        <v>-10.86</v>
      </c>
      <c r="G23">
        <f t="shared" si="1"/>
        <v>-10.790604487478445</v>
      </c>
      <c r="H23">
        <f t="shared" si="2"/>
        <v>4.815737158129183E-3</v>
      </c>
    </row>
    <row r="24" spans="1:8" x14ac:dyDescent="0.35">
      <c r="A24">
        <v>22.6</v>
      </c>
      <c r="B24">
        <f t="shared" si="0"/>
        <v>295.75</v>
      </c>
      <c r="C24">
        <v>-10.71</v>
      </c>
      <c r="G24">
        <f t="shared" si="1"/>
        <v>-10.757786513263808</v>
      </c>
      <c r="H24">
        <f t="shared" si="2"/>
        <v>2.2835508499119924E-3</v>
      </c>
    </row>
    <row r="25" spans="1:8" x14ac:dyDescent="0.35">
      <c r="A25">
        <v>23.2</v>
      </c>
      <c r="B25">
        <f t="shared" si="0"/>
        <v>296.34999999999997</v>
      </c>
      <c r="C25">
        <v>-10.69</v>
      </c>
      <c r="G25">
        <f t="shared" si="1"/>
        <v>-10.708725662828721</v>
      </c>
      <c r="H25">
        <f t="shared" si="2"/>
        <v>3.5065044837496464E-4</v>
      </c>
    </row>
    <row r="26" spans="1:8" x14ac:dyDescent="0.35">
      <c r="A26">
        <v>25.4</v>
      </c>
      <c r="B26">
        <f t="shared" si="0"/>
        <v>298.54999999999995</v>
      </c>
      <c r="C26">
        <v>-10.65</v>
      </c>
      <c r="G26">
        <f t="shared" si="1"/>
        <v>-10.530523003667275</v>
      </c>
      <c r="H26">
        <f t="shared" si="2"/>
        <v>1.4274752652690067E-2</v>
      </c>
    </row>
    <row r="27" spans="1:8" x14ac:dyDescent="0.35">
      <c r="A27">
        <v>25.4</v>
      </c>
      <c r="B27">
        <f t="shared" si="0"/>
        <v>298.54999999999995</v>
      </c>
      <c r="C27">
        <v>-10.73</v>
      </c>
      <c r="G27">
        <f t="shared" si="1"/>
        <v>-10.530523003667275</v>
      </c>
      <c r="H27">
        <f t="shared" si="2"/>
        <v>3.979107206592615E-2</v>
      </c>
    </row>
    <row r="28" spans="1:8" x14ac:dyDescent="0.35">
      <c r="A28">
        <v>25.3</v>
      </c>
      <c r="B28">
        <f t="shared" si="0"/>
        <v>298.45</v>
      </c>
      <c r="C28">
        <v>-10.59</v>
      </c>
      <c r="G28">
        <f t="shared" si="1"/>
        <v>-10.538566129216322</v>
      </c>
      <c r="H28">
        <f t="shared" si="2"/>
        <v>2.6454430637920289E-3</v>
      </c>
    </row>
    <row r="29" spans="1:8" x14ac:dyDescent="0.35">
      <c r="A29">
        <v>25.4</v>
      </c>
      <c r="B29">
        <f t="shared" si="0"/>
        <v>298.54999999999995</v>
      </c>
      <c r="C29">
        <v>-10.45</v>
      </c>
      <c r="G29">
        <f t="shared" si="1"/>
        <v>-10.530523003667275</v>
      </c>
      <c r="H29">
        <f t="shared" si="2"/>
        <v>6.4839541196000982E-3</v>
      </c>
    </row>
    <row r="30" spans="1:8" x14ac:dyDescent="0.35">
      <c r="A30">
        <v>25.4</v>
      </c>
      <c r="B30">
        <f t="shared" si="0"/>
        <v>298.54999999999995</v>
      </c>
      <c r="C30">
        <v>-10.43</v>
      </c>
      <c r="G30">
        <f t="shared" si="1"/>
        <v>-10.530523003667275</v>
      </c>
      <c r="H30">
        <f t="shared" si="2"/>
        <v>1.0104874266291041E-2</v>
      </c>
    </row>
    <row r="31" spans="1:8" x14ac:dyDescent="0.35">
      <c r="A31">
        <v>25.4</v>
      </c>
      <c r="B31">
        <f t="shared" si="0"/>
        <v>298.54999999999995</v>
      </c>
      <c r="C31">
        <v>-10.37</v>
      </c>
      <c r="G31">
        <f t="shared" si="1"/>
        <v>-10.530523003667275</v>
      </c>
      <c r="H31">
        <f t="shared" si="2"/>
        <v>2.5767634706364236E-2</v>
      </c>
    </row>
    <row r="32" spans="1:8" x14ac:dyDescent="0.35">
      <c r="A32">
        <v>27.4</v>
      </c>
      <c r="B32">
        <f t="shared" si="0"/>
        <v>300.54999999999995</v>
      </c>
      <c r="C32">
        <v>-10.32</v>
      </c>
      <c r="G32">
        <f t="shared" si="1"/>
        <v>-10.370784469638769</v>
      </c>
      <c r="H32">
        <f t="shared" si="2"/>
        <v>2.5790623564910429E-3</v>
      </c>
    </row>
    <row r="33" spans="1:8" x14ac:dyDescent="0.35">
      <c r="A33">
        <v>27.4</v>
      </c>
      <c r="B33">
        <f t="shared" si="0"/>
        <v>300.54999999999995</v>
      </c>
      <c r="C33">
        <v>-10.33</v>
      </c>
      <c r="G33">
        <f t="shared" si="1"/>
        <v>-10.370784469638769</v>
      </c>
      <c r="H33">
        <f t="shared" si="2"/>
        <v>1.6633729637156817E-3</v>
      </c>
    </row>
    <row r="34" spans="1:8" x14ac:dyDescent="0.35">
      <c r="A34">
        <v>27.4</v>
      </c>
      <c r="B34">
        <f t="shared" si="0"/>
        <v>300.54999999999995</v>
      </c>
      <c r="C34">
        <v>-10.31</v>
      </c>
      <c r="G34">
        <f t="shared" si="1"/>
        <v>-10.370784469638769</v>
      </c>
      <c r="H34">
        <f t="shared" si="2"/>
        <v>3.6947517492663955E-3</v>
      </c>
    </row>
    <row r="35" spans="1:8" x14ac:dyDescent="0.35">
      <c r="A35">
        <v>29.3</v>
      </c>
      <c r="B35">
        <f t="shared" si="0"/>
        <v>302.45</v>
      </c>
      <c r="C35">
        <v>-10.210000000000001</v>
      </c>
      <c r="G35">
        <f t="shared" si="1"/>
        <v>-10.220989652751674</v>
      </c>
      <c r="H35">
        <f t="shared" si="2"/>
        <v>1.2077246760236532E-4</v>
      </c>
    </row>
    <row r="36" spans="1:8" x14ac:dyDescent="0.35">
      <c r="A36">
        <v>29.3</v>
      </c>
      <c r="B36">
        <f t="shared" si="0"/>
        <v>302.45</v>
      </c>
      <c r="C36">
        <v>-10.28</v>
      </c>
      <c r="G36">
        <f t="shared" si="1"/>
        <v>-10.220989652751674</v>
      </c>
      <c r="H36">
        <f t="shared" si="2"/>
        <v>3.4822210823678965E-3</v>
      </c>
    </row>
    <row r="37" spans="1:8" x14ac:dyDescent="0.35">
      <c r="A37">
        <v>29.3</v>
      </c>
      <c r="B37">
        <f t="shared" si="0"/>
        <v>302.45</v>
      </c>
      <c r="C37">
        <v>-10.19</v>
      </c>
      <c r="G37">
        <f t="shared" si="1"/>
        <v>-10.220989652751674</v>
      </c>
      <c r="H37">
        <f t="shared" si="2"/>
        <v>9.6035857766938967E-4</v>
      </c>
    </row>
    <row r="38" spans="1:8" x14ac:dyDescent="0.35">
      <c r="A38">
        <v>29.4</v>
      </c>
      <c r="B38">
        <f t="shared" si="0"/>
        <v>302.54999999999995</v>
      </c>
      <c r="C38">
        <v>-10.130000000000001</v>
      </c>
      <c r="G38">
        <f t="shared" si="1"/>
        <v>-10.213157831614604</v>
      </c>
      <c r="H38">
        <f t="shared" si="2"/>
        <v>6.915224958842647E-3</v>
      </c>
    </row>
    <row r="39" spans="1:8" x14ac:dyDescent="0.35">
      <c r="A39">
        <v>31.4</v>
      </c>
      <c r="B39">
        <f t="shared" si="0"/>
        <v>304.54999999999995</v>
      </c>
      <c r="C39">
        <v>-10.220000000000001</v>
      </c>
      <c r="G39">
        <f t="shared" si="1"/>
        <v>-10.057601482712412</v>
      </c>
      <c r="H39">
        <f t="shared" si="2"/>
        <v>2.6373278417207137E-2</v>
      </c>
    </row>
    <row r="40" spans="1:8" x14ac:dyDescent="0.35">
      <c r="A40">
        <v>31.4</v>
      </c>
      <c r="B40">
        <f t="shared" si="0"/>
        <v>304.54999999999995</v>
      </c>
      <c r="C40">
        <v>-10.18</v>
      </c>
      <c r="G40">
        <f t="shared" si="1"/>
        <v>-10.057601482712412</v>
      </c>
      <c r="H40">
        <f t="shared" si="2"/>
        <v>1.4981397034199841E-2</v>
      </c>
    </row>
    <row r="41" spans="1:8" x14ac:dyDescent="0.35">
      <c r="A41">
        <v>31.4</v>
      </c>
      <c r="B41">
        <f t="shared" si="0"/>
        <v>304.54999999999995</v>
      </c>
      <c r="C41">
        <v>-10.119999999999999</v>
      </c>
      <c r="G41">
        <f t="shared" si="1"/>
        <v>-10.057601482712412</v>
      </c>
      <c r="H41">
        <f t="shared" si="2"/>
        <v>3.8935749596892863E-3</v>
      </c>
    </row>
    <row r="42" spans="1:8" x14ac:dyDescent="0.35">
      <c r="G42" t="s">
        <v>21</v>
      </c>
      <c r="H42">
        <f>SUM(H3:H41)</f>
        <v>0.50981862583596382</v>
      </c>
    </row>
    <row r="43" spans="1:8" x14ac:dyDescent="0.35">
      <c r="G43" t="s">
        <v>666</v>
      </c>
      <c r="H43">
        <f>SQRT(SUM(H3:H41)/(COUNT(H3:H41)-1))</f>
        <v>0.11582866496365313</v>
      </c>
    </row>
    <row r="45" spans="1:8" x14ac:dyDescent="0.35">
      <c r="A45" t="s">
        <v>27</v>
      </c>
      <c r="B45" t="s">
        <v>49</v>
      </c>
      <c r="C45">
        <v>275</v>
      </c>
    </row>
    <row r="46" spans="1:8" x14ac:dyDescent="0.35">
      <c r="A46" t="s">
        <v>33</v>
      </c>
      <c r="B46" t="s">
        <v>30</v>
      </c>
      <c r="C46" t="s">
        <v>20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</row>
    <row r="47" spans="1:8" x14ac:dyDescent="0.35">
      <c r="A47">
        <v>40.299999999999997</v>
      </c>
      <c r="B47">
        <f>A47+273.15</f>
        <v>313.45</v>
      </c>
      <c r="C47">
        <v>-13.75</v>
      </c>
      <c r="D47">
        <v>6.5626456388413654</v>
      </c>
      <c r="E47">
        <v>6469.4044971175281</v>
      </c>
      <c r="F47">
        <v>0</v>
      </c>
      <c r="G47">
        <f>$D$47-($E$47/(B47+$F$47))</f>
        <v>-14.076705125610792</v>
      </c>
      <c r="H47">
        <f>(G47-C47)^2</f>
        <v>0.1067362391003631</v>
      </c>
    </row>
    <row r="48" spans="1:8" x14ac:dyDescent="0.35">
      <c r="A48">
        <v>40.299999999999997</v>
      </c>
      <c r="B48">
        <f t="shared" ref="B48:B70" si="3">A48+273.15</f>
        <v>313.45</v>
      </c>
      <c r="C48">
        <v>-13.99</v>
      </c>
      <c r="G48">
        <f t="shared" ref="G48:G70" si="4">$D$47-($E$47/(B48+$F$47))</f>
        <v>-14.076705125610792</v>
      </c>
      <c r="H48">
        <f t="shared" ref="H48:H70" si="5">(G48-C48)^2</f>
        <v>7.5177788071831069E-3</v>
      </c>
    </row>
    <row r="49" spans="1:8" x14ac:dyDescent="0.35">
      <c r="A49">
        <v>40.299999999999997</v>
      </c>
      <c r="B49">
        <f t="shared" si="3"/>
        <v>313.45</v>
      </c>
      <c r="C49">
        <v>-14.04</v>
      </c>
      <c r="G49">
        <f t="shared" si="4"/>
        <v>-14.076705125610792</v>
      </c>
      <c r="H49">
        <f t="shared" si="5"/>
        <v>1.3472662461040499E-3</v>
      </c>
    </row>
    <row r="50" spans="1:8" x14ac:dyDescent="0.35">
      <c r="A50">
        <v>40.299999999999997</v>
      </c>
      <c r="B50">
        <f t="shared" si="3"/>
        <v>313.45</v>
      </c>
      <c r="C50">
        <v>-14.15</v>
      </c>
      <c r="G50">
        <f t="shared" si="4"/>
        <v>-14.076705125610792</v>
      </c>
      <c r="H50">
        <f t="shared" si="5"/>
        <v>5.3721386117298944E-3</v>
      </c>
    </row>
    <row r="51" spans="1:8" x14ac:dyDescent="0.35">
      <c r="A51">
        <v>40.299999999999997</v>
      </c>
      <c r="B51">
        <f t="shared" si="3"/>
        <v>313.45</v>
      </c>
      <c r="C51">
        <v>-14.32</v>
      </c>
      <c r="G51">
        <f t="shared" si="4"/>
        <v>-14.076705125610792</v>
      </c>
      <c r="H51">
        <f t="shared" si="5"/>
        <v>5.9192395904060849E-2</v>
      </c>
    </row>
    <row r="52" spans="1:8" x14ac:dyDescent="0.35">
      <c r="A52">
        <v>50.2</v>
      </c>
      <c r="B52">
        <f t="shared" si="3"/>
        <v>323.34999999999997</v>
      </c>
      <c r="C52">
        <v>-13.25</v>
      </c>
      <c r="G52">
        <f t="shared" si="4"/>
        <v>-13.444790566872348</v>
      </c>
      <c r="H52">
        <f t="shared" si="5"/>
        <v>3.7943364942450493E-2</v>
      </c>
    </row>
    <row r="53" spans="1:8" x14ac:dyDescent="0.35">
      <c r="A53">
        <v>50.2</v>
      </c>
      <c r="B53">
        <f t="shared" si="3"/>
        <v>323.34999999999997</v>
      </c>
      <c r="C53">
        <v>-13.28</v>
      </c>
      <c r="G53">
        <f t="shared" si="4"/>
        <v>-13.444790566872348</v>
      </c>
      <c r="H53">
        <f t="shared" si="5"/>
        <v>2.7155930930109852E-2</v>
      </c>
    </row>
    <row r="54" spans="1:8" x14ac:dyDescent="0.35">
      <c r="A54">
        <v>50.2</v>
      </c>
      <c r="B54">
        <f t="shared" si="3"/>
        <v>323.34999999999997</v>
      </c>
      <c r="C54">
        <v>-13.39</v>
      </c>
      <c r="G54">
        <f t="shared" si="4"/>
        <v>-13.444790566872348</v>
      </c>
      <c r="H54">
        <f t="shared" si="5"/>
        <v>3.0020062181931239E-3</v>
      </c>
    </row>
    <row r="55" spans="1:8" x14ac:dyDescent="0.35">
      <c r="A55">
        <v>50.2</v>
      </c>
      <c r="B55">
        <f t="shared" si="3"/>
        <v>323.34999999999997</v>
      </c>
      <c r="C55">
        <v>-13.44</v>
      </c>
      <c r="G55">
        <f t="shared" si="4"/>
        <v>-13.444790566872348</v>
      </c>
      <c r="H55">
        <f t="shared" si="5"/>
        <v>2.2949530958438322E-5</v>
      </c>
    </row>
    <row r="56" spans="1:8" x14ac:dyDescent="0.35">
      <c r="A56">
        <v>50.2</v>
      </c>
      <c r="B56">
        <f t="shared" si="3"/>
        <v>323.34999999999997</v>
      </c>
      <c r="C56">
        <v>-13.45</v>
      </c>
      <c r="G56">
        <f t="shared" si="4"/>
        <v>-13.444790566872348</v>
      </c>
      <c r="H56">
        <f t="shared" si="5"/>
        <v>2.7138193511475636E-5</v>
      </c>
    </row>
    <row r="57" spans="1:8" x14ac:dyDescent="0.35">
      <c r="A57">
        <v>50.2</v>
      </c>
      <c r="B57">
        <f t="shared" si="3"/>
        <v>323.34999999999997</v>
      </c>
      <c r="C57">
        <v>-13.48</v>
      </c>
      <c r="G57">
        <f t="shared" si="4"/>
        <v>-13.444790566872348</v>
      </c>
      <c r="H57">
        <f t="shared" si="5"/>
        <v>1.2397041811706615E-3</v>
      </c>
    </row>
    <row r="58" spans="1:8" x14ac:dyDescent="0.35">
      <c r="A58">
        <v>50.2</v>
      </c>
      <c r="B58">
        <f t="shared" si="3"/>
        <v>323.34999999999997</v>
      </c>
      <c r="C58">
        <v>-13.55</v>
      </c>
      <c r="G58">
        <f t="shared" si="4"/>
        <v>-13.444790566872348</v>
      </c>
      <c r="H58">
        <f t="shared" si="5"/>
        <v>1.1069024819042128E-2</v>
      </c>
    </row>
    <row r="59" spans="1:8" x14ac:dyDescent="0.35">
      <c r="A59">
        <v>60.1</v>
      </c>
      <c r="B59">
        <f t="shared" si="3"/>
        <v>333.25</v>
      </c>
      <c r="C59">
        <v>-12.99</v>
      </c>
      <c r="G59">
        <f t="shared" si="4"/>
        <v>-12.85042111920073</v>
      </c>
      <c r="H59">
        <f t="shared" si="5"/>
        <v>1.9482263965176869E-2</v>
      </c>
    </row>
    <row r="60" spans="1:8" x14ac:dyDescent="0.35">
      <c r="A60">
        <v>60.2</v>
      </c>
      <c r="B60">
        <f t="shared" si="3"/>
        <v>333.34999999999997</v>
      </c>
      <c r="C60">
        <v>-12.94</v>
      </c>
      <c r="G60">
        <f t="shared" si="4"/>
        <v>-12.84459749035476</v>
      </c>
      <c r="H60">
        <f t="shared" si="5"/>
        <v>9.1016388466100689E-3</v>
      </c>
    </row>
    <row r="61" spans="1:8" x14ac:dyDescent="0.35">
      <c r="A61">
        <v>60.2</v>
      </c>
      <c r="B61">
        <f t="shared" si="3"/>
        <v>333.34999999999997</v>
      </c>
      <c r="C61">
        <v>-13.01</v>
      </c>
      <c r="G61">
        <f t="shared" si="4"/>
        <v>-12.84459749035476</v>
      </c>
      <c r="H61">
        <f t="shared" si="5"/>
        <v>2.7357990196943731E-2</v>
      </c>
    </row>
    <row r="62" spans="1:8" x14ac:dyDescent="0.35">
      <c r="A62">
        <v>60.2</v>
      </c>
      <c r="B62">
        <f t="shared" si="3"/>
        <v>333.34999999999997</v>
      </c>
      <c r="C62">
        <v>-13.11</v>
      </c>
      <c r="G62">
        <f t="shared" si="4"/>
        <v>-12.84459749035476</v>
      </c>
      <c r="H62">
        <f t="shared" si="5"/>
        <v>7.0438492125991556E-2</v>
      </c>
    </row>
    <row r="63" spans="1:8" x14ac:dyDescent="0.35">
      <c r="A63">
        <v>70.2</v>
      </c>
      <c r="B63">
        <f t="shared" si="3"/>
        <v>343.34999999999997</v>
      </c>
      <c r="C63">
        <v>-12.27</v>
      </c>
      <c r="G63">
        <f t="shared" si="4"/>
        <v>-12.279365420187405</v>
      </c>
      <c r="H63">
        <f t="shared" si="5"/>
        <v>8.7711095286664424E-5</v>
      </c>
    </row>
    <row r="64" spans="1:8" x14ac:dyDescent="0.35">
      <c r="A64">
        <v>70.2</v>
      </c>
      <c r="B64">
        <f t="shared" si="3"/>
        <v>343.34999999999997</v>
      </c>
      <c r="C64">
        <v>-12.3</v>
      </c>
      <c r="G64">
        <f t="shared" si="4"/>
        <v>-12.279365420187405</v>
      </c>
      <c r="H64">
        <f t="shared" si="5"/>
        <v>4.2578588404237509E-4</v>
      </c>
    </row>
    <row r="65" spans="1:8" x14ac:dyDescent="0.35">
      <c r="A65">
        <v>70.2</v>
      </c>
      <c r="B65">
        <f t="shared" si="3"/>
        <v>343.34999999999997</v>
      </c>
      <c r="C65">
        <v>-12.35</v>
      </c>
      <c r="G65">
        <f t="shared" si="4"/>
        <v>-12.279365420187405</v>
      </c>
      <c r="H65">
        <f t="shared" si="5"/>
        <v>4.9892438653017781E-3</v>
      </c>
    </row>
    <row r="66" spans="1:8" x14ac:dyDescent="0.35">
      <c r="A66">
        <v>80.2</v>
      </c>
      <c r="B66">
        <f t="shared" si="3"/>
        <v>353.34999999999997</v>
      </c>
      <c r="C66">
        <v>-11.58</v>
      </c>
      <c r="G66">
        <f t="shared" si="4"/>
        <v>-11.746126109050325</v>
      </c>
      <c r="H66">
        <f t="shared" si="5"/>
        <v>2.7597884108200323E-2</v>
      </c>
    </row>
    <row r="67" spans="1:8" x14ac:dyDescent="0.35">
      <c r="A67">
        <v>80.2</v>
      </c>
      <c r="B67">
        <f t="shared" si="3"/>
        <v>353.34999999999997</v>
      </c>
      <c r="C67">
        <v>-11.61</v>
      </c>
      <c r="G67">
        <f t="shared" si="4"/>
        <v>-11.746126109050325</v>
      </c>
      <c r="H67">
        <f t="shared" si="5"/>
        <v>1.8530317565181025E-2</v>
      </c>
    </row>
    <row r="68" spans="1:8" x14ac:dyDescent="0.35">
      <c r="A68">
        <v>80.2</v>
      </c>
      <c r="B68">
        <f t="shared" si="3"/>
        <v>353.34999999999997</v>
      </c>
      <c r="C68">
        <v>-11.62</v>
      </c>
      <c r="G68">
        <f t="shared" si="4"/>
        <v>-11.746126109050325</v>
      </c>
      <c r="H68">
        <f t="shared" si="5"/>
        <v>1.5907795384174573E-2</v>
      </c>
    </row>
    <row r="69" spans="1:8" x14ac:dyDescent="0.35">
      <c r="A69">
        <v>80.2</v>
      </c>
      <c r="B69">
        <f t="shared" si="3"/>
        <v>353.34999999999997</v>
      </c>
      <c r="C69">
        <v>-11.76</v>
      </c>
      <c r="G69">
        <f t="shared" si="4"/>
        <v>-11.746126109050325</v>
      </c>
      <c r="H69">
        <f t="shared" si="5"/>
        <v>1.9248485008347863E-4</v>
      </c>
    </row>
    <row r="70" spans="1:8" x14ac:dyDescent="0.35">
      <c r="A70">
        <v>80.2</v>
      </c>
      <c r="B70">
        <f t="shared" si="3"/>
        <v>353.34999999999997</v>
      </c>
      <c r="C70">
        <v>-11.82</v>
      </c>
      <c r="G70">
        <f t="shared" si="4"/>
        <v>-11.746126109050325</v>
      </c>
      <c r="H70">
        <f t="shared" si="5"/>
        <v>5.4573517640445724E-3</v>
      </c>
    </row>
    <row r="71" spans="1:8" x14ac:dyDescent="0.35">
      <c r="G71" t="s">
        <v>21</v>
      </c>
      <c r="H71">
        <f>SUM(H47:H70)</f>
        <v>0.46019489713591416</v>
      </c>
    </row>
    <row r="72" spans="1:8" x14ac:dyDescent="0.35">
      <c r="G72" t="s">
        <v>666</v>
      </c>
      <c r="H72">
        <f>SQRT(SUM(H47:H70)/(COUNT(H47:H70)-1))</f>
        <v>0.14145131243123199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7" sqref="H7:I7"/>
    </sheetView>
  </sheetViews>
  <sheetFormatPr defaultRowHeight="14.5" x14ac:dyDescent="0.35"/>
  <sheetData>
    <row r="1" spans="1:9" x14ac:dyDescent="0.35">
      <c r="A1" t="s">
        <v>33</v>
      </c>
      <c r="B1" t="s">
        <v>30</v>
      </c>
      <c r="C1" t="s">
        <v>36</v>
      </c>
      <c r="D1" t="s">
        <v>20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17</v>
      </c>
      <c r="B2">
        <f>A2+273.15</f>
        <v>290.14999999999998</v>
      </c>
      <c r="C2">
        <v>2.2499999999999999E-2</v>
      </c>
      <c r="D2">
        <f>LOG10(C2*0.00000986923)</f>
        <v>-6.6535342116704674</v>
      </c>
      <c r="E2">
        <v>5.9444769689156871</v>
      </c>
      <c r="F2">
        <v>3658.8646400296134</v>
      </c>
      <c r="G2">
        <v>0</v>
      </c>
      <c r="H2">
        <f>$E$2-($F$2/(B2)+$G$2)</f>
        <v>-6.6657751076985257</v>
      </c>
      <c r="I2">
        <f>(H2-D2)^2</f>
        <v>1.498395355697316E-4</v>
      </c>
    </row>
    <row r="3" spans="1:9" x14ac:dyDescent="0.35">
      <c r="A3">
        <v>25.1</v>
      </c>
      <c r="B3">
        <f t="shared" ref="B3:B5" si="0">A3+273.15</f>
        <v>298.25</v>
      </c>
      <c r="C3">
        <v>4.7899999999999998E-2</v>
      </c>
      <c r="D3">
        <f t="shared" ref="D3:D5" si="1">LOG10(C3*0.00000986923)</f>
        <v>-6.3253812163672674</v>
      </c>
      <c r="H3">
        <f t="shared" ref="H3:H4" si="2">$E$2-($F$2/(B3)+$G$2)</f>
        <v>-6.323300533279161</v>
      </c>
      <c r="I3">
        <f t="shared" ref="I3:I5" si="3">(H3-D3)^2</f>
        <v>4.329242113131915E-6</v>
      </c>
    </row>
    <row r="4" spans="1:9" x14ac:dyDescent="0.35">
      <c r="A4">
        <v>30.2</v>
      </c>
      <c r="B4">
        <f t="shared" si="0"/>
        <v>303.34999999999997</v>
      </c>
      <c r="C4">
        <v>7.0400000000000004E-2</v>
      </c>
      <c r="D4">
        <f t="shared" si="1"/>
        <v>-6.1581440706397181</v>
      </c>
      <c r="H4">
        <f t="shared" si="2"/>
        <v>-6.1170514307204229</v>
      </c>
      <c r="I4">
        <f t="shared" si="3"/>
        <v>1.6886050555368565E-3</v>
      </c>
    </row>
    <row r="5" spans="1:9" x14ac:dyDescent="0.35">
      <c r="A5">
        <v>35.4</v>
      </c>
      <c r="B5">
        <f t="shared" si="0"/>
        <v>308.54999999999995</v>
      </c>
      <c r="C5">
        <v>0.13270000000000001</v>
      </c>
      <c r="D5">
        <f t="shared" si="1"/>
        <v>-5.8828458069173948</v>
      </c>
      <c r="H5">
        <f>$E$2-($F$2/(B5)+$G$2)</f>
        <v>-5.9137782248279969</v>
      </c>
      <c r="I5">
        <f t="shared" si="3"/>
        <v>9.5681447779613659E-4</v>
      </c>
    </row>
    <row r="6" spans="1:9" x14ac:dyDescent="0.35">
      <c r="H6" t="s">
        <v>21</v>
      </c>
      <c r="I6">
        <f>SUM(I2:I5)</f>
        <v>2.7995883110158567E-3</v>
      </c>
    </row>
    <row r="7" spans="1:9" x14ac:dyDescent="0.35">
      <c r="H7" t="s">
        <v>666</v>
      </c>
      <c r="I7">
        <f>SQRT(SUM(I2:I5)/(COUNT(I2:I5)-1))</f>
        <v>3.0548258602937618E-2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3"/>
  <sheetViews>
    <sheetView topLeftCell="C25" workbookViewId="0">
      <selection activeCell="H43" sqref="H43:I43"/>
    </sheetView>
  </sheetViews>
  <sheetFormatPr defaultRowHeight="14.5" x14ac:dyDescent="0.35"/>
  <sheetData>
    <row r="1" spans="1:9" x14ac:dyDescent="0.35">
      <c r="A1" t="s">
        <v>27</v>
      </c>
    </row>
    <row r="2" spans="1:9" x14ac:dyDescent="0.35">
      <c r="A2" t="s">
        <v>33</v>
      </c>
      <c r="B2" t="s">
        <v>30</v>
      </c>
      <c r="C2" t="s">
        <v>36</v>
      </c>
      <c r="D2" t="s">
        <v>20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5">
      <c r="A3">
        <f>B3-273.15</f>
        <v>69.25</v>
      </c>
      <c r="B3">
        <v>342.4</v>
      </c>
      <c r="C3">
        <v>6.0999999999999997E-4</v>
      </c>
      <c r="D3">
        <f>LOG10(C3*0.00000986923)</f>
        <v>-8.2203868947710639</v>
      </c>
      <c r="E3">
        <v>9.8803953172203283</v>
      </c>
      <c r="F3">
        <v>5664.8105992977107</v>
      </c>
      <c r="G3">
        <v>-29.246390043978941</v>
      </c>
      <c r="H3">
        <f>$E$3-($F$3/(B3+$G$3))</f>
        <v>-8.2091633504676178</v>
      </c>
      <c r="I3">
        <f>(H3-D3)^2</f>
        <v>1.2596794673141686E-4</v>
      </c>
    </row>
    <row r="4" spans="1:9" x14ac:dyDescent="0.35">
      <c r="A4">
        <f t="shared" ref="A4:A21" si="0">B4-273.15</f>
        <v>69.25</v>
      </c>
      <c r="B4">
        <v>342.4</v>
      </c>
      <c r="C4">
        <v>6.0999999999999997E-4</v>
      </c>
      <c r="D4">
        <f t="shared" ref="D4:D21" si="1">LOG10(C4*0.00000986923)</f>
        <v>-8.2203868947710639</v>
      </c>
      <c r="H4">
        <f t="shared" ref="H4:H21" si="2">$E$3-($F$3/(B4+$G$3))</f>
        <v>-8.2091633504676178</v>
      </c>
      <c r="I4">
        <f t="shared" ref="I4:I21" si="3">(H4-D4)^2</f>
        <v>1.2596794673141686E-4</v>
      </c>
    </row>
    <row r="5" spans="1:9" x14ac:dyDescent="0.35">
      <c r="A5">
        <f t="shared" si="0"/>
        <v>69.25</v>
      </c>
      <c r="B5">
        <v>342.4</v>
      </c>
      <c r="C5">
        <v>6.4000000000000005E-4</v>
      </c>
      <c r="D5">
        <f t="shared" si="1"/>
        <v>-8.1995367557979435</v>
      </c>
      <c r="H5">
        <f t="shared" si="2"/>
        <v>-8.2091633504676178</v>
      </c>
      <c r="I5">
        <f t="shared" si="3"/>
        <v>9.2671324934201732E-5</v>
      </c>
    </row>
    <row r="6" spans="1:9" x14ac:dyDescent="0.35">
      <c r="A6">
        <f t="shared" si="0"/>
        <v>69.25</v>
      </c>
      <c r="B6">
        <v>342.4</v>
      </c>
      <c r="C6">
        <v>6.4000000000000005E-4</v>
      </c>
      <c r="D6">
        <f t="shared" si="1"/>
        <v>-8.1995367557979435</v>
      </c>
      <c r="H6">
        <f t="shared" si="2"/>
        <v>-8.2091633504676178</v>
      </c>
      <c r="I6">
        <f t="shared" si="3"/>
        <v>9.2671324934201732E-5</v>
      </c>
    </row>
    <row r="7" spans="1:9" x14ac:dyDescent="0.35">
      <c r="A7">
        <f t="shared" si="0"/>
        <v>74.150000000000034</v>
      </c>
      <c r="B7">
        <v>347.3</v>
      </c>
      <c r="C7">
        <v>1.2099999999999999E-3</v>
      </c>
      <c r="D7">
        <f t="shared" si="1"/>
        <v>-7.9229313594653803</v>
      </c>
      <c r="H7">
        <f t="shared" si="2"/>
        <v>-7.9304718509939018</v>
      </c>
      <c r="I7">
        <f t="shared" si="3"/>
        <v>5.6859012491705145E-5</v>
      </c>
    </row>
    <row r="8" spans="1:9" x14ac:dyDescent="0.35">
      <c r="A8">
        <f t="shared" si="0"/>
        <v>79.150000000000034</v>
      </c>
      <c r="B8">
        <v>352.3</v>
      </c>
      <c r="C8">
        <v>2.2100000000000002E-3</v>
      </c>
      <c r="D8">
        <f t="shared" si="1"/>
        <v>-7.6613244560967191</v>
      </c>
      <c r="H8">
        <f t="shared" si="2"/>
        <v>-7.6548075863128968</v>
      </c>
      <c r="I8">
        <f t="shared" si="3"/>
        <v>4.2469591779295661E-5</v>
      </c>
    </row>
    <row r="9" spans="1:9" x14ac:dyDescent="0.35">
      <c r="A9">
        <f t="shared" si="0"/>
        <v>84.050000000000011</v>
      </c>
      <c r="B9">
        <v>357.2</v>
      </c>
      <c r="C9">
        <v>4.1099999999999999E-3</v>
      </c>
      <c r="D9">
        <f t="shared" si="1"/>
        <v>-7.3918749079057608</v>
      </c>
      <c r="H9">
        <f t="shared" si="2"/>
        <v>-7.392811707570063</v>
      </c>
      <c r="I9">
        <f t="shared" si="3"/>
        <v>8.7759361103663405E-7</v>
      </c>
    </row>
    <row r="10" spans="1:9" x14ac:dyDescent="0.35">
      <c r="A10">
        <f t="shared" si="0"/>
        <v>88.950000000000045</v>
      </c>
      <c r="B10">
        <v>362.1</v>
      </c>
      <c r="C10">
        <v>7.2500000000000004E-3</v>
      </c>
      <c r="D10">
        <f t="shared" si="1"/>
        <v>-7.1453787232108361</v>
      </c>
      <c r="H10">
        <f t="shared" si="2"/>
        <v>-7.1385296091044435</v>
      </c>
      <c r="I10">
        <f t="shared" si="3"/>
        <v>4.6910364042386951E-5</v>
      </c>
    </row>
    <row r="11" spans="1:9" x14ac:dyDescent="0.35">
      <c r="A11">
        <f t="shared" si="0"/>
        <v>93.950000000000045</v>
      </c>
      <c r="B11">
        <v>367.1</v>
      </c>
      <c r="C11">
        <v>1.3100000000000001E-2</v>
      </c>
      <c r="D11">
        <f t="shared" si="1"/>
        <v>-6.8884454341260657</v>
      </c>
      <c r="H11">
        <f t="shared" si="2"/>
        <v>-6.8866612787861694</v>
      </c>
      <c r="I11">
        <f t="shared" si="3"/>
        <v>3.1832102768804364E-6</v>
      </c>
    </row>
    <row r="12" spans="1:9" x14ac:dyDescent="0.35">
      <c r="A12">
        <f t="shared" si="0"/>
        <v>98.75</v>
      </c>
      <c r="B12">
        <v>371.9</v>
      </c>
      <c r="C12">
        <v>2.1700000000000001E-2</v>
      </c>
      <c r="D12">
        <f t="shared" si="1"/>
        <v>-6.669256995933301</v>
      </c>
      <c r="H12">
        <f t="shared" si="2"/>
        <v>-6.6517830538897211</v>
      </c>
      <c r="I12">
        <f t="shared" si="3"/>
        <v>3.0533865054238867E-4</v>
      </c>
    </row>
    <row r="13" spans="1:9" x14ac:dyDescent="0.35">
      <c r="A13">
        <f t="shared" si="0"/>
        <v>98.850000000000023</v>
      </c>
      <c r="B13">
        <v>372</v>
      </c>
      <c r="C13">
        <v>2.1999999999999999E-2</v>
      </c>
      <c r="D13">
        <f t="shared" si="1"/>
        <v>-6.6632940489596244</v>
      </c>
      <c r="H13">
        <f t="shared" si="2"/>
        <v>-6.6469597120222996</v>
      </c>
      <c r="I13">
        <f t="shared" si="3"/>
        <v>2.6681056318205262E-4</v>
      </c>
    </row>
    <row r="14" spans="1:9" x14ac:dyDescent="0.35">
      <c r="A14">
        <f t="shared" si="0"/>
        <v>98.850000000000023</v>
      </c>
      <c r="B14">
        <v>372</v>
      </c>
      <c r="C14">
        <v>2.3199999999999998E-2</v>
      </c>
      <c r="D14">
        <f t="shared" si="1"/>
        <v>-6.6402287448909307</v>
      </c>
      <c r="H14">
        <f t="shared" si="2"/>
        <v>-6.6469597120222996</v>
      </c>
      <c r="I14">
        <f t="shared" si="3"/>
        <v>4.5305918523568377E-5</v>
      </c>
    </row>
    <row r="15" spans="1:9" x14ac:dyDescent="0.35">
      <c r="A15">
        <f t="shared" si="0"/>
        <v>103.75</v>
      </c>
      <c r="B15">
        <v>376.9</v>
      </c>
      <c r="C15">
        <v>4.1099999999999998E-2</v>
      </c>
      <c r="D15">
        <f t="shared" si="1"/>
        <v>-6.3918749079057608</v>
      </c>
      <c r="H15">
        <f t="shared" si="2"/>
        <v>-6.4140150874762352</v>
      </c>
      <c r="I15">
        <f t="shared" si="3"/>
        <v>4.9018755141284833E-4</v>
      </c>
    </row>
    <row r="16" spans="1:9" x14ac:dyDescent="0.35">
      <c r="A16">
        <f t="shared" si="0"/>
        <v>108.95000000000005</v>
      </c>
      <c r="B16">
        <v>382.1</v>
      </c>
      <c r="C16">
        <v>7.2800000000000004E-2</v>
      </c>
      <c r="D16">
        <f t="shared" si="1"/>
        <v>-6.1435853504687934</v>
      </c>
      <c r="H16">
        <f t="shared" si="2"/>
        <v>-6.1738845298917919</v>
      </c>
      <c r="I16">
        <f t="shared" si="3"/>
        <v>9.1804027370705784E-4</v>
      </c>
    </row>
    <row r="17" spans="1:9" x14ac:dyDescent="0.35">
      <c r="A17">
        <f t="shared" si="0"/>
        <v>113.85000000000002</v>
      </c>
      <c r="B17">
        <v>387</v>
      </c>
      <c r="C17">
        <v>0.112</v>
      </c>
      <c r="D17">
        <f t="shared" si="1"/>
        <v>-5.9564987071116482</v>
      </c>
      <c r="H17">
        <f t="shared" si="2"/>
        <v>-5.9539958437635967</v>
      </c>
      <c r="I17">
        <f t="shared" si="3"/>
        <v>6.2643249390195557E-6</v>
      </c>
    </row>
    <row r="18" spans="1:9" x14ac:dyDescent="0.35">
      <c r="A18">
        <f t="shared" si="0"/>
        <v>118.85000000000002</v>
      </c>
      <c r="B18">
        <v>392</v>
      </c>
      <c r="C18">
        <v>0.188</v>
      </c>
      <c r="D18">
        <f t="shared" si="1"/>
        <v>-5.7315588805181505</v>
      </c>
      <c r="H18">
        <f t="shared" si="2"/>
        <v>-5.7357431410144262</v>
      </c>
      <c r="I18">
        <f t="shared" si="3"/>
        <v>1.7508035900692757E-5</v>
      </c>
    </row>
    <row r="19" spans="1:9" x14ac:dyDescent="0.35">
      <c r="A19">
        <f t="shared" si="0"/>
        <v>123.85000000000002</v>
      </c>
      <c r="B19">
        <v>397</v>
      </c>
      <c r="C19">
        <v>0.29699999999999999</v>
      </c>
      <c r="D19">
        <f t="shared" si="1"/>
        <v>-5.5329602804646179</v>
      </c>
      <c r="H19">
        <f t="shared" si="2"/>
        <v>-5.5234251917752299</v>
      </c>
      <c r="I19">
        <f t="shared" si="3"/>
        <v>9.0917916314493151E-5</v>
      </c>
    </row>
    <row r="20" spans="1:9" x14ac:dyDescent="0.35">
      <c r="A20">
        <f t="shared" si="0"/>
        <v>123.85000000000002</v>
      </c>
      <c r="B20">
        <v>397</v>
      </c>
      <c r="C20">
        <v>0.29399999999999998</v>
      </c>
      <c r="D20">
        <f t="shared" si="1"/>
        <v>-5.5373693993696733</v>
      </c>
      <c r="H20">
        <f t="shared" si="2"/>
        <v>-5.5234251917752299</v>
      </c>
      <c r="I20">
        <f t="shared" si="3"/>
        <v>1.9444092543693215E-4</v>
      </c>
    </row>
    <row r="21" spans="1:9" x14ac:dyDescent="0.35">
      <c r="A21">
        <f t="shared" si="0"/>
        <v>123.95000000000005</v>
      </c>
      <c r="B21">
        <v>397.1</v>
      </c>
      <c r="C21">
        <v>0.307</v>
      </c>
      <c r="D21">
        <f t="shared" si="1"/>
        <v>-5.5185783543046441</v>
      </c>
      <c r="H21">
        <f t="shared" si="2"/>
        <v>-5.5192377052066348</v>
      </c>
      <c r="I21">
        <f t="shared" si="3"/>
        <v>4.3474361195603255E-7</v>
      </c>
    </row>
    <row r="22" spans="1:9" x14ac:dyDescent="0.35">
      <c r="H22" t="s">
        <v>21</v>
      </c>
      <c r="I22">
        <f>SUM(I3:I21)</f>
        <v>2.9228272191035515E-3</v>
      </c>
    </row>
    <row r="24" spans="1:9" x14ac:dyDescent="0.35">
      <c r="A24" t="s">
        <v>585</v>
      </c>
    </row>
    <row r="25" spans="1:9" x14ac:dyDescent="0.35">
      <c r="A25" t="s">
        <v>33</v>
      </c>
      <c r="B25" t="s">
        <v>30</v>
      </c>
      <c r="C25" t="s">
        <v>36</v>
      </c>
      <c r="D25" t="s">
        <v>20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9" x14ac:dyDescent="0.35">
      <c r="A26">
        <f>B26-273.15</f>
        <v>39.450000000000045</v>
      </c>
      <c r="B26">
        <v>312.60000000000002</v>
      </c>
      <c r="C26">
        <v>6.13E-3</v>
      </c>
      <c r="D26">
        <f>LOG10(C26*0.00000986923)</f>
        <v>-7.2182562552634151</v>
      </c>
      <c r="E26">
        <v>9.2564312907329054</v>
      </c>
      <c r="F26">
        <v>4687.5515092655651</v>
      </c>
      <c r="G26">
        <v>-28.093035596308859</v>
      </c>
      <c r="H26">
        <f>$E$26-($F$26/(B26+$G$26))</f>
        <v>-7.2196206016711386</v>
      </c>
      <c r="I26">
        <f>(H26-D26)^2</f>
        <v>1.8614411202681223E-6</v>
      </c>
    </row>
    <row r="27" spans="1:9" x14ac:dyDescent="0.35">
      <c r="A27">
        <f t="shared" ref="A27:A41" si="4">B27-273.15</f>
        <v>39.450000000000045</v>
      </c>
      <c r="B27">
        <v>312.60000000000002</v>
      </c>
      <c r="C27">
        <v>6.1399999999999996E-3</v>
      </c>
      <c r="D27">
        <f t="shared" ref="D27:D41" si="5">LOG10(C27*0.00000986923)</f>
        <v>-7.2175483586406628</v>
      </c>
      <c r="H27">
        <f t="shared" ref="H27:H41" si="6">$E$26-($F$26/(B27+$G$26))</f>
        <v>-7.2196206016711386</v>
      </c>
      <c r="I27">
        <f t="shared" ref="I27:I41" si="7">(H27-D27)^2</f>
        <v>4.2941911773556005E-6</v>
      </c>
    </row>
    <row r="28" spans="1:9" x14ac:dyDescent="0.35">
      <c r="A28">
        <f t="shared" si="4"/>
        <v>44.550000000000011</v>
      </c>
      <c r="B28">
        <v>317.7</v>
      </c>
      <c r="C28">
        <v>1.1900000000000001E-2</v>
      </c>
      <c r="D28">
        <f t="shared" si="5"/>
        <v>-6.9301697683892991</v>
      </c>
      <c r="H28">
        <f t="shared" si="6"/>
        <v>-6.9294761128316651</v>
      </c>
      <c r="I28">
        <f t="shared" si="7"/>
        <v>4.8115803263654903E-7</v>
      </c>
    </row>
    <row r="29" spans="1:9" x14ac:dyDescent="0.35">
      <c r="A29">
        <f t="shared" si="4"/>
        <v>49.450000000000045</v>
      </c>
      <c r="B29">
        <v>322.60000000000002</v>
      </c>
      <c r="C29">
        <v>2.1899999999999999E-2</v>
      </c>
      <c r="D29">
        <f t="shared" si="5"/>
        <v>-6.6652726149417116</v>
      </c>
      <c r="H29">
        <f t="shared" si="6"/>
        <v>-6.66017536322782</v>
      </c>
      <c r="I29">
        <f t="shared" si="7"/>
        <v>2.5981975034771236E-5</v>
      </c>
    </row>
    <row r="30" spans="1:9" x14ac:dyDescent="0.35">
      <c r="A30">
        <f t="shared" si="4"/>
        <v>54.450000000000045</v>
      </c>
      <c r="B30">
        <v>327.60000000000002</v>
      </c>
      <c r="C30">
        <v>4.0599999999999997E-2</v>
      </c>
      <c r="D30">
        <f t="shared" si="5"/>
        <v>-6.3971906962046363</v>
      </c>
      <c r="H30">
        <f t="shared" si="6"/>
        <v>-6.394461898339781</v>
      </c>
      <c r="I30">
        <f t="shared" si="7"/>
        <v>7.4463377872391667E-6</v>
      </c>
    </row>
    <row r="31" spans="1:9" x14ac:dyDescent="0.35">
      <c r="A31">
        <f t="shared" si="4"/>
        <v>59.350000000000023</v>
      </c>
      <c r="B31">
        <v>332.5</v>
      </c>
      <c r="C31">
        <v>7.2700000000000001E-2</v>
      </c>
      <c r="D31">
        <f t="shared" si="5"/>
        <v>-6.144182318922792</v>
      </c>
      <c r="H31">
        <f t="shared" si="6"/>
        <v>-6.142531471003192</v>
      </c>
      <c r="I31">
        <f t="shared" si="7"/>
        <v>2.7252988536477078E-6</v>
      </c>
    </row>
    <row r="32" spans="1:9" x14ac:dyDescent="0.35">
      <c r="A32">
        <f t="shared" si="4"/>
        <v>64.25</v>
      </c>
      <c r="B32">
        <v>337.4</v>
      </c>
      <c r="C32">
        <v>0.13</v>
      </c>
      <c r="D32">
        <f t="shared" si="5"/>
        <v>-5.8917733774749932</v>
      </c>
      <c r="H32">
        <f t="shared" si="6"/>
        <v>-5.8985831406512546</v>
      </c>
      <c r="I32">
        <f t="shared" si="7"/>
        <v>4.6372874516765247E-5</v>
      </c>
    </row>
    <row r="33" spans="1:9" x14ac:dyDescent="0.35">
      <c r="A33">
        <f t="shared" si="4"/>
        <v>64.25</v>
      </c>
      <c r="B33">
        <v>337.4</v>
      </c>
      <c r="C33">
        <v>0.128</v>
      </c>
      <c r="D33">
        <f t="shared" si="5"/>
        <v>-5.8985067601339622</v>
      </c>
      <c r="H33">
        <f t="shared" si="6"/>
        <v>-5.8985831406512546</v>
      </c>
      <c r="I33">
        <f t="shared" si="7"/>
        <v>5.8339834218404244E-9</v>
      </c>
    </row>
    <row r="34" spans="1:9" x14ac:dyDescent="0.35">
      <c r="A34">
        <f t="shared" si="4"/>
        <v>64.25</v>
      </c>
      <c r="B34">
        <v>337.4</v>
      </c>
      <c r="C34">
        <v>0.129</v>
      </c>
      <c r="D34">
        <f t="shared" si="5"/>
        <v>-5.8951270194825813</v>
      </c>
      <c r="H34">
        <f t="shared" si="6"/>
        <v>-5.8985831406512546</v>
      </c>
      <c r="I34">
        <f t="shared" si="7"/>
        <v>1.194477353255115E-5</v>
      </c>
    </row>
    <row r="35" spans="1:9" x14ac:dyDescent="0.35">
      <c r="A35">
        <f t="shared" si="4"/>
        <v>69.150000000000034</v>
      </c>
      <c r="B35">
        <v>342.3</v>
      </c>
      <c r="C35">
        <v>0.217</v>
      </c>
      <c r="D35">
        <f t="shared" si="5"/>
        <v>-5.669256995933301</v>
      </c>
      <c r="H35">
        <f t="shared" si="6"/>
        <v>-5.6622434692670947</v>
      </c>
      <c r="I35">
        <f t="shared" si="7"/>
        <v>4.91895562975877E-5</v>
      </c>
    </row>
    <row r="36" spans="1:9" x14ac:dyDescent="0.35">
      <c r="A36">
        <f t="shared" si="4"/>
        <v>74.050000000000011</v>
      </c>
      <c r="B36">
        <v>347.2</v>
      </c>
      <c r="C36">
        <v>0.376</v>
      </c>
      <c r="D36">
        <f t="shared" si="5"/>
        <v>-5.4305288848541693</v>
      </c>
      <c r="H36">
        <f t="shared" si="6"/>
        <v>-5.4331619559237456</v>
      </c>
      <c r="I36">
        <f t="shared" si="7"/>
        <v>6.9330632574398462E-6</v>
      </c>
    </row>
    <row r="37" spans="1:9" x14ac:dyDescent="0.35">
      <c r="A37">
        <f t="shared" si="4"/>
        <v>78.950000000000045</v>
      </c>
      <c r="B37">
        <v>352.1</v>
      </c>
      <c r="C37">
        <v>0.63700000000000001</v>
      </c>
      <c r="D37">
        <f t="shared" si="5"/>
        <v>-5.2015772974464793</v>
      </c>
      <c r="H37">
        <f t="shared" si="6"/>
        <v>-5.2110093023809743</v>
      </c>
      <c r="I37">
        <f t="shared" si="7"/>
        <v>8.896271708433651E-5</v>
      </c>
    </row>
    <row r="38" spans="1:9" x14ac:dyDescent="0.35">
      <c r="A38">
        <f t="shared" si="4"/>
        <v>83.850000000000023</v>
      </c>
      <c r="B38">
        <v>357</v>
      </c>
      <c r="C38">
        <v>1.0289999999999999</v>
      </c>
      <c r="D38">
        <f t="shared" si="5"/>
        <v>-4.9933013550193976</v>
      </c>
      <c r="H38">
        <f t="shared" si="6"/>
        <v>-4.9954758337152008</v>
      </c>
      <c r="I38">
        <f t="shared" si="7"/>
        <v>4.7283575985016248E-6</v>
      </c>
    </row>
    <row r="39" spans="1:9" x14ac:dyDescent="0.35">
      <c r="A39">
        <f t="shared" si="4"/>
        <v>83.950000000000045</v>
      </c>
      <c r="B39">
        <v>357.1</v>
      </c>
      <c r="C39">
        <v>1.0449999999999999</v>
      </c>
      <c r="D39">
        <f t="shared" si="5"/>
        <v>-4.9866004393347572</v>
      </c>
      <c r="H39">
        <f t="shared" si="6"/>
        <v>-4.9911440387484038</v>
      </c>
      <c r="I39">
        <f t="shared" si="7"/>
        <v>2.0644295631690471E-5</v>
      </c>
    </row>
    <row r="40" spans="1:9" x14ac:dyDescent="0.35">
      <c r="A40">
        <f t="shared" si="4"/>
        <v>83.950000000000045</v>
      </c>
      <c r="B40">
        <v>357.1</v>
      </c>
      <c r="C40">
        <v>1.0229999999999999</v>
      </c>
      <c r="D40">
        <f t="shared" si="5"/>
        <v>-4.99584109606967</v>
      </c>
      <c r="H40">
        <f t="shared" si="6"/>
        <v>-4.9911440387484038</v>
      </c>
      <c r="I40">
        <f t="shared" si="7"/>
        <v>2.2062347479259745E-5</v>
      </c>
    </row>
    <row r="41" spans="1:9" x14ac:dyDescent="0.35">
      <c r="A41">
        <f t="shared" si="4"/>
        <v>83.950000000000045</v>
      </c>
      <c r="B41">
        <v>357.1</v>
      </c>
      <c r="C41">
        <v>1.0089999999999999</v>
      </c>
      <c r="D41">
        <f t="shared" si="5"/>
        <v>-5.0018255635449194</v>
      </c>
      <c r="H41">
        <f t="shared" si="6"/>
        <v>-4.9911440387484038</v>
      </c>
      <c r="I41">
        <f t="shared" si="7"/>
        <v>1.1409497197857588E-4</v>
      </c>
    </row>
    <row r="42" spans="1:9" x14ac:dyDescent="0.35">
      <c r="H42" t="s">
        <v>21</v>
      </c>
      <c r="I42">
        <f>SUM(I26:I41)</f>
        <v>4.0772919336604839E-4</v>
      </c>
    </row>
    <row r="43" spans="1:9" x14ac:dyDescent="0.35">
      <c r="H43" t="s">
        <v>666</v>
      </c>
      <c r="I43">
        <f>SQRT(SUM(I26:I42)/(COUNT(I26:I41)-1))</f>
        <v>7.3731874009010821E-3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8"/>
  <sheetViews>
    <sheetView workbookViewId="0">
      <selection sqref="A1:XFD1048576"/>
    </sheetView>
  </sheetViews>
  <sheetFormatPr defaultRowHeight="14.5" x14ac:dyDescent="0.35"/>
  <sheetData>
    <row r="1" spans="1:9" x14ac:dyDescent="0.35">
      <c r="A1" t="s">
        <v>646</v>
      </c>
    </row>
    <row r="2" spans="1:9" x14ac:dyDescent="0.35">
      <c r="A2" t="s">
        <v>33</v>
      </c>
      <c r="B2" t="s">
        <v>30</v>
      </c>
      <c r="C2" t="s">
        <v>36</v>
      </c>
      <c r="D2" t="s">
        <v>20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5">
      <c r="A3">
        <f>B3-273.15</f>
        <v>25</v>
      </c>
      <c r="B3">
        <v>298.14999999999998</v>
      </c>
      <c r="C3">
        <v>2.54</v>
      </c>
      <c r="D3">
        <f>LOG10(C3*0.00000986923)</f>
        <v>-4.6008830131618925</v>
      </c>
      <c r="E3">
        <v>8.7132457932334919</v>
      </c>
      <c r="F3">
        <v>3955.8235839959298</v>
      </c>
      <c r="G3">
        <v>0</v>
      </c>
      <c r="H3">
        <f>$E$3-($F$3/(B3+$G$3))</f>
        <v>-4.5546515201856934</v>
      </c>
      <c r="I3">
        <f>(H3-D3)^2</f>
        <v>2.1373509428083476E-3</v>
      </c>
    </row>
    <row r="4" spans="1:9" x14ac:dyDescent="0.35">
      <c r="A4">
        <f t="shared" ref="A4:A6" si="0">B4-273.15</f>
        <v>50</v>
      </c>
      <c r="B4">
        <v>323.14999999999998</v>
      </c>
      <c r="C4">
        <v>39.700000000000003</v>
      </c>
      <c r="D4">
        <f t="shared" ref="D4:D6" si="1">LOG10(C4*0.00000986923)</f>
        <v>-3.4069262230187149</v>
      </c>
      <c r="H4">
        <f t="shared" ref="H4:H6" si="2">$E$3-($F$3/(B4+$G$3))</f>
        <v>-3.5282011632756518</v>
      </c>
      <c r="I4">
        <f t="shared" ref="I4:I6" si="3">(H4-D4)^2</f>
        <v>1.4707611134323605E-2</v>
      </c>
    </row>
    <row r="5" spans="1:9" x14ac:dyDescent="0.35">
      <c r="A5">
        <f t="shared" si="0"/>
        <v>60</v>
      </c>
      <c r="B5">
        <v>333.15</v>
      </c>
      <c r="C5">
        <v>67.2</v>
      </c>
      <c r="D5">
        <f t="shared" si="1"/>
        <v>-3.1783474567280048</v>
      </c>
      <c r="H5">
        <f t="shared" si="2"/>
        <v>-3.160755659553331</v>
      </c>
      <c r="I5">
        <f t="shared" si="3"/>
        <v>3.09471327834859E-4</v>
      </c>
    </row>
    <row r="6" spans="1:9" x14ac:dyDescent="0.35">
      <c r="A6">
        <f t="shared" si="0"/>
        <v>70</v>
      </c>
      <c r="B6">
        <v>343.15</v>
      </c>
      <c r="C6">
        <v>136</v>
      </c>
      <c r="D6">
        <f t="shared" si="1"/>
        <v>-2.8721778214116127</v>
      </c>
      <c r="H6">
        <f t="shared" si="2"/>
        <v>-2.8147261840240638</v>
      </c>
      <c r="I6">
        <f t="shared" si="3"/>
        <v>3.3006906385104045E-3</v>
      </c>
    </row>
    <row r="7" spans="1:9" x14ac:dyDescent="0.35">
      <c r="H7" t="s">
        <v>21</v>
      </c>
      <c r="I7">
        <f>SUM(I3:I6)</f>
        <v>2.0455124043477213E-2</v>
      </c>
    </row>
    <row r="8" spans="1:9" x14ac:dyDescent="0.35">
      <c r="H8" t="s">
        <v>666</v>
      </c>
      <c r="I8">
        <f>SQRT(SUM(I3:I6)/(COUNT(I3:I6)-1))</f>
        <v>8.2573450219541336E-2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7"/>
  <sheetViews>
    <sheetView topLeftCell="A29" workbookViewId="0">
      <selection activeCell="H47" sqref="H47:I47"/>
    </sheetView>
  </sheetViews>
  <sheetFormatPr defaultRowHeight="14.5" x14ac:dyDescent="0.35"/>
  <cols>
    <col min="1" max="1" width="10.81640625" bestFit="1" customWidth="1"/>
  </cols>
  <sheetData>
    <row r="1" spans="1:9" x14ac:dyDescent="0.35">
      <c r="A1" t="s">
        <v>628</v>
      </c>
      <c r="B1" t="s">
        <v>629</v>
      </c>
    </row>
    <row r="2" spans="1:9" x14ac:dyDescent="0.35">
      <c r="A2" t="s">
        <v>33</v>
      </c>
      <c r="B2" t="s">
        <v>30</v>
      </c>
      <c r="C2" t="s">
        <v>36</v>
      </c>
      <c r="D2" t="s">
        <v>20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5">
      <c r="A3">
        <f>B3-273.15</f>
        <v>76.817000000000007</v>
      </c>
      <c r="B3">
        <v>349.96699999999998</v>
      </c>
      <c r="C3">
        <v>1999.5</v>
      </c>
      <c r="D3">
        <f>LOG10(C3*0.00000986923)</f>
        <v>-1.7047953213122897</v>
      </c>
      <c r="E3">
        <v>4.2835827621181517</v>
      </c>
      <c r="F3">
        <v>1613.6454786075817</v>
      </c>
      <c r="G3">
        <v>-80.547032250140646</v>
      </c>
      <c r="H3">
        <f>$E$3-($F$3/(B3+$G$3))</f>
        <v>-1.7057486600641756</v>
      </c>
      <c r="I3">
        <f>(H3-D3)^2</f>
        <v>9.0885477584728393E-7</v>
      </c>
    </row>
    <row r="4" spans="1:9" x14ac:dyDescent="0.35">
      <c r="A4">
        <f t="shared" ref="A4:A25" si="0">B4-273.15</f>
        <v>91.123000000000047</v>
      </c>
      <c r="B4">
        <v>364.27300000000002</v>
      </c>
      <c r="C4">
        <v>3997.4</v>
      </c>
      <c r="D4">
        <f t="shared" ref="D4:D25" si="1">LOG10(C4*0.00000986923)</f>
        <v>-1.4039391216515895</v>
      </c>
      <c r="H4">
        <f t="shared" ref="H4:H5" si="2">$E$3-($F$3/(B4+$G$3))</f>
        <v>-1.4037552401270856</v>
      </c>
      <c r="I4">
        <f t="shared" ref="I4:I5" si="3">(H4-D4)^2</f>
        <v>3.3812415053871615E-8</v>
      </c>
    </row>
    <row r="5" spans="1:9" x14ac:dyDescent="0.35">
      <c r="A5">
        <f t="shared" si="0"/>
        <v>97.509000000000015</v>
      </c>
      <c r="B5">
        <v>370.65899999999999</v>
      </c>
      <c r="C5">
        <v>5330.3</v>
      </c>
      <c r="D5">
        <f t="shared" si="1"/>
        <v>-1.2789650771008383</v>
      </c>
      <c r="H5">
        <f t="shared" si="2"/>
        <v>-1.2785644706320012</v>
      </c>
      <c r="I5">
        <f t="shared" si="3"/>
        <v>1.6048554287413504E-7</v>
      </c>
    </row>
    <row r="6" spans="1:9" x14ac:dyDescent="0.35">
      <c r="A6">
        <f t="shared" si="0"/>
        <v>106.98500000000001</v>
      </c>
      <c r="B6">
        <v>380.13499999999999</v>
      </c>
      <c r="C6">
        <v>7991.3</v>
      </c>
      <c r="D6">
        <f t="shared" si="1"/>
        <v>-1.1030992950358378</v>
      </c>
      <c r="H6">
        <f t="shared" ref="H6:H25" si="4">$E$3-($F$3/(B6+$G$3))</f>
        <v>-1.1026331487788221</v>
      </c>
      <c r="I6">
        <f t="shared" ref="I6:I25" si="5">(H6-D6)^2</f>
        <v>2.1729233292973505E-7</v>
      </c>
    </row>
    <row r="7" spans="1:9" x14ac:dyDescent="0.35">
      <c r="A7">
        <f t="shared" si="0"/>
        <v>114.11200000000002</v>
      </c>
      <c r="B7">
        <v>387.262</v>
      </c>
      <c r="C7">
        <v>10661.6</v>
      </c>
      <c r="D7">
        <f t="shared" si="1"/>
        <v>-0.97789434506985717</v>
      </c>
      <c r="H7">
        <f t="shared" si="4"/>
        <v>-0.97747603278091688</v>
      </c>
      <c r="I7">
        <f t="shared" si="5"/>
        <v>1.7498517107846666E-7</v>
      </c>
    </row>
    <row r="8" spans="1:9" x14ac:dyDescent="0.35">
      <c r="A8">
        <f t="shared" si="0"/>
        <v>119.80700000000002</v>
      </c>
      <c r="B8">
        <v>392.95699999999999</v>
      </c>
      <c r="C8">
        <v>13299</v>
      </c>
      <c r="D8">
        <f t="shared" si="1"/>
        <v>-0.88189774376283325</v>
      </c>
      <c r="H8">
        <f t="shared" si="4"/>
        <v>-0.88157086671739382</v>
      </c>
      <c r="I8">
        <f t="shared" si="5"/>
        <v>1.0684860283521327E-7</v>
      </c>
    </row>
    <row r="9" spans="1:9" x14ac:dyDescent="0.35">
      <c r="A9">
        <f t="shared" si="0"/>
        <v>125.834</v>
      </c>
      <c r="B9">
        <v>398.98399999999998</v>
      </c>
      <c r="C9">
        <v>16660</v>
      </c>
      <c r="D9">
        <f t="shared" si="1"/>
        <v>-0.78404173271106137</v>
      </c>
      <c r="H9">
        <f t="shared" si="4"/>
        <v>-0.78381092024834764</v>
      </c>
      <c r="I9">
        <f t="shared" si="5"/>
        <v>5.3274392943974859E-8</v>
      </c>
    </row>
    <row r="10" spans="1:9" x14ac:dyDescent="0.35">
      <c r="A10">
        <f t="shared" si="0"/>
        <v>130.78400000000005</v>
      </c>
      <c r="B10">
        <v>403.93400000000003</v>
      </c>
      <c r="C10">
        <v>19924</v>
      </c>
      <c r="D10">
        <f t="shared" si="1"/>
        <v>-0.7063401967214844</v>
      </c>
      <c r="H10">
        <f t="shared" si="4"/>
        <v>-0.70624564635296672</v>
      </c>
      <c r="I10">
        <f t="shared" si="5"/>
        <v>8.9397721868304901E-9</v>
      </c>
    </row>
    <row r="11" spans="1:9" x14ac:dyDescent="0.35">
      <c r="A11">
        <f t="shared" si="0"/>
        <v>137.31800000000004</v>
      </c>
      <c r="B11">
        <v>410.46800000000002</v>
      </c>
      <c r="C11">
        <v>25021</v>
      </c>
      <c r="D11">
        <f t="shared" si="1"/>
        <v>-0.60741206687833837</v>
      </c>
      <c r="H11">
        <f t="shared" si="4"/>
        <v>-0.6074233767551469</v>
      </c>
      <c r="I11">
        <f t="shared" si="5"/>
        <v>1.2791331342411509E-10</v>
      </c>
    </row>
    <row r="12" spans="1:9" x14ac:dyDescent="0.35">
      <c r="A12">
        <f t="shared" si="0"/>
        <v>137.33100000000002</v>
      </c>
      <c r="B12">
        <v>410.48099999999999</v>
      </c>
      <c r="C12">
        <v>25033</v>
      </c>
      <c r="D12">
        <f t="shared" si="1"/>
        <v>-0.60720383041840775</v>
      </c>
      <c r="H12">
        <f t="shared" si="4"/>
        <v>-0.60723066219399158</v>
      </c>
      <c r="I12">
        <f t="shared" si="5"/>
        <v>7.1994418098071113E-10</v>
      </c>
    </row>
    <row r="13" spans="1:9" x14ac:dyDescent="0.35">
      <c r="A13">
        <f t="shared" si="0"/>
        <v>143.86200000000002</v>
      </c>
      <c r="B13">
        <v>417.012</v>
      </c>
      <c r="C13">
        <v>31157</v>
      </c>
      <c r="D13">
        <f t="shared" si="1"/>
        <v>-0.51216109548505084</v>
      </c>
      <c r="H13">
        <f t="shared" si="4"/>
        <v>-0.51229684876373405</v>
      </c>
      <c r="I13">
        <f t="shared" si="5"/>
        <v>1.8428952673239611E-8</v>
      </c>
    </row>
    <row r="14" spans="1:9" x14ac:dyDescent="0.35">
      <c r="A14">
        <f t="shared" si="0"/>
        <v>150.46500000000003</v>
      </c>
      <c r="B14">
        <v>423.61500000000001</v>
      </c>
      <c r="C14">
        <v>38544</v>
      </c>
      <c r="D14">
        <f t="shared" si="1"/>
        <v>-0.41975994712756204</v>
      </c>
      <c r="H14">
        <f t="shared" si="4"/>
        <v>-0.41999096174561856</v>
      </c>
      <c r="I14">
        <f t="shared" si="5"/>
        <v>5.3367753755801771E-8</v>
      </c>
    </row>
    <row r="15" spans="1:9" x14ac:dyDescent="0.35">
      <c r="A15">
        <f t="shared" si="0"/>
        <v>157.11200000000002</v>
      </c>
      <c r="B15">
        <v>430.262</v>
      </c>
      <c r="C15">
        <v>47363</v>
      </c>
      <c r="D15">
        <f t="shared" si="1"/>
        <v>-0.33027752673035066</v>
      </c>
      <c r="H15">
        <f t="shared" si="4"/>
        <v>-0.33059057164025329</v>
      </c>
      <c r="I15">
        <f t="shared" si="5"/>
        <v>9.7997115615950601E-8</v>
      </c>
    </row>
    <row r="16" spans="1:9" x14ac:dyDescent="0.35">
      <c r="A16">
        <f t="shared" si="0"/>
        <v>163.79600000000005</v>
      </c>
      <c r="B16">
        <v>436.94600000000003</v>
      </c>
      <c r="C16">
        <v>57812</v>
      </c>
      <c r="D16">
        <f t="shared" si="1"/>
        <v>-0.2436987357753489</v>
      </c>
      <c r="H16">
        <f t="shared" si="4"/>
        <v>-0.24405515107616438</v>
      </c>
      <c r="I16">
        <f t="shared" si="5"/>
        <v>1.2703186665539086E-7</v>
      </c>
    </row>
    <row r="17" spans="1:9" x14ac:dyDescent="0.35">
      <c r="A17">
        <f t="shared" si="0"/>
        <v>170.512</v>
      </c>
      <c r="B17">
        <v>443.66199999999998</v>
      </c>
      <c r="C17">
        <v>70106</v>
      </c>
      <c r="D17">
        <f t="shared" si="1"/>
        <v>-0.15996154126764847</v>
      </c>
      <c r="H17">
        <f t="shared" si="4"/>
        <v>-0.16031413534926742</v>
      </c>
      <c r="I17">
        <f t="shared" si="5"/>
        <v>1.2432258639270756E-7</v>
      </c>
    </row>
    <row r="18" spans="1:9" x14ac:dyDescent="0.35">
      <c r="A18">
        <f t="shared" si="0"/>
        <v>177.27000000000004</v>
      </c>
      <c r="B18">
        <v>450.42</v>
      </c>
      <c r="C18">
        <v>84516</v>
      </c>
      <c r="D18">
        <f t="shared" si="1"/>
        <v>-7.877779534187411E-2</v>
      </c>
      <c r="H18">
        <f t="shared" si="4"/>
        <v>-7.9119082313125588E-2</v>
      </c>
      <c r="I18">
        <f t="shared" si="5"/>
        <v>1.1647679674600732E-7</v>
      </c>
    </row>
    <row r="19" spans="1:9" x14ac:dyDescent="0.35">
      <c r="A19">
        <f t="shared" si="0"/>
        <v>184.06900000000002</v>
      </c>
      <c r="B19">
        <v>457.21899999999999</v>
      </c>
      <c r="C19">
        <v>101307</v>
      </c>
      <c r="D19">
        <f t="shared" si="1"/>
        <v>-7.7274980863811403E-5</v>
      </c>
      <c r="H19">
        <f t="shared" si="4"/>
        <v>-3.7149188986873583E-4</v>
      </c>
      <c r="I19">
        <f t="shared" si="5"/>
        <v>8.6563589544411976E-8</v>
      </c>
    </row>
    <row r="20" spans="1:9" x14ac:dyDescent="0.35">
      <c r="A20">
        <f t="shared" si="0"/>
        <v>190.90500000000003</v>
      </c>
      <c r="B20">
        <v>464.05500000000001</v>
      </c>
      <c r="C20">
        <v>120760</v>
      </c>
      <c r="D20">
        <f t="shared" si="1"/>
        <v>7.6206374569229893E-2</v>
      </c>
      <c r="H20">
        <f t="shared" si="4"/>
        <v>7.5989662878889419E-2</v>
      </c>
      <c r="I20">
        <f t="shared" si="5"/>
        <v>4.6963956730225346E-8</v>
      </c>
    </row>
    <row r="21" spans="1:9" x14ac:dyDescent="0.35">
      <c r="A21">
        <f t="shared" si="0"/>
        <v>197.78700000000003</v>
      </c>
      <c r="B21">
        <v>470.93700000000001</v>
      </c>
      <c r="C21">
        <v>143220</v>
      </c>
      <c r="D21">
        <f t="shared" si="1"/>
        <v>0.15028693960856798</v>
      </c>
      <c r="H21">
        <f t="shared" si="4"/>
        <v>0.1501633304960821</v>
      </c>
      <c r="I21">
        <f t="shared" si="5"/>
        <v>1.5279212689546555E-8</v>
      </c>
    </row>
    <row r="22" spans="1:9" x14ac:dyDescent="0.35">
      <c r="A22">
        <f t="shared" si="0"/>
        <v>204.70800000000003</v>
      </c>
      <c r="B22">
        <v>477.858</v>
      </c>
      <c r="C22">
        <v>169000</v>
      </c>
      <c r="D22">
        <f t="shared" si="1"/>
        <v>0.22216997483184334</v>
      </c>
      <c r="H22">
        <f t="shared" si="4"/>
        <v>0.22216586304199204</v>
      </c>
      <c r="I22">
        <f t="shared" si="5"/>
        <v>1.6906815781225433E-11</v>
      </c>
    </row>
    <row r="23" spans="1:9" x14ac:dyDescent="0.35">
      <c r="A23">
        <f t="shared" si="0"/>
        <v>211.66900000000004</v>
      </c>
      <c r="B23">
        <v>484.81900000000002</v>
      </c>
      <c r="C23">
        <v>198460</v>
      </c>
      <c r="D23">
        <f t="shared" si="1"/>
        <v>0.29195625723762347</v>
      </c>
      <c r="H23">
        <f t="shared" si="4"/>
        <v>0.29209780314614031</v>
      </c>
      <c r="I23">
        <f t="shared" si="5"/>
        <v>2.0035244217857078E-8</v>
      </c>
    </row>
    <row r="24" spans="1:9" x14ac:dyDescent="0.35">
      <c r="A24">
        <f t="shared" si="0"/>
        <v>218.673</v>
      </c>
      <c r="B24">
        <v>491.82299999999998</v>
      </c>
      <c r="C24">
        <v>232010</v>
      </c>
      <c r="D24">
        <f t="shared" si="1"/>
        <v>0.35978997429537884</v>
      </c>
      <c r="H24">
        <f t="shared" si="4"/>
        <v>0.36007250345647535</v>
      </c>
      <c r="I24">
        <f t="shared" si="5"/>
        <v>7.9822726869892525E-8</v>
      </c>
    </row>
    <row r="25" spans="1:9" x14ac:dyDescent="0.35">
      <c r="A25">
        <f t="shared" si="0"/>
        <v>225.69600000000003</v>
      </c>
      <c r="B25">
        <v>498.846</v>
      </c>
      <c r="C25">
        <v>269940</v>
      </c>
      <c r="D25">
        <f t="shared" si="1"/>
        <v>0.42555051376738029</v>
      </c>
      <c r="H25">
        <f t="shared" si="4"/>
        <v>0.42594599268549693</v>
      </c>
      <c r="I25">
        <f t="shared" si="5"/>
        <v>1.5640357467471036E-7</v>
      </c>
    </row>
    <row r="26" spans="1:9" x14ac:dyDescent="0.35">
      <c r="H26" t="s">
        <v>21</v>
      </c>
      <c r="I26">
        <f>SUM(I3:I25)</f>
        <v>2.6080511466254391E-6</v>
      </c>
    </row>
    <row r="27" spans="1:9" x14ac:dyDescent="0.35">
      <c r="H27" t="s">
        <v>666</v>
      </c>
      <c r="I27">
        <f>SQRT(SUM(I3:I25)/(COUNT(I3:I25)-1))</f>
        <v>3.4430768128530825E-4</v>
      </c>
    </row>
    <row r="28" spans="1:9" x14ac:dyDescent="0.35">
      <c r="A28" t="s">
        <v>633</v>
      </c>
      <c r="B28" t="s">
        <v>629</v>
      </c>
    </row>
    <row r="29" spans="1:9" x14ac:dyDescent="0.35">
      <c r="A29" t="s">
        <v>33</v>
      </c>
      <c r="B29" t="s">
        <v>30</v>
      </c>
      <c r="C29" t="s">
        <v>36</v>
      </c>
      <c r="D29" t="s">
        <v>20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</row>
    <row r="30" spans="1:9" x14ac:dyDescent="0.35">
      <c r="A30">
        <f>B30-273.15</f>
        <v>4.2000000000000455</v>
      </c>
      <c r="B30">
        <v>277.35000000000002</v>
      </c>
      <c r="C30">
        <v>19</v>
      </c>
      <c r="D30">
        <f>LOG10(C30*0.00000986923)</f>
        <v>-3.7269631288290013</v>
      </c>
      <c r="E30">
        <v>5.6719001953250388</v>
      </c>
      <c r="F30">
        <v>2462.4247767103138</v>
      </c>
      <c r="G30">
        <v>-16.608814172638599</v>
      </c>
      <c r="H30">
        <f>$E$30-($F$30/(B30+$G$30))</f>
        <v>-3.7720423444649835</v>
      </c>
      <c r="I30">
        <f>(H30-D30)^2</f>
        <v>2.0321356823553888E-3</v>
      </c>
    </row>
    <row r="31" spans="1:9" x14ac:dyDescent="0.35">
      <c r="A31">
        <f t="shared" ref="A31:A45" si="6">B31-273.15</f>
        <v>40</v>
      </c>
      <c r="B31">
        <v>313.14999999999998</v>
      </c>
      <c r="C31">
        <v>240</v>
      </c>
      <c r="D31">
        <f t="shared" ref="D31:D45" si="7">LOG10(C31*0.00000986923)</f>
        <v>-2.6255054880702242</v>
      </c>
      <c r="H31">
        <f t="shared" ref="H31:H45" si="8">$E$30-($F$30/(B31+$G$30))</f>
        <v>-2.6319203004352829</v>
      </c>
      <c r="I31">
        <f t="shared" ref="I31:I45" si="9">(H31-D31)^2</f>
        <v>4.1149817678909962E-5</v>
      </c>
    </row>
    <row r="32" spans="1:9" x14ac:dyDescent="0.35">
      <c r="A32">
        <f t="shared" si="6"/>
        <v>77.660000000000025</v>
      </c>
      <c r="B32">
        <v>350.81</v>
      </c>
      <c r="C32">
        <v>2130</v>
      </c>
      <c r="D32">
        <f t="shared" si="7"/>
        <v>-1.6773371263430925</v>
      </c>
      <c r="H32">
        <f t="shared" si="8"/>
        <v>-1.6961908861420705</v>
      </c>
      <c r="I32">
        <f t="shared" si="9"/>
        <v>3.5546425855755763E-4</v>
      </c>
    </row>
    <row r="33" spans="1:9" x14ac:dyDescent="0.35">
      <c r="A33">
        <f t="shared" si="6"/>
        <v>113.52000000000004</v>
      </c>
      <c r="B33">
        <v>386.67</v>
      </c>
      <c r="C33">
        <v>10500</v>
      </c>
      <c r="D33">
        <f t="shared" si="7"/>
        <v>-0.98452743071189208</v>
      </c>
      <c r="H33">
        <f t="shared" si="8"/>
        <v>-0.98220153437937885</v>
      </c>
      <c r="I33">
        <f t="shared" si="9"/>
        <v>5.4097937495985088E-6</v>
      </c>
    </row>
    <row r="34" spans="1:9" x14ac:dyDescent="0.35">
      <c r="A34">
        <f t="shared" si="6"/>
        <v>20</v>
      </c>
      <c r="B34">
        <v>293.14999999999998</v>
      </c>
      <c r="C34">
        <v>54</v>
      </c>
      <c r="D34">
        <f t="shared" si="7"/>
        <v>-3.2733229699588615</v>
      </c>
      <c r="H34">
        <f t="shared" si="8"/>
        <v>-3.2324688567681701</v>
      </c>
      <c r="I34">
        <f t="shared" si="9"/>
        <v>1.6690585645978276E-3</v>
      </c>
    </row>
    <row r="35" spans="1:9" x14ac:dyDescent="0.35">
      <c r="A35">
        <f t="shared" si="6"/>
        <v>70</v>
      </c>
      <c r="B35">
        <v>343.15</v>
      </c>
      <c r="C35">
        <v>1420</v>
      </c>
      <c r="D35">
        <f t="shared" si="7"/>
        <v>-1.8534283853987736</v>
      </c>
      <c r="H35">
        <f t="shared" si="8"/>
        <v>-1.8690314959445882</v>
      </c>
      <c r="I35">
        <f t="shared" si="9"/>
        <v>2.4345705870490878E-4</v>
      </c>
    </row>
    <row r="36" spans="1:9" x14ac:dyDescent="0.35">
      <c r="A36">
        <f t="shared" si="6"/>
        <v>120</v>
      </c>
      <c r="B36">
        <v>393.15</v>
      </c>
      <c r="C36">
        <v>13200</v>
      </c>
      <c r="D36">
        <f t="shared" si="7"/>
        <v>-0.88514279857598033</v>
      </c>
      <c r="H36">
        <f t="shared" si="8"/>
        <v>-0.86768928225019604</v>
      </c>
      <c r="I36">
        <f t="shared" si="9"/>
        <v>3.0462523213441877E-4</v>
      </c>
    </row>
    <row r="37" spans="1:9" x14ac:dyDescent="0.35">
      <c r="A37">
        <f t="shared" si="6"/>
        <v>20</v>
      </c>
      <c r="B37">
        <v>293.14999999999998</v>
      </c>
      <c r="C37">
        <v>43</v>
      </c>
      <c r="D37">
        <f t="shared" si="7"/>
        <v>-3.3722482742022435</v>
      </c>
      <c r="H37">
        <f t="shared" si="8"/>
        <v>-3.2324688567681701</v>
      </c>
      <c r="I37">
        <f t="shared" si="9"/>
        <v>1.9538285538208945E-2</v>
      </c>
    </row>
    <row r="38" spans="1:9" x14ac:dyDescent="0.35">
      <c r="A38">
        <f t="shared" si="6"/>
        <v>70</v>
      </c>
      <c r="B38">
        <v>343.15</v>
      </c>
      <c r="C38">
        <v>1417</v>
      </c>
      <c r="D38">
        <f t="shared" si="7"/>
        <v>-1.8543468795343698</v>
      </c>
      <c r="H38">
        <f t="shared" si="8"/>
        <v>-1.8690314959445882</v>
      </c>
      <c r="I38">
        <f t="shared" si="9"/>
        <v>2.1563795911525385E-4</v>
      </c>
    </row>
    <row r="39" spans="1:9" x14ac:dyDescent="0.35">
      <c r="A39">
        <f t="shared" si="6"/>
        <v>120</v>
      </c>
      <c r="B39">
        <v>393.15</v>
      </c>
      <c r="C39">
        <v>13260</v>
      </c>
      <c r="D39">
        <f t="shared" si="7"/>
        <v>-0.88317320571307589</v>
      </c>
      <c r="H39">
        <f t="shared" si="8"/>
        <v>-0.86768928225019604</v>
      </c>
      <c r="I39">
        <f t="shared" si="9"/>
        <v>2.3975188580432132E-4</v>
      </c>
    </row>
    <row r="40" spans="1:9" x14ac:dyDescent="0.35">
      <c r="A40">
        <f t="shared" si="6"/>
        <v>20</v>
      </c>
      <c r="B40">
        <v>293.14999999999998</v>
      </c>
      <c r="C40">
        <v>62</v>
      </c>
      <c r="D40">
        <f t="shared" si="7"/>
        <v>-3.2133250402835762</v>
      </c>
      <c r="H40">
        <f t="shared" si="8"/>
        <v>-3.2324688567681701</v>
      </c>
      <c r="I40">
        <f t="shared" si="9"/>
        <v>3.6648570959580703E-4</v>
      </c>
    </row>
    <row r="41" spans="1:9" x14ac:dyDescent="0.35">
      <c r="A41">
        <f t="shared" si="6"/>
        <v>65</v>
      </c>
      <c r="B41">
        <v>338.15</v>
      </c>
      <c r="C41">
        <v>1100</v>
      </c>
      <c r="D41">
        <f t="shared" si="7"/>
        <v>-1.9643240446236052</v>
      </c>
      <c r="H41">
        <f t="shared" si="8"/>
        <v>-1.9862937942698551</v>
      </c>
      <c r="I41">
        <f t="shared" si="9"/>
        <v>4.826698995188963E-4</v>
      </c>
    </row>
    <row r="42" spans="1:9" x14ac:dyDescent="0.35">
      <c r="A42">
        <f t="shared" si="6"/>
        <v>112</v>
      </c>
      <c r="B42">
        <v>385.15</v>
      </c>
      <c r="C42">
        <v>9800</v>
      </c>
      <c r="D42">
        <f t="shared" si="7"/>
        <v>-1.0144906540893353</v>
      </c>
      <c r="H42">
        <f t="shared" si="8"/>
        <v>-1.0096455081280524</v>
      </c>
      <c r="I42">
        <f t="shared" si="9"/>
        <v>2.3475439386135282E-5</v>
      </c>
    </row>
    <row r="43" spans="1:9" x14ac:dyDescent="0.35">
      <c r="A43">
        <f t="shared" si="6"/>
        <v>4.2000000000000455</v>
      </c>
      <c r="B43">
        <v>277.35000000000002</v>
      </c>
      <c r="C43">
        <v>19</v>
      </c>
      <c r="D43">
        <f t="shared" si="7"/>
        <v>-3.7269631288290013</v>
      </c>
      <c r="H43">
        <f t="shared" si="8"/>
        <v>-3.7720423444649835</v>
      </c>
      <c r="I43">
        <f t="shared" si="9"/>
        <v>2.0321356823553888E-3</v>
      </c>
    </row>
    <row r="44" spans="1:9" x14ac:dyDescent="0.35">
      <c r="A44">
        <f t="shared" si="6"/>
        <v>40</v>
      </c>
      <c r="B44">
        <v>313.14999999999998</v>
      </c>
      <c r="C44">
        <v>243</v>
      </c>
      <c r="D44">
        <f t="shared" si="7"/>
        <v>-2.620110456183518</v>
      </c>
      <c r="H44">
        <f t="shared" si="8"/>
        <v>-2.6319203004352829</v>
      </c>
      <c r="I44">
        <f t="shared" si="9"/>
        <v>1.3947242125094447E-4</v>
      </c>
    </row>
    <row r="45" spans="1:9" x14ac:dyDescent="0.35">
      <c r="A45">
        <f t="shared" si="6"/>
        <v>77.660000000000025</v>
      </c>
      <c r="B45">
        <v>350.81</v>
      </c>
      <c r="C45">
        <v>2146</v>
      </c>
      <c r="D45">
        <f t="shared" si="7"/>
        <v>-1.674087012151898</v>
      </c>
      <c r="H45">
        <f t="shared" si="8"/>
        <v>-1.6961908861420705</v>
      </c>
      <c r="I45">
        <f t="shared" si="9"/>
        <v>4.8858124537342175E-4</v>
      </c>
    </row>
    <row r="46" spans="1:9" x14ac:dyDescent="0.35">
      <c r="H46" t="s">
        <v>21</v>
      </c>
      <c r="I46">
        <f>SUM(I30:I45)</f>
        <v>2.817779618838772E-2</v>
      </c>
    </row>
    <row r="47" spans="1:9" x14ac:dyDescent="0.35">
      <c r="H47" t="s">
        <v>666</v>
      </c>
      <c r="I47">
        <f>SQRT(SUM(I30:I45)/(COUNT(I30:I45)-1))</f>
        <v>4.3341893658359165E-2</v>
      </c>
    </row>
    <row r="48" spans="1:9" x14ac:dyDescent="0.35">
      <c r="A48" t="s">
        <v>634</v>
      </c>
      <c r="B48" t="s">
        <v>629</v>
      </c>
    </row>
    <row r="49" spans="1:9" x14ac:dyDescent="0.35">
      <c r="A49" t="s">
        <v>33</v>
      </c>
      <c r="B49" t="s">
        <v>30</v>
      </c>
      <c r="C49" t="s">
        <v>635</v>
      </c>
      <c r="D49" t="s">
        <v>20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</row>
    <row r="50" spans="1:9" x14ac:dyDescent="0.35">
      <c r="A50">
        <v>57.3</v>
      </c>
      <c r="B50">
        <f>A50+273.15</f>
        <v>330.45</v>
      </c>
      <c r="C50">
        <v>5</v>
      </c>
      <c r="D50">
        <f>LOG10(C50*0.00131579)</f>
        <v>-2.1818434142270147</v>
      </c>
      <c r="E50">
        <v>4.1534672452884269</v>
      </c>
      <c r="F50">
        <v>1549.1247761958607</v>
      </c>
      <c r="G50">
        <v>-85.924231079983684</v>
      </c>
      <c r="H50">
        <f>$E$50-($F$50/(B50+$G$50))</f>
        <v>-2.1817537133769767</v>
      </c>
      <c r="I50">
        <f>(H50-D50)^2</f>
        <v>8.0462424975416152E-9</v>
      </c>
    </row>
    <row r="51" spans="1:9" x14ac:dyDescent="0.35">
      <c r="A51">
        <v>85</v>
      </c>
      <c r="B51">
        <f t="shared" ref="B51:B55" si="10">A51+273.15</f>
        <v>358.15</v>
      </c>
      <c r="C51">
        <v>22</v>
      </c>
      <c r="D51">
        <f t="shared" ref="D51:D55" si="11">LOG10(C51*0.00131579)</f>
        <v>-1.538390737740827</v>
      </c>
      <c r="H51">
        <f t="shared" ref="H51:H55" si="12">$E$50-($F$50/(B51+$G$50))</f>
        <v>-1.5371210569931799</v>
      </c>
      <c r="I51">
        <f t="shared" ref="I51:I55" si="13">(H51-D51)^2</f>
        <v>1.6120892009457144E-6</v>
      </c>
    </row>
    <row r="52" spans="1:9" x14ac:dyDescent="0.35">
      <c r="A52">
        <v>94.8</v>
      </c>
      <c r="B52">
        <f t="shared" si="10"/>
        <v>367.95</v>
      </c>
      <c r="C52">
        <v>35</v>
      </c>
      <c r="D52">
        <f t="shared" si="11"/>
        <v>-1.3367453742127577</v>
      </c>
      <c r="H52">
        <f t="shared" si="12"/>
        <v>-1.3393810931029462</v>
      </c>
      <c r="I52">
        <f t="shared" si="13"/>
        <v>6.9470140680961403E-6</v>
      </c>
    </row>
    <row r="53" spans="1:9" x14ac:dyDescent="0.35">
      <c r="A53">
        <v>105.2</v>
      </c>
      <c r="B53">
        <f t="shared" si="10"/>
        <v>378.34999999999997</v>
      </c>
      <c r="C53">
        <v>56</v>
      </c>
      <c r="D53">
        <f t="shared" si="11"/>
        <v>-1.132625391556833</v>
      </c>
      <c r="H53">
        <f t="shared" si="12"/>
        <v>-1.144030242422974</v>
      </c>
      <c r="I53">
        <f t="shared" si="13"/>
        <v>1.3007062327891872E-4</v>
      </c>
    </row>
    <row r="54" spans="1:9" x14ac:dyDescent="0.35">
      <c r="A54">
        <v>110.7</v>
      </c>
      <c r="B54">
        <f t="shared" si="10"/>
        <v>383.84999999999997</v>
      </c>
      <c r="C54">
        <v>64</v>
      </c>
      <c r="D54">
        <f t="shared" si="11"/>
        <v>-1.0746334445791461</v>
      </c>
      <c r="H54">
        <f t="shared" si="12"/>
        <v>-1.0462332767961611</v>
      </c>
      <c r="I54">
        <f t="shared" si="13"/>
        <v>8.065695301017015E-4</v>
      </c>
    </row>
    <row r="55" spans="1:9" x14ac:dyDescent="0.35">
      <c r="A55">
        <v>115</v>
      </c>
      <c r="B55">
        <f t="shared" si="10"/>
        <v>388.15</v>
      </c>
      <c r="C55">
        <v>84</v>
      </c>
      <c r="D55">
        <f t="shared" si="11"/>
        <v>-0.95653413250115171</v>
      </c>
      <c r="H55">
        <f t="shared" si="12"/>
        <v>-0.97225311181929097</v>
      </c>
      <c r="I55">
        <f t="shared" si="13"/>
        <v>2.4708631080408975E-4</v>
      </c>
    </row>
    <row r="56" spans="1:9" x14ac:dyDescent="0.35">
      <c r="H56" t="s">
        <v>21</v>
      </c>
      <c r="I56">
        <f>SUM(I50:I55)</f>
        <v>1.1922936136962493E-3</v>
      </c>
    </row>
    <row r="57" spans="1:9" x14ac:dyDescent="0.35">
      <c r="H57" t="s">
        <v>666</v>
      </c>
      <c r="I57">
        <f>SQRT(SUM(I50:I55)/(COUNT(I50:I55)-1))</f>
        <v>1.5442108752992574E-2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B15B-5B3D-4CEE-93B7-80D21C66567A}">
  <dimension ref="A1:I7"/>
  <sheetViews>
    <sheetView workbookViewId="0">
      <selection sqref="A1:I7"/>
    </sheetView>
  </sheetViews>
  <sheetFormatPr defaultRowHeight="14.5" x14ac:dyDescent="0.35"/>
  <sheetData>
    <row r="1" spans="1:9" x14ac:dyDescent="0.35">
      <c r="A1" t="s">
        <v>35</v>
      </c>
    </row>
    <row r="2" spans="1:9" x14ac:dyDescent="0.35">
      <c r="A2" t="s">
        <v>33</v>
      </c>
      <c r="B2" t="s">
        <v>30</v>
      </c>
      <c r="C2" t="s">
        <v>667</v>
      </c>
      <c r="D2" t="s">
        <v>36</v>
      </c>
      <c r="E2" t="s">
        <v>20</v>
      </c>
      <c r="F2" t="s">
        <v>3</v>
      </c>
      <c r="G2" t="s">
        <v>4</v>
      </c>
      <c r="H2" t="s">
        <v>6</v>
      </c>
      <c r="I2" t="s">
        <v>7</v>
      </c>
    </row>
    <row r="3" spans="1:9" x14ac:dyDescent="0.35">
      <c r="A3">
        <v>81.599999999999994</v>
      </c>
      <c r="B3">
        <f>A3+273.15</f>
        <v>354.75</v>
      </c>
      <c r="C3">
        <f>1/B3</f>
        <v>2.8188865398167725E-3</v>
      </c>
      <c r="D3">
        <v>4.5999999999999999E-2</v>
      </c>
      <c r="E3">
        <f>LOG10(D3*0.00131579)</f>
        <v>-4.2180555868814595</v>
      </c>
      <c r="F3">
        <v>3.2498999999999998</v>
      </c>
      <c r="G3">
        <v>2650.8</v>
      </c>
      <c r="H3">
        <f>$F$3-($G$3/(B3))</f>
        <v>-4.2224044397463008</v>
      </c>
      <c r="I3">
        <f>(H3-E3)^2</f>
        <v>1.8912521240037624E-5</v>
      </c>
    </row>
    <row r="4" spans="1:9" x14ac:dyDescent="0.35">
      <c r="A4">
        <v>90.1</v>
      </c>
      <c r="B4">
        <f t="shared" ref="B4:B5" si="0">A4+273.15</f>
        <v>363.25</v>
      </c>
      <c r="C4">
        <f t="shared" ref="C4:C5" si="1">1/B4</f>
        <v>2.7529249827942187E-3</v>
      </c>
      <c r="D4">
        <v>6.7000000000000004E-2</v>
      </c>
      <c r="E4">
        <f t="shared" ref="E4:E5" si="2">LOG10(D4*0.00131579)</f>
        <v>-4.054738615862207</v>
      </c>
      <c r="H4">
        <f t="shared" ref="H4:H5" si="3">$F$3-($G$3/(B4))</f>
        <v>-4.0475535443909152</v>
      </c>
      <c r="I4">
        <f t="shared" ref="I4:I5" si="4">(H4-E4)^2</f>
        <v>5.1625252047570892E-5</v>
      </c>
    </row>
    <row r="5" spans="1:9" x14ac:dyDescent="0.35">
      <c r="A5">
        <v>102.6</v>
      </c>
      <c r="B5">
        <f t="shared" si="0"/>
        <v>375.75</v>
      </c>
      <c r="C5">
        <f t="shared" si="1"/>
        <v>2.6613439787092482E-3</v>
      </c>
      <c r="D5">
        <v>0.12</v>
      </c>
      <c r="E5">
        <f t="shared" si="2"/>
        <v>-3.8016321725154083</v>
      </c>
      <c r="H5">
        <f t="shared" si="3"/>
        <v>-3.804790618762476</v>
      </c>
      <c r="I5">
        <f t="shared" si="4"/>
        <v>9.9757826956162697E-6</v>
      </c>
    </row>
    <row r="6" spans="1:9" x14ac:dyDescent="0.35">
      <c r="H6" t="s">
        <v>21</v>
      </c>
      <c r="I6">
        <f>SUM(I3:I5)</f>
        <v>8.0513555983224784E-5</v>
      </c>
    </row>
    <row r="7" spans="1:9" x14ac:dyDescent="0.35">
      <c r="H7" t="s">
        <v>666</v>
      </c>
      <c r="I7">
        <f>SQRT(SUM(I3:I5)/(COUNT(I3:I5)-1))</f>
        <v>6.3448229283103235E-3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38FE-77A9-4658-91F9-12C446D6FF31}">
  <dimension ref="A1:I29"/>
  <sheetViews>
    <sheetView workbookViewId="0">
      <selection activeCell="E2" sqref="E2"/>
    </sheetView>
  </sheetViews>
  <sheetFormatPr defaultRowHeight="14.5" x14ac:dyDescent="0.35"/>
  <cols>
    <col min="9" max="9" width="11.81640625" bestFit="1" customWidth="1"/>
  </cols>
  <sheetData>
    <row r="1" spans="1:9" x14ac:dyDescent="0.35">
      <c r="A1" t="s">
        <v>244</v>
      </c>
    </row>
    <row r="2" spans="1:9" x14ac:dyDescent="0.35">
      <c r="A2" t="s">
        <v>33</v>
      </c>
      <c r="B2" t="s">
        <v>30</v>
      </c>
      <c r="C2" t="s">
        <v>667</v>
      </c>
      <c r="D2" t="s">
        <v>668</v>
      </c>
      <c r="E2" t="s">
        <v>20</v>
      </c>
      <c r="F2" t="s">
        <v>3</v>
      </c>
      <c r="G2" t="s">
        <v>4</v>
      </c>
      <c r="H2" t="s">
        <v>6</v>
      </c>
      <c r="I2" t="s">
        <v>7</v>
      </c>
    </row>
    <row r="3" spans="1:9" x14ac:dyDescent="0.35">
      <c r="A3">
        <v>76</v>
      </c>
      <c r="B3">
        <f>A3+273.15</f>
        <v>349.15</v>
      </c>
      <c r="C3">
        <f>1/B3</f>
        <v>2.8640985249892598E-3</v>
      </c>
      <c r="D3">
        <v>2.3999999999999998E-3</v>
      </c>
      <c r="E3">
        <f>LOG10(D3*0.00131579)</f>
        <v>-5.5006021768514275</v>
      </c>
      <c r="F3">
        <v>7.8529999999999998</v>
      </c>
      <c r="G3">
        <v>4679.8</v>
      </c>
      <c r="H3">
        <f>$F$3-($G$3/(B3))</f>
        <v>-5.5504082772447383</v>
      </c>
      <c r="I3">
        <f>(H3-E3)^2</f>
        <v>2.4806476363885533E-3</v>
      </c>
    </row>
    <row r="4" spans="1:9" x14ac:dyDescent="0.35">
      <c r="A4">
        <v>98</v>
      </c>
      <c r="B4">
        <f t="shared" ref="B4:B14" si="0">A4+273.15</f>
        <v>371.15</v>
      </c>
      <c r="C4">
        <f t="shared" ref="C4:C14" si="1">1/B4</f>
        <v>2.6943284386366701E-3</v>
      </c>
      <c r="D4">
        <v>1.3299999999999999E-2</v>
      </c>
      <c r="E4">
        <f t="shared" ref="E4:E14" si="2">LOG10(D4*0.00131579)</f>
        <v>-4.7569617775959472</v>
      </c>
      <c r="H4">
        <f t="shared" ref="H4:H14" si="3">$F$3-($G$3/(B4))</f>
        <v>-4.7559182271318896</v>
      </c>
      <c r="I4">
        <f t="shared" ref="I4:I14" si="4">(H4-E4)^2</f>
        <v>1.0889975710347788E-6</v>
      </c>
    </row>
    <row r="5" spans="1:9" x14ac:dyDescent="0.35">
      <c r="A5">
        <v>100</v>
      </c>
      <c r="B5">
        <f t="shared" si="0"/>
        <v>373.15</v>
      </c>
      <c r="C5">
        <f t="shared" si="1"/>
        <v>2.6798874447273215E-3</v>
      </c>
      <c r="D5">
        <v>1.54E-2</v>
      </c>
      <c r="E5">
        <f t="shared" si="2"/>
        <v>-4.6932926977265703</v>
      </c>
      <c r="H5">
        <f t="shared" si="3"/>
        <v>-4.6883372638349208</v>
      </c>
      <c r="I5">
        <f t="shared" si="4"/>
        <v>2.4556325054508917E-5</v>
      </c>
    </row>
    <row r="6" spans="1:9" x14ac:dyDescent="0.35">
      <c r="A6">
        <v>109</v>
      </c>
      <c r="B6">
        <f t="shared" si="0"/>
        <v>382.15</v>
      </c>
      <c r="C6">
        <f t="shared" si="1"/>
        <v>2.6167735182519953E-3</v>
      </c>
      <c r="D6">
        <v>2.8299999999999999E-2</v>
      </c>
      <c r="E6">
        <f t="shared" si="2"/>
        <v>-4.4290269830387432</v>
      </c>
      <c r="H6">
        <f t="shared" si="3"/>
        <v>-4.3929767107156898</v>
      </c>
      <c r="I6">
        <f t="shared" si="4"/>
        <v>1.2996221345663067E-3</v>
      </c>
    </row>
    <row r="7" spans="1:9" x14ac:dyDescent="0.35">
      <c r="A7">
        <v>111</v>
      </c>
      <c r="B7">
        <f t="shared" si="0"/>
        <v>384.15</v>
      </c>
      <c r="C7">
        <f t="shared" si="1"/>
        <v>2.6031498112716388E-3</v>
      </c>
      <c r="D7">
        <v>3.6799999999999999E-2</v>
      </c>
      <c r="E7">
        <f t="shared" si="2"/>
        <v>-4.3149655998895158</v>
      </c>
      <c r="H7">
        <f t="shared" si="3"/>
        <v>-4.3292204867890156</v>
      </c>
      <c r="I7">
        <f t="shared" si="4"/>
        <v>2.0320180051753187E-4</v>
      </c>
    </row>
    <row r="8" spans="1:9" x14ac:dyDescent="0.35">
      <c r="A8">
        <v>123</v>
      </c>
      <c r="B8">
        <f t="shared" si="0"/>
        <v>396.15</v>
      </c>
      <c r="C8">
        <f t="shared" si="1"/>
        <v>2.5242963523917708E-3</v>
      </c>
      <c r="D8">
        <v>7.3800000000000004E-2</v>
      </c>
      <c r="E8">
        <f t="shared" si="2"/>
        <v>-4.0127570567399919</v>
      </c>
      <c r="H8">
        <f t="shared" si="3"/>
        <v>-3.9602020699230103</v>
      </c>
      <c r="I8">
        <f t="shared" si="4"/>
        <v>2.7620266393331176E-3</v>
      </c>
    </row>
    <row r="9" spans="1:9" x14ac:dyDescent="0.35">
      <c r="A9">
        <v>130</v>
      </c>
      <c r="B9">
        <f t="shared" si="0"/>
        <v>403.15</v>
      </c>
      <c r="C9">
        <f t="shared" si="1"/>
        <v>2.4804663276696021E-3</v>
      </c>
      <c r="D9">
        <v>0.126</v>
      </c>
      <c r="E9">
        <f t="shared" si="2"/>
        <v>-3.7804428734454705</v>
      </c>
      <c r="H9">
        <f t="shared" si="3"/>
        <v>-3.7550863202282034</v>
      </c>
      <c r="I9">
        <f t="shared" si="4"/>
        <v>6.4295479106009552E-4</v>
      </c>
    </row>
    <row r="10" spans="1:9" x14ac:dyDescent="0.35">
      <c r="A10">
        <v>138</v>
      </c>
      <c r="B10">
        <f t="shared" si="0"/>
        <v>411.15</v>
      </c>
      <c r="C10">
        <f t="shared" si="1"/>
        <v>2.4322023592362888E-3</v>
      </c>
      <c r="D10">
        <v>0.219</v>
      </c>
      <c r="E10">
        <f t="shared" si="2"/>
        <v>-3.5403693037229149</v>
      </c>
      <c r="H10">
        <f t="shared" si="3"/>
        <v>-3.5292206007539839</v>
      </c>
      <c r="I10">
        <f t="shared" si="4"/>
        <v>1.2429357788945093E-4</v>
      </c>
    </row>
    <row r="11" spans="1:9" x14ac:dyDescent="0.35">
      <c r="A11">
        <v>143</v>
      </c>
      <c r="B11">
        <f t="shared" si="0"/>
        <v>416.15</v>
      </c>
      <c r="C11">
        <f t="shared" si="1"/>
        <v>2.4029796948215787E-3</v>
      </c>
      <c r="D11">
        <v>0.28899999999999998</v>
      </c>
      <c r="E11">
        <f t="shared" si="2"/>
        <v>-3.4199155758064856</v>
      </c>
      <c r="H11">
        <f t="shared" si="3"/>
        <v>-3.3924643758260249</v>
      </c>
      <c r="I11">
        <f t="shared" si="4"/>
        <v>7.5356838036724826E-4</v>
      </c>
    </row>
    <row r="12" spans="1:9" x14ac:dyDescent="0.35">
      <c r="A12">
        <v>148</v>
      </c>
      <c r="B12">
        <f t="shared" si="0"/>
        <v>421.15</v>
      </c>
      <c r="C12">
        <f t="shared" si="1"/>
        <v>2.3744509082274726E-3</v>
      </c>
      <c r="D12">
        <v>0.44800000000000001</v>
      </c>
      <c r="E12">
        <f t="shared" si="2"/>
        <v>-3.2295354045648894</v>
      </c>
      <c r="H12">
        <f t="shared" si="3"/>
        <v>-3.2589553603229273</v>
      </c>
      <c r="I12">
        <f t="shared" si="4"/>
        <v>8.655337968049079E-4</v>
      </c>
    </row>
    <row r="13" spans="1:9" x14ac:dyDescent="0.35">
      <c r="A13">
        <v>160</v>
      </c>
      <c r="B13">
        <f t="shared" si="0"/>
        <v>433.15</v>
      </c>
      <c r="C13">
        <f t="shared" si="1"/>
        <v>2.3086690522913541E-3</v>
      </c>
      <c r="D13">
        <v>0.95799999999999996</v>
      </c>
      <c r="E13">
        <f t="shared" si="2"/>
        <v>-2.8994479094844889</v>
      </c>
      <c r="H13">
        <f t="shared" si="3"/>
        <v>-2.9511094309130801</v>
      </c>
      <c r="I13">
        <f t="shared" si="4"/>
        <v>2.6689127963167828E-3</v>
      </c>
    </row>
    <row r="14" spans="1:9" x14ac:dyDescent="0.35">
      <c r="A14">
        <v>165</v>
      </c>
      <c r="B14">
        <f t="shared" si="0"/>
        <v>438.15</v>
      </c>
      <c r="C14">
        <f t="shared" si="1"/>
        <v>2.2823234052265209E-3</v>
      </c>
      <c r="D14">
        <v>1.17</v>
      </c>
      <c r="E14">
        <f t="shared" si="2"/>
        <v>-2.8126275568168717</v>
      </c>
      <c r="H14">
        <f t="shared" si="3"/>
        <v>-2.8278170717790729</v>
      </c>
      <c r="I14">
        <f t="shared" si="4"/>
        <v>2.3072136478693482E-4</v>
      </c>
    </row>
    <row r="15" spans="1:9" x14ac:dyDescent="0.35">
      <c r="H15" t="s">
        <v>21</v>
      </c>
      <c r="I15">
        <f>SUM(I3:I14)</f>
        <v>1.2057128240656472E-2</v>
      </c>
    </row>
    <row r="16" spans="1:9" x14ac:dyDescent="0.35">
      <c r="H16" t="s">
        <v>666</v>
      </c>
      <c r="I16">
        <f>SQRT(SUM(I3:I14)/(COUNT(I3:I14)-1))</f>
        <v>3.3107439758042402E-2</v>
      </c>
    </row>
    <row r="18" spans="1:9" x14ac:dyDescent="0.35">
      <c r="A18" t="s">
        <v>244</v>
      </c>
    </row>
    <row r="19" spans="1:9" x14ac:dyDescent="0.35">
      <c r="A19" t="s">
        <v>33</v>
      </c>
      <c r="B19" t="s">
        <v>30</v>
      </c>
      <c r="C19" t="s">
        <v>667</v>
      </c>
      <c r="D19" t="s">
        <v>668</v>
      </c>
      <c r="E19" t="s">
        <v>20</v>
      </c>
      <c r="F19" t="s">
        <v>3</v>
      </c>
      <c r="G19" t="s">
        <v>4</v>
      </c>
      <c r="H19" t="s">
        <v>6</v>
      </c>
      <c r="I19" t="s">
        <v>7</v>
      </c>
    </row>
    <row r="20" spans="1:9" x14ac:dyDescent="0.35">
      <c r="A20">
        <v>170</v>
      </c>
      <c r="B20">
        <f>A20+273.15</f>
        <v>443.15</v>
      </c>
      <c r="C20">
        <f>1/B20</f>
        <v>2.2565722667268421E-3</v>
      </c>
      <c r="D20">
        <v>1.4</v>
      </c>
      <c r="E20">
        <f>LOG10(D20*0.00131579)</f>
        <v>-2.7346853828847952</v>
      </c>
      <c r="F20">
        <v>7.1087999999999996</v>
      </c>
      <c r="G20">
        <v>4358.3999999999996</v>
      </c>
      <c r="H20">
        <f>$F$20-($G$20/(B20))</f>
        <v>-2.7262445673022677</v>
      </c>
      <c r="I20">
        <f>(H20-E20)^2</f>
        <v>7.1247367698239346E-5</v>
      </c>
    </row>
    <row r="21" spans="1:9" x14ac:dyDescent="0.35">
      <c r="A21">
        <v>180</v>
      </c>
      <c r="B21">
        <f t="shared" ref="B21:B27" si="5">A21+273.15</f>
        <v>453.15</v>
      </c>
      <c r="C21">
        <f t="shared" ref="C21:C27" si="6">1/B21</f>
        <v>2.2067747986317999E-3</v>
      </c>
      <c r="D21">
        <v>2.5099999999999998</v>
      </c>
      <c r="E21">
        <f t="shared" ref="E21:E27" si="7">LOG10(D21*0.00131579)</f>
        <v>-2.4811396970819954</v>
      </c>
      <c r="H21">
        <f t="shared" ref="H21:H27" si="8">$F$20-($G$20/(B21))</f>
        <v>-2.5092072823568357</v>
      </c>
      <c r="I21">
        <f t="shared" ref="I21:I27" si="9">(H21-E21)^2</f>
        <v>7.8778934316042716E-4</v>
      </c>
    </row>
    <row r="22" spans="1:9" x14ac:dyDescent="0.35">
      <c r="A22">
        <v>190</v>
      </c>
      <c r="B22">
        <f t="shared" si="5"/>
        <v>463.15</v>
      </c>
      <c r="C22">
        <f t="shared" si="6"/>
        <v>2.1591277124041889E-3</v>
      </c>
      <c r="D22">
        <v>3.69</v>
      </c>
      <c r="E22">
        <f t="shared" si="7"/>
        <v>-2.3137870524039728</v>
      </c>
      <c r="H22">
        <f t="shared" si="8"/>
        <v>-2.3015422217424168</v>
      </c>
      <c r="I22">
        <f t="shared" si="9"/>
        <v>1.4993587793017964E-4</v>
      </c>
    </row>
    <row r="23" spans="1:9" x14ac:dyDescent="0.35">
      <c r="A23">
        <v>200</v>
      </c>
      <c r="B23">
        <f t="shared" si="5"/>
        <v>473.15</v>
      </c>
      <c r="C23">
        <f t="shared" si="6"/>
        <v>2.1134946634259748E-3</v>
      </c>
      <c r="D23">
        <v>6.31</v>
      </c>
      <c r="E23">
        <f t="shared" si="7"/>
        <v>-2.0807840593188991</v>
      </c>
      <c r="H23">
        <f t="shared" si="8"/>
        <v>-2.1026551410757692</v>
      </c>
      <c r="I23">
        <f t="shared" si="9"/>
        <v>4.783442172156977E-4</v>
      </c>
    </row>
    <row r="24" spans="1:9" x14ac:dyDescent="0.35">
      <c r="A24">
        <v>210</v>
      </c>
      <c r="B24">
        <f t="shared" si="5"/>
        <v>483.15</v>
      </c>
      <c r="C24">
        <f t="shared" si="6"/>
        <v>2.0697505950532961E-3</v>
      </c>
      <c r="D24">
        <v>9.0500000000000007</v>
      </c>
      <c r="E24">
        <f t="shared" si="7"/>
        <v>-1.9241648393578299</v>
      </c>
      <c r="H24">
        <f t="shared" si="8"/>
        <v>-1.9120009934802864</v>
      </c>
      <c r="I24">
        <f t="shared" si="9"/>
        <v>1.4795914653263173E-4</v>
      </c>
    </row>
    <row r="25" spans="1:9" x14ac:dyDescent="0.35">
      <c r="A25">
        <v>220</v>
      </c>
      <c r="B25">
        <f t="shared" si="5"/>
        <v>493.15</v>
      </c>
      <c r="C25">
        <f t="shared" si="6"/>
        <v>2.0277805941397143E-3</v>
      </c>
      <c r="D25">
        <v>12.3</v>
      </c>
      <c r="E25">
        <f t="shared" si="7"/>
        <v>-1.7909083071236354</v>
      </c>
      <c r="H25">
        <f t="shared" si="8"/>
        <v>-1.7290789414985293</v>
      </c>
      <c r="I25">
        <f t="shared" si="9"/>
        <v>3.8228704536030522E-3</v>
      </c>
    </row>
    <row r="26" spans="1:9" x14ac:dyDescent="0.35">
      <c r="A26">
        <v>230</v>
      </c>
      <c r="B26">
        <f t="shared" si="5"/>
        <v>503.15</v>
      </c>
      <c r="C26">
        <f t="shared" si="6"/>
        <v>1.987478883036868E-3</v>
      </c>
      <c r="D26">
        <v>22.1</v>
      </c>
      <c r="E26">
        <f t="shared" si="7"/>
        <v>-1.5364211448779226</v>
      </c>
      <c r="H26">
        <f t="shared" si="8"/>
        <v>-1.5534279638278852</v>
      </c>
      <c r="I26">
        <f t="shared" si="9"/>
        <v>2.8923189079680658E-4</v>
      </c>
    </row>
    <row r="27" spans="1:9" x14ac:dyDescent="0.35">
      <c r="A27">
        <v>240</v>
      </c>
      <c r="B27">
        <f t="shared" si="5"/>
        <v>513.15</v>
      </c>
      <c r="C27">
        <f t="shared" si="6"/>
        <v>1.948747929455325E-3</v>
      </c>
      <c r="D27">
        <v>33.4</v>
      </c>
      <c r="E27">
        <f t="shared" si="7"/>
        <v>-1.3570669517514689</v>
      </c>
      <c r="H27">
        <f t="shared" si="8"/>
        <v>-1.3846229757380888</v>
      </c>
      <c r="I27">
        <f t="shared" si="9"/>
        <v>7.5933445795117337E-4</v>
      </c>
    </row>
    <row r="28" spans="1:9" x14ac:dyDescent="0.35">
      <c r="H28" t="s">
        <v>21</v>
      </c>
      <c r="I28">
        <f>SUM(I20:I27)</f>
        <v>6.5067127548882079E-3</v>
      </c>
    </row>
    <row r="29" spans="1:9" x14ac:dyDescent="0.35">
      <c r="H29" t="s">
        <v>666</v>
      </c>
      <c r="I29">
        <f>SQRT(SUM(I20:I27)/(COUNT(I20:I27)-1))</f>
        <v>3.0488200890761961E-2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27"/>
  <sheetViews>
    <sheetView zoomScale="95" workbookViewId="0">
      <selection activeCell="N2" sqref="N2"/>
    </sheetView>
  </sheetViews>
  <sheetFormatPr defaultRowHeight="14.5" x14ac:dyDescent="0.35"/>
  <cols>
    <col min="16" max="16" width="15.453125" customWidth="1"/>
  </cols>
  <sheetData>
    <row r="1" spans="1:18" x14ac:dyDescent="0.35">
      <c r="A1" t="s">
        <v>652</v>
      </c>
      <c r="B1" t="s">
        <v>672</v>
      </c>
      <c r="C1" t="s">
        <v>44</v>
      </c>
      <c r="D1" t="s">
        <v>47</v>
      </c>
      <c r="E1" t="s">
        <v>48</v>
      </c>
      <c r="F1" t="s">
        <v>50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15</v>
      </c>
      <c r="N1" t="s">
        <v>672</v>
      </c>
      <c r="O1" t="s">
        <v>44</v>
      </c>
      <c r="P1" t="s">
        <v>50</v>
      </c>
      <c r="Q1" t="s">
        <v>51</v>
      </c>
      <c r="R1" t="s">
        <v>52</v>
      </c>
    </row>
    <row r="2" spans="1:18" x14ac:dyDescent="0.35">
      <c r="A2">
        <v>7.9958999999999998</v>
      </c>
      <c r="B2">
        <v>2898.02</v>
      </c>
      <c r="C2">
        <v>0</v>
      </c>
      <c r="D2">
        <v>82</v>
      </c>
      <c r="E2">
        <v>119</v>
      </c>
      <c r="F2" t="s">
        <v>656</v>
      </c>
      <c r="H2" t="s">
        <v>8</v>
      </c>
      <c r="I2" t="s">
        <v>653</v>
      </c>
      <c r="J2">
        <f>D2</f>
        <v>82</v>
      </c>
      <c r="K2">
        <f>E2</f>
        <v>119</v>
      </c>
      <c r="L2">
        <v>-2.15</v>
      </c>
      <c r="M2">
        <f>A2+LOG10(0.00986923)</f>
        <v>5.9901832702181697</v>
      </c>
      <c r="N2">
        <f>B2</f>
        <v>2898.02</v>
      </c>
      <c r="O2">
        <f>C2</f>
        <v>0</v>
      </c>
      <c r="P2" t="str">
        <f>F2</f>
        <v>Kahlbaum 1898</v>
      </c>
      <c r="Q2" t="s">
        <v>651</v>
      </c>
      <c r="R2">
        <v>32</v>
      </c>
    </row>
    <row r="3" spans="1:18" x14ac:dyDescent="0.35">
      <c r="A3">
        <v>7.0977499999999996</v>
      </c>
      <c r="B3">
        <v>2513</v>
      </c>
      <c r="C3">
        <v>0</v>
      </c>
      <c r="D3">
        <v>50</v>
      </c>
      <c r="E3">
        <v>220</v>
      </c>
      <c r="F3" t="s">
        <v>657</v>
      </c>
      <c r="H3" t="s">
        <v>8</v>
      </c>
      <c r="I3" t="s">
        <v>653</v>
      </c>
      <c r="J3">
        <f t="shared" ref="J3:J27" si="0">D3</f>
        <v>50</v>
      </c>
      <c r="K3">
        <f t="shared" ref="K3:K27" si="1">E3</f>
        <v>220</v>
      </c>
      <c r="L3">
        <v>-2.15</v>
      </c>
      <c r="M3">
        <f t="shared" ref="M3:M27" si="2">A3+LOG10(0.00986923)</f>
        <v>5.0920332702181694</v>
      </c>
      <c r="N3">
        <f t="shared" ref="N3:N27" si="3">B3</f>
        <v>2513</v>
      </c>
      <c r="O3">
        <f t="shared" ref="O3:O27" si="4">C3</f>
        <v>0</v>
      </c>
      <c r="P3" t="str">
        <f t="shared" ref="P3:P27" si="5">F3</f>
        <v>Berliner 1926</v>
      </c>
      <c r="Q3" t="s">
        <v>651</v>
      </c>
      <c r="R3">
        <v>32</v>
      </c>
    </row>
    <row r="4" spans="1:18" x14ac:dyDescent="0.35">
      <c r="A4">
        <v>7.1021000000000001</v>
      </c>
      <c r="B4">
        <v>2380.1799999999998</v>
      </c>
      <c r="C4">
        <v>-26.332999999999998</v>
      </c>
      <c r="D4">
        <v>114</v>
      </c>
      <c r="E4">
        <v>220</v>
      </c>
      <c r="F4" t="s">
        <v>658</v>
      </c>
      <c r="H4" t="s">
        <v>8</v>
      </c>
      <c r="I4" t="s">
        <v>653</v>
      </c>
      <c r="J4">
        <f t="shared" si="0"/>
        <v>114</v>
      </c>
      <c r="K4">
        <f t="shared" si="1"/>
        <v>220</v>
      </c>
      <c r="L4">
        <v>-2.15</v>
      </c>
      <c r="M4">
        <f t="shared" si="2"/>
        <v>5.0963832702181699</v>
      </c>
      <c r="N4">
        <f t="shared" si="3"/>
        <v>2380.1799999999998</v>
      </c>
      <c r="O4">
        <f t="shared" si="4"/>
        <v>-26.332999999999998</v>
      </c>
      <c r="P4" t="str">
        <f t="shared" si="5"/>
        <v>Levin 1938</v>
      </c>
      <c r="Q4" t="s">
        <v>651</v>
      </c>
      <c r="R4">
        <v>32</v>
      </c>
    </row>
    <row r="5" spans="1:18" x14ac:dyDescent="0.35">
      <c r="A5">
        <v>7.1183699999999996</v>
      </c>
      <c r="B5">
        <v>2448.83</v>
      </c>
      <c r="C5">
        <v>-16.545999999999999</v>
      </c>
      <c r="D5">
        <v>50</v>
      </c>
      <c r="E5">
        <v>222</v>
      </c>
      <c r="F5" t="s">
        <v>660</v>
      </c>
      <c r="H5" t="s">
        <v>8</v>
      </c>
      <c r="I5" t="s">
        <v>653</v>
      </c>
      <c r="J5">
        <f t="shared" si="0"/>
        <v>50</v>
      </c>
      <c r="K5">
        <f t="shared" si="1"/>
        <v>222</v>
      </c>
      <c r="L5">
        <v>-2.15</v>
      </c>
      <c r="M5">
        <f t="shared" si="2"/>
        <v>5.1126532702181695</v>
      </c>
      <c r="N5">
        <f t="shared" si="3"/>
        <v>2448.83</v>
      </c>
      <c r="O5">
        <f t="shared" si="4"/>
        <v>-16.545999999999999</v>
      </c>
      <c r="P5" t="str">
        <f t="shared" si="5"/>
        <v>Stull 1947, Wichterle 1970</v>
      </c>
      <c r="Q5" t="s">
        <v>651</v>
      </c>
      <c r="R5">
        <v>32</v>
      </c>
    </row>
    <row r="6" spans="1:18" x14ac:dyDescent="0.35">
      <c r="A6">
        <v>6.61944</v>
      </c>
      <c r="B6">
        <v>2086.1</v>
      </c>
      <c r="C6">
        <v>-43.15</v>
      </c>
      <c r="D6">
        <v>129</v>
      </c>
      <c r="E6">
        <v>222</v>
      </c>
      <c r="F6" t="s">
        <v>655</v>
      </c>
      <c r="H6" t="s">
        <v>8</v>
      </c>
      <c r="I6" t="s">
        <v>653</v>
      </c>
      <c r="J6">
        <f t="shared" si="0"/>
        <v>129</v>
      </c>
      <c r="K6">
        <f t="shared" si="1"/>
        <v>222</v>
      </c>
      <c r="L6">
        <v>-2.15</v>
      </c>
      <c r="M6">
        <f t="shared" si="2"/>
        <v>4.6137232702181699</v>
      </c>
      <c r="N6">
        <f t="shared" si="3"/>
        <v>2086.1</v>
      </c>
      <c r="O6">
        <f>C6</f>
        <v>-43.15</v>
      </c>
      <c r="P6" t="str">
        <f t="shared" si="5"/>
        <v>Dreisbach 1949</v>
      </c>
      <c r="Q6" t="s">
        <v>651</v>
      </c>
      <c r="R6">
        <v>32</v>
      </c>
    </row>
    <row r="7" spans="1:18" x14ac:dyDescent="0.35">
      <c r="A7">
        <v>7.4141000000000004</v>
      </c>
      <c r="B7">
        <v>2689.06</v>
      </c>
      <c r="C7">
        <v>0</v>
      </c>
      <c r="D7">
        <v>90</v>
      </c>
      <c r="E7">
        <v>223</v>
      </c>
      <c r="F7" t="s">
        <v>661</v>
      </c>
      <c r="H7" t="s">
        <v>8</v>
      </c>
      <c r="I7" t="s">
        <v>653</v>
      </c>
      <c r="J7">
        <f t="shared" si="0"/>
        <v>90</v>
      </c>
      <c r="K7">
        <f t="shared" si="1"/>
        <v>223</v>
      </c>
      <c r="L7">
        <v>-2.15</v>
      </c>
      <c r="M7">
        <f t="shared" si="2"/>
        <v>5.4083832702181702</v>
      </c>
      <c r="N7">
        <f t="shared" si="3"/>
        <v>2689.06</v>
      </c>
      <c r="O7">
        <f t="shared" si="4"/>
        <v>0</v>
      </c>
      <c r="P7" t="str">
        <f t="shared" si="5"/>
        <v>Salachijev 1973</v>
      </c>
      <c r="Q7" t="s">
        <v>651</v>
      </c>
      <c r="R7">
        <v>32</v>
      </c>
    </row>
    <row r="8" spans="1:18" x14ac:dyDescent="0.35">
      <c r="A8">
        <v>7.4156000000000004</v>
      </c>
      <c r="B8">
        <v>2677.4</v>
      </c>
      <c r="C8">
        <v>0</v>
      </c>
      <c r="D8">
        <v>138</v>
      </c>
      <c r="E8">
        <v>222</v>
      </c>
      <c r="F8" t="s">
        <v>662</v>
      </c>
      <c r="H8" t="s">
        <v>8</v>
      </c>
      <c r="I8" t="s">
        <v>653</v>
      </c>
      <c r="J8">
        <f t="shared" si="0"/>
        <v>138</v>
      </c>
      <c r="K8">
        <f t="shared" si="1"/>
        <v>222</v>
      </c>
      <c r="L8">
        <v>-2.15</v>
      </c>
      <c r="M8">
        <f t="shared" si="2"/>
        <v>5.4098832702181703</v>
      </c>
      <c r="N8">
        <f t="shared" si="3"/>
        <v>2677.4</v>
      </c>
      <c r="O8">
        <f t="shared" si="4"/>
        <v>0</v>
      </c>
      <c r="P8" t="str">
        <f t="shared" si="5"/>
        <v>Hara 1976</v>
      </c>
      <c r="Q8" t="s">
        <v>651</v>
      </c>
      <c r="R8">
        <v>32</v>
      </c>
    </row>
    <row r="9" spans="1:18" x14ac:dyDescent="0.35">
      <c r="A9">
        <v>6.32043</v>
      </c>
      <c r="B9">
        <v>1827.66</v>
      </c>
      <c r="C9">
        <v>-71.63</v>
      </c>
      <c r="D9">
        <v>129</v>
      </c>
      <c r="E9">
        <v>222</v>
      </c>
      <c r="F9" t="s">
        <v>663</v>
      </c>
      <c r="H9" t="s">
        <v>8</v>
      </c>
      <c r="I9" t="s">
        <v>653</v>
      </c>
      <c r="J9">
        <f t="shared" si="0"/>
        <v>129</v>
      </c>
      <c r="K9">
        <f t="shared" si="1"/>
        <v>222</v>
      </c>
      <c r="L9">
        <v>-2.15</v>
      </c>
      <c r="M9">
        <f t="shared" si="2"/>
        <v>4.3147132702181699</v>
      </c>
      <c r="N9">
        <f t="shared" si="3"/>
        <v>1827.66</v>
      </c>
      <c r="O9">
        <f t="shared" si="4"/>
        <v>-71.63</v>
      </c>
      <c r="P9" t="str">
        <f t="shared" si="5"/>
        <v>Dykyj 1979</v>
      </c>
      <c r="Q9" t="s">
        <v>651</v>
      </c>
      <c r="R9">
        <v>32</v>
      </c>
    </row>
    <row r="10" spans="1:18" x14ac:dyDescent="0.35">
      <c r="A10">
        <v>6.4534200000000004</v>
      </c>
      <c r="B10">
        <v>1906.5319999999999</v>
      </c>
      <c r="C10">
        <v>-65.441000000000003</v>
      </c>
      <c r="D10">
        <v>115</v>
      </c>
      <c r="E10">
        <v>175</v>
      </c>
      <c r="F10" t="s">
        <v>651</v>
      </c>
      <c r="H10" t="s">
        <v>8</v>
      </c>
      <c r="I10" t="s">
        <v>653</v>
      </c>
      <c r="J10">
        <f t="shared" si="0"/>
        <v>115</v>
      </c>
      <c r="K10">
        <f t="shared" si="1"/>
        <v>175</v>
      </c>
      <c r="L10">
        <v>-2.15</v>
      </c>
      <c r="M10">
        <f t="shared" si="2"/>
        <v>4.4477032702181702</v>
      </c>
      <c r="N10">
        <f t="shared" si="3"/>
        <v>1906.5319999999999</v>
      </c>
      <c r="O10">
        <f t="shared" si="4"/>
        <v>-65.441000000000003</v>
      </c>
      <c r="P10" t="str">
        <f t="shared" si="5"/>
        <v>Aim 1994</v>
      </c>
      <c r="Q10" t="s">
        <v>651</v>
      </c>
      <c r="R10">
        <v>32</v>
      </c>
    </row>
    <row r="11" spans="1:18" x14ac:dyDescent="0.35">
      <c r="A11">
        <v>7.1904300000000001</v>
      </c>
      <c r="B11">
        <v>2618.1999999999998</v>
      </c>
      <c r="C11">
        <v>0</v>
      </c>
      <c r="D11">
        <v>50</v>
      </c>
      <c r="E11">
        <v>232</v>
      </c>
      <c r="F11" t="s">
        <v>657</v>
      </c>
      <c r="H11" t="s">
        <v>9</v>
      </c>
      <c r="I11" t="s">
        <v>654</v>
      </c>
      <c r="J11">
        <f t="shared" si="0"/>
        <v>50</v>
      </c>
      <c r="K11">
        <f t="shared" si="1"/>
        <v>232</v>
      </c>
      <c r="L11">
        <v>15.44</v>
      </c>
      <c r="M11">
        <f t="shared" si="2"/>
        <v>5.18471327021817</v>
      </c>
      <c r="N11">
        <f t="shared" si="3"/>
        <v>2618.1999999999998</v>
      </c>
      <c r="O11">
        <f t="shared" si="4"/>
        <v>0</v>
      </c>
      <c r="P11" t="str">
        <f t="shared" si="5"/>
        <v>Berliner 1926</v>
      </c>
      <c r="Q11" t="s">
        <v>651</v>
      </c>
      <c r="R11">
        <v>32</v>
      </c>
    </row>
    <row r="12" spans="1:18" x14ac:dyDescent="0.35">
      <c r="A12">
        <v>6.4571199999999997</v>
      </c>
      <c r="B12">
        <v>1900.49</v>
      </c>
      <c r="C12">
        <v>-74.311000000000007</v>
      </c>
      <c r="D12">
        <v>171</v>
      </c>
      <c r="E12">
        <v>207</v>
      </c>
      <c r="F12" t="s">
        <v>658</v>
      </c>
      <c r="H12" t="s">
        <v>9</v>
      </c>
      <c r="I12" t="s">
        <v>654</v>
      </c>
      <c r="J12">
        <f t="shared" si="0"/>
        <v>171</v>
      </c>
      <c r="K12">
        <f t="shared" si="1"/>
        <v>207</v>
      </c>
      <c r="L12">
        <v>15.44</v>
      </c>
      <c r="M12">
        <f t="shared" si="2"/>
        <v>4.4514032702181696</v>
      </c>
      <c r="N12">
        <f t="shared" si="3"/>
        <v>1900.49</v>
      </c>
      <c r="O12">
        <f t="shared" si="4"/>
        <v>-74.311000000000007</v>
      </c>
      <c r="P12" t="str">
        <f t="shared" si="5"/>
        <v>Levin 1938</v>
      </c>
      <c r="Q12" t="s">
        <v>651</v>
      </c>
      <c r="R12">
        <v>32</v>
      </c>
    </row>
    <row r="13" spans="1:18" x14ac:dyDescent="0.35">
      <c r="A13">
        <v>6.0854799999999996</v>
      </c>
      <c r="B13">
        <v>1778.69</v>
      </c>
      <c r="C13">
        <v>-71.802999999999997</v>
      </c>
      <c r="D13">
        <v>50</v>
      </c>
      <c r="E13">
        <v>207</v>
      </c>
      <c r="F13" t="s">
        <v>660</v>
      </c>
      <c r="H13" t="s">
        <v>9</v>
      </c>
      <c r="I13" t="s">
        <v>654</v>
      </c>
      <c r="J13">
        <f t="shared" si="0"/>
        <v>50</v>
      </c>
      <c r="K13">
        <f t="shared" si="1"/>
        <v>207</v>
      </c>
      <c r="L13">
        <v>15.44</v>
      </c>
      <c r="M13">
        <f t="shared" si="2"/>
        <v>4.0797632702181694</v>
      </c>
      <c r="N13">
        <f t="shared" si="3"/>
        <v>1778.69</v>
      </c>
      <c r="O13">
        <f t="shared" si="4"/>
        <v>-71.802999999999997</v>
      </c>
      <c r="P13" t="str">
        <f t="shared" si="5"/>
        <v>Stull 1947, Wichterle 1970</v>
      </c>
      <c r="Q13" t="s">
        <v>651</v>
      </c>
      <c r="R13">
        <v>32</v>
      </c>
    </row>
    <row r="14" spans="1:18" x14ac:dyDescent="0.35">
      <c r="A14">
        <v>7.1349</v>
      </c>
      <c r="B14">
        <v>2579.75</v>
      </c>
      <c r="C14">
        <v>0</v>
      </c>
      <c r="D14">
        <v>90</v>
      </c>
      <c r="E14">
        <v>232</v>
      </c>
      <c r="F14" t="s">
        <v>661</v>
      </c>
      <c r="H14" t="s">
        <v>9</v>
      </c>
      <c r="I14" t="s">
        <v>654</v>
      </c>
      <c r="J14">
        <f t="shared" si="0"/>
        <v>90</v>
      </c>
      <c r="K14">
        <f t="shared" si="1"/>
        <v>232</v>
      </c>
      <c r="L14">
        <v>15.44</v>
      </c>
      <c r="M14">
        <f t="shared" si="2"/>
        <v>5.1291832702181699</v>
      </c>
      <c r="N14">
        <f t="shared" si="3"/>
        <v>2579.75</v>
      </c>
      <c r="O14">
        <f t="shared" si="4"/>
        <v>0</v>
      </c>
      <c r="P14" t="str">
        <f t="shared" si="5"/>
        <v>Salachijev 1973</v>
      </c>
      <c r="Q14" t="s">
        <v>651</v>
      </c>
      <c r="R14">
        <v>32</v>
      </c>
    </row>
    <row r="15" spans="1:18" x14ac:dyDescent="0.35">
      <c r="A15">
        <v>7.1158999999999999</v>
      </c>
      <c r="B15">
        <v>2586.1999999999998</v>
      </c>
      <c r="C15">
        <v>0</v>
      </c>
      <c r="D15">
        <v>140</v>
      </c>
      <c r="E15">
        <v>233</v>
      </c>
      <c r="F15" t="s">
        <v>662</v>
      </c>
      <c r="H15" t="s">
        <v>9</v>
      </c>
      <c r="I15" t="s">
        <v>654</v>
      </c>
      <c r="J15">
        <f t="shared" si="0"/>
        <v>140</v>
      </c>
      <c r="K15">
        <f t="shared" si="1"/>
        <v>233</v>
      </c>
      <c r="L15">
        <v>15.44</v>
      </c>
      <c r="M15">
        <f t="shared" si="2"/>
        <v>5.1101832702181698</v>
      </c>
      <c r="N15">
        <f t="shared" si="3"/>
        <v>2586.1999999999998</v>
      </c>
      <c r="O15">
        <f t="shared" si="4"/>
        <v>0</v>
      </c>
      <c r="P15" t="str">
        <f t="shared" si="5"/>
        <v>Hara 1976</v>
      </c>
      <c r="Q15" t="s">
        <v>651</v>
      </c>
      <c r="R15">
        <v>32</v>
      </c>
    </row>
    <row r="16" spans="1:18" x14ac:dyDescent="0.35">
      <c r="A16">
        <v>7.0045799999999998</v>
      </c>
      <c r="B16">
        <v>2481.4499999999998</v>
      </c>
      <c r="C16">
        <v>-8.58</v>
      </c>
      <c r="D16">
        <v>80</v>
      </c>
      <c r="E16">
        <v>232</v>
      </c>
      <c r="F16" t="s">
        <v>663</v>
      </c>
      <c r="H16" t="s">
        <v>9</v>
      </c>
      <c r="I16" t="s">
        <v>654</v>
      </c>
      <c r="J16">
        <f t="shared" si="0"/>
        <v>80</v>
      </c>
      <c r="K16">
        <f t="shared" si="1"/>
        <v>232</v>
      </c>
      <c r="L16">
        <v>15.44</v>
      </c>
      <c r="M16">
        <f t="shared" si="2"/>
        <v>4.9988632702181697</v>
      </c>
      <c r="N16">
        <f t="shared" si="3"/>
        <v>2481.4499999999998</v>
      </c>
      <c r="O16">
        <f t="shared" si="4"/>
        <v>-8.58</v>
      </c>
      <c r="P16" t="str">
        <f t="shared" si="5"/>
        <v>Dykyj 1979</v>
      </c>
      <c r="Q16" t="s">
        <v>651</v>
      </c>
      <c r="R16">
        <v>32</v>
      </c>
    </row>
    <row r="17" spans="1:18" x14ac:dyDescent="0.35">
      <c r="A17">
        <v>6.5000900000000001</v>
      </c>
      <c r="B17">
        <v>1993.739</v>
      </c>
      <c r="C17">
        <v>-61.628999999999998</v>
      </c>
      <c r="D17">
        <v>124</v>
      </c>
      <c r="E17">
        <v>179</v>
      </c>
      <c r="F17" t="s">
        <v>651</v>
      </c>
      <c r="H17" t="s">
        <v>9</v>
      </c>
      <c r="I17" t="s">
        <v>654</v>
      </c>
      <c r="J17">
        <f t="shared" si="0"/>
        <v>124</v>
      </c>
      <c r="K17">
        <f t="shared" si="1"/>
        <v>179</v>
      </c>
      <c r="L17">
        <v>15.44</v>
      </c>
      <c r="M17">
        <f t="shared" si="2"/>
        <v>4.49437327021817</v>
      </c>
      <c r="N17">
        <f t="shared" si="3"/>
        <v>1993.739</v>
      </c>
      <c r="O17">
        <f t="shared" si="4"/>
        <v>-61.628999999999998</v>
      </c>
      <c r="P17" t="str">
        <f t="shared" si="5"/>
        <v>Aim 1994</v>
      </c>
      <c r="Q17" t="s">
        <v>651</v>
      </c>
      <c r="R17">
        <v>32</v>
      </c>
    </row>
    <row r="18" spans="1:18" x14ac:dyDescent="0.35">
      <c r="A18">
        <v>8.3594000000000008</v>
      </c>
      <c r="B18">
        <v>3119.04</v>
      </c>
      <c r="C18">
        <v>0</v>
      </c>
      <c r="D18">
        <v>92</v>
      </c>
      <c r="E18">
        <v>118</v>
      </c>
      <c r="F18" t="s">
        <v>656</v>
      </c>
      <c r="H18" t="s">
        <v>10</v>
      </c>
      <c r="I18" t="s">
        <v>62</v>
      </c>
      <c r="J18">
        <f t="shared" si="0"/>
        <v>92</v>
      </c>
      <c r="K18">
        <f t="shared" si="1"/>
        <v>118</v>
      </c>
      <c r="L18">
        <v>52</v>
      </c>
      <c r="M18">
        <f t="shared" si="2"/>
        <v>6.3536832702181707</v>
      </c>
      <c r="N18">
        <f t="shared" si="3"/>
        <v>3119.04</v>
      </c>
      <c r="O18">
        <f t="shared" si="4"/>
        <v>0</v>
      </c>
      <c r="P18" t="str">
        <f t="shared" si="5"/>
        <v>Kahlbaum 1898</v>
      </c>
      <c r="Q18" t="s">
        <v>651</v>
      </c>
      <c r="R18">
        <v>32</v>
      </c>
    </row>
    <row r="19" spans="1:18" x14ac:dyDescent="0.35">
      <c r="A19">
        <v>7.1063900000000002</v>
      </c>
      <c r="B19">
        <v>2608.9</v>
      </c>
      <c r="C19">
        <v>0</v>
      </c>
      <c r="D19">
        <v>50</v>
      </c>
      <c r="E19">
        <v>238</v>
      </c>
      <c r="F19" t="s">
        <v>657</v>
      </c>
      <c r="H19" t="s">
        <v>10</v>
      </c>
      <c r="I19" t="s">
        <v>62</v>
      </c>
      <c r="J19">
        <f t="shared" si="0"/>
        <v>50</v>
      </c>
      <c r="K19">
        <f t="shared" si="1"/>
        <v>238</v>
      </c>
      <c r="L19">
        <v>52</v>
      </c>
      <c r="M19">
        <f t="shared" si="2"/>
        <v>5.1006732702181701</v>
      </c>
      <c r="N19">
        <f t="shared" si="3"/>
        <v>2608.9</v>
      </c>
      <c r="O19">
        <f t="shared" si="4"/>
        <v>0</v>
      </c>
      <c r="P19" t="str">
        <f t="shared" si="5"/>
        <v>Berliner 1926</v>
      </c>
      <c r="Q19" t="s">
        <v>651</v>
      </c>
      <c r="R19">
        <v>32</v>
      </c>
    </row>
    <row r="20" spans="1:18" x14ac:dyDescent="0.35">
      <c r="A20">
        <v>10.336399999999999</v>
      </c>
      <c r="B20">
        <v>4528.95</v>
      </c>
      <c r="C20">
        <v>63.018999999999998</v>
      </c>
      <c r="D20">
        <v>86</v>
      </c>
      <c r="E20">
        <v>121</v>
      </c>
      <c r="F20" t="s">
        <v>664</v>
      </c>
      <c r="H20" t="s">
        <v>10</v>
      </c>
      <c r="I20" t="s">
        <v>62</v>
      </c>
      <c r="J20">
        <f t="shared" si="0"/>
        <v>86</v>
      </c>
      <c r="K20">
        <f t="shared" si="1"/>
        <v>121</v>
      </c>
      <c r="L20">
        <v>52</v>
      </c>
      <c r="M20">
        <f t="shared" si="2"/>
        <v>8.3306832702181701</v>
      </c>
      <c r="N20">
        <f t="shared" si="3"/>
        <v>4528.95</v>
      </c>
      <c r="O20">
        <f t="shared" si="4"/>
        <v>63.018999999999998</v>
      </c>
      <c r="P20" t="str">
        <f t="shared" si="5"/>
        <v>Mann 1936</v>
      </c>
      <c r="Q20" t="s">
        <v>651</v>
      </c>
      <c r="R20">
        <v>32</v>
      </c>
    </row>
    <row r="21" spans="1:18" x14ac:dyDescent="0.35">
      <c r="A21">
        <v>6.19184</v>
      </c>
      <c r="B21">
        <v>1802.23</v>
      </c>
      <c r="C21">
        <v>-81.171999999999997</v>
      </c>
      <c r="D21">
        <v>114</v>
      </c>
      <c r="E21">
        <v>220</v>
      </c>
      <c r="F21" t="s">
        <v>658</v>
      </c>
      <c r="H21" t="s">
        <v>10</v>
      </c>
      <c r="I21" t="s">
        <v>62</v>
      </c>
      <c r="J21">
        <f t="shared" si="0"/>
        <v>114</v>
      </c>
      <c r="K21">
        <f t="shared" si="1"/>
        <v>220</v>
      </c>
      <c r="L21">
        <v>52</v>
      </c>
      <c r="M21">
        <f t="shared" si="2"/>
        <v>4.1861232702181699</v>
      </c>
      <c r="N21">
        <f t="shared" si="3"/>
        <v>1802.23</v>
      </c>
      <c r="O21">
        <f t="shared" si="4"/>
        <v>-81.171999999999997</v>
      </c>
      <c r="P21" t="str">
        <f t="shared" si="5"/>
        <v>Levin 1938</v>
      </c>
      <c r="Q21" t="s">
        <v>651</v>
      </c>
      <c r="R21">
        <v>32</v>
      </c>
    </row>
    <row r="22" spans="1:18" x14ac:dyDescent="0.35">
      <c r="A22">
        <v>7.4060499999999996</v>
      </c>
      <c r="B22">
        <v>2889.12</v>
      </c>
      <c r="C22">
        <v>23.37</v>
      </c>
      <c r="D22">
        <v>54</v>
      </c>
      <c r="E22">
        <v>238</v>
      </c>
      <c r="F22" t="s">
        <v>659</v>
      </c>
      <c r="H22" t="s">
        <v>10</v>
      </c>
      <c r="I22" t="s">
        <v>62</v>
      </c>
      <c r="J22">
        <f t="shared" si="0"/>
        <v>54</v>
      </c>
      <c r="K22">
        <f t="shared" si="1"/>
        <v>238</v>
      </c>
      <c r="L22">
        <v>52</v>
      </c>
      <c r="M22">
        <f t="shared" si="2"/>
        <v>5.4003332702181694</v>
      </c>
      <c r="N22">
        <f t="shared" si="3"/>
        <v>2889.12</v>
      </c>
      <c r="O22">
        <f t="shared" si="4"/>
        <v>23.37</v>
      </c>
      <c r="P22" t="str">
        <f>F22</f>
        <v>Stull 1947, Wichterle 1970, 27</v>
      </c>
      <c r="Q22" t="s">
        <v>651</v>
      </c>
      <c r="R22">
        <v>32</v>
      </c>
    </row>
    <row r="23" spans="1:18" x14ac:dyDescent="0.35">
      <c r="A23">
        <v>6.6481300000000001</v>
      </c>
      <c r="B23">
        <v>2150.6</v>
      </c>
      <c r="C23">
        <v>-43.15</v>
      </c>
      <c r="D23">
        <v>148</v>
      </c>
      <c r="E23">
        <v>233</v>
      </c>
      <c r="F23" t="s">
        <v>655</v>
      </c>
      <c r="H23" t="s">
        <v>10</v>
      </c>
      <c r="I23" t="s">
        <v>62</v>
      </c>
      <c r="J23">
        <f t="shared" si="0"/>
        <v>148</v>
      </c>
      <c r="K23">
        <f t="shared" si="1"/>
        <v>233</v>
      </c>
      <c r="L23">
        <v>52</v>
      </c>
      <c r="M23">
        <f t="shared" si="2"/>
        <v>4.64241327021817</v>
      </c>
      <c r="N23">
        <f t="shared" si="3"/>
        <v>2150.6</v>
      </c>
      <c r="O23">
        <f t="shared" si="4"/>
        <v>-43.15</v>
      </c>
      <c r="P23" t="str">
        <f t="shared" si="5"/>
        <v>Dreisbach 1949</v>
      </c>
      <c r="Q23" t="s">
        <v>651</v>
      </c>
      <c r="R23">
        <v>32</v>
      </c>
    </row>
    <row r="24" spans="1:18" x14ac:dyDescent="0.35">
      <c r="A24">
        <v>7.0749000000000004</v>
      </c>
      <c r="B24">
        <v>2579.75</v>
      </c>
      <c r="C24">
        <v>0</v>
      </c>
      <c r="D24">
        <v>99</v>
      </c>
      <c r="E24">
        <v>238</v>
      </c>
      <c r="F24" t="s">
        <v>661</v>
      </c>
      <c r="H24" t="s">
        <v>10</v>
      </c>
      <c r="I24" t="s">
        <v>62</v>
      </c>
      <c r="J24">
        <f t="shared" si="0"/>
        <v>99</v>
      </c>
      <c r="K24">
        <f t="shared" si="1"/>
        <v>238</v>
      </c>
      <c r="L24">
        <v>52</v>
      </c>
      <c r="M24">
        <f t="shared" si="2"/>
        <v>5.0691832702181703</v>
      </c>
      <c r="N24">
        <f t="shared" si="3"/>
        <v>2579.75</v>
      </c>
      <c r="O24">
        <f t="shared" si="4"/>
        <v>0</v>
      </c>
      <c r="P24" t="str">
        <f t="shared" si="5"/>
        <v>Salachijev 1973</v>
      </c>
      <c r="Q24" t="s">
        <v>651</v>
      </c>
      <c r="R24">
        <v>32</v>
      </c>
    </row>
    <row r="25" spans="1:18" x14ac:dyDescent="0.35">
      <c r="A25">
        <v>7.1723999999999997</v>
      </c>
      <c r="B25">
        <v>2640.5</v>
      </c>
      <c r="C25">
        <v>0</v>
      </c>
      <c r="D25">
        <v>138</v>
      </c>
      <c r="E25">
        <v>238</v>
      </c>
      <c r="F25" t="s">
        <v>662</v>
      </c>
      <c r="H25" t="s">
        <v>10</v>
      </c>
      <c r="I25" t="s">
        <v>62</v>
      </c>
      <c r="J25">
        <f t="shared" si="0"/>
        <v>138</v>
      </c>
      <c r="K25">
        <f t="shared" si="1"/>
        <v>238</v>
      </c>
      <c r="L25">
        <v>52</v>
      </c>
      <c r="M25">
        <f t="shared" si="2"/>
        <v>5.1666832702181695</v>
      </c>
      <c r="N25">
        <f t="shared" si="3"/>
        <v>2640.5</v>
      </c>
      <c r="O25">
        <f t="shared" si="4"/>
        <v>0</v>
      </c>
      <c r="P25" t="str">
        <f t="shared" si="5"/>
        <v>Hara 1976</v>
      </c>
      <c r="Q25" t="s">
        <v>651</v>
      </c>
      <c r="R25">
        <v>32</v>
      </c>
    </row>
    <row r="26" spans="1:18" x14ac:dyDescent="0.35">
      <c r="A26">
        <v>6.27217</v>
      </c>
      <c r="B26">
        <v>1862.2950000000001</v>
      </c>
      <c r="C26">
        <v>-75.320999999999998</v>
      </c>
      <c r="D26">
        <v>143</v>
      </c>
      <c r="E26">
        <v>226</v>
      </c>
      <c r="F26" t="s">
        <v>665</v>
      </c>
      <c r="H26" t="s">
        <v>10</v>
      </c>
      <c r="I26" t="s">
        <v>62</v>
      </c>
      <c r="J26">
        <f t="shared" si="0"/>
        <v>143</v>
      </c>
      <c r="K26">
        <f t="shared" si="1"/>
        <v>226</v>
      </c>
      <c r="L26">
        <v>52</v>
      </c>
      <c r="M26">
        <f t="shared" si="2"/>
        <v>4.2664532702181699</v>
      </c>
      <c r="N26">
        <f t="shared" si="3"/>
        <v>1862.2950000000001</v>
      </c>
      <c r="O26">
        <f t="shared" si="4"/>
        <v>-75.320999999999998</v>
      </c>
      <c r="P26" t="str">
        <f t="shared" si="5"/>
        <v>Ambrose 1980</v>
      </c>
      <c r="Q26" t="s">
        <v>651</v>
      </c>
      <c r="R26">
        <v>32</v>
      </c>
    </row>
    <row r="27" spans="1:18" x14ac:dyDescent="0.35">
      <c r="A27">
        <v>6.3679300000000003</v>
      </c>
      <c r="B27">
        <v>1931.7180000000001</v>
      </c>
      <c r="C27">
        <v>-68.661000000000001</v>
      </c>
      <c r="D27">
        <v>128</v>
      </c>
      <c r="E27">
        <v>184</v>
      </c>
      <c r="F27" t="s">
        <v>651</v>
      </c>
      <c r="H27" t="s">
        <v>10</v>
      </c>
      <c r="I27" t="s">
        <v>62</v>
      </c>
      <c r="J27">
        <f t="shared" si="0"/>
        <v>128</v>
      </c>
      <c r="K27">
        <f t="shared" si="1"/>
        <v>184</v>
      </c>
      <c r="L27">
        <v>52</v>
      </c>
      <c r="M27">
        <f t="shared" si="2"/>
        <v>4.3622132702181702</v>
      </c>
      <c r="N27">
        <f t="shared" si="3"/>
        <v>1931.7180000000001</v>
      </c>
      <c r="O27">
        <f t="shared" si="4"/>
        <v>-68.661000000000001</v>
      </c>
      <c r="P27" t="str">
        <f t="shared" si="5"/>
        <v>Aim 1994</v>
      </c>
      <c r="Q27" t="s">
        <v>651</v>
      </c>
      <c r="R27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26"/>
  <sheetViews>
    <sheetView workbookViewId="0">
      <selection activeCell="G29" sqref="G29:H29"/>
    </sheetView>
  </sheetViews>
  <sheetFormatPr defaultRowHeight="14.5" x14ac:dyDescent="0.35"/>
  <cols>
    <col min="1" max="1" width="30.08984375" bestFit="1" customWidth="1"/>
    <col min="2" max="2" width="39.26953125" bestFit="1" customWidth="1"/>
    <col min="3" max="3" width="8.7265625" style="1"/>
    <col min="4" max="4" width="19.453125" bestFit="1" customWidth="1"/>
  </cols>
  <sheetData>
    <row r="1" spans="1:8" x14ac:dyDescent="0.35">
      <c r="A1" t="s">
        <v>63</v>
      </c>
      <c r="B1" t="s">
        <v>64</v>
      </c>
      <c r="C1" s="1" t="s">
        <v>65</v>
      </c>
      <c r="D1" t="s">
        <v>64</v>
      </c>
      <c r="E1" t="s">
        <v>66</v>
      </c>
      <c r="F1" t="s">
        <v>67</v>
      </c>
      <c r="G1" t="s">
        <v>68</v>
      </c>
      <c r="H1" t="s">
        <v>608</v>
      </c>
    </row>
    <row r="2" spans="1:8" x14ac:dyDescent="0.35">
      <c r="B2" t="s">
        <v>69</v>
      </c>
      <c r="C2" s="1" t="s">
        <v>70</v>
      </c>
      <c r="E2" t="s">
        <v>70</v>
      </c>
      <c r="G2" s="2">
        <v>8</v>
      </c>
      <c r="H2" s="2" t="s">
        <v>71</v>
      </c>
    </row>
    <row r="3" spans="1:8" x14ac:dyDescent="0.35">
      <c r="B3" t="s">
        <v>72</v>
      </c>
      <c r="G3" s="3">
        <v>10</v>
      </c>
      <c r="H3" s="3" t="s">
        <v>73</v>
      </c>
    </row>
    <row r="4" spans="1:8" x14ac:dyDescent="0.35">
      <c r="A4" t="s">
        <v>74</v>
      </c>
      <c r="D4" t="s">
        <v>75</v>
      </c>
      <c r="E4">
        <v>0.5</v>
      </c>
      <c r="F4">
        <v>42</v>
      </c>
      <c r="G4" s="4">
        <v>11</v>
      </c>
      <c r="H4" s="4" t="s">
        <v>76</v>
      </c>
    </row>
    <row r="5" spans="1:8" x14ac:dyDescent="0.35">
      <c r="A5" t="s">
        <v>74</v>
      </c>
      <c r="D5" t="s">
        <v>77</v>
      </c>
      <c r="E5">
        <v>5</v>
      </c>
      <c r="F5">
        <v>42</v>
      </c>
      <c r="G5" s="10">
        <v>15</v>
      </c>
      <c r="H5" s="10" t="s">
        <v>78</v>
      </c>
    </row>
    <row r="6" spans="1:8" x14ac:dyDescent="0.35">
      <c r="A6" t="s">
        <v>74</v>
      </c>
      <c r="D6" t="s">
        <v>79</v>
      </c>
      <c r="E6">
        <v>10</v>
      </c>
      <c r="F6">
        <v>42</v>
      </c>
      <c r="G6" s="3">
        <v>20</v>
      </c>
      <c r="H6" s="3" t="s">
        <v>80</v>
      </c>
    </row>
    <row r="7" spans="1:8" x14ac:dyDescent="0.35">
      <c r="A7" t="s">
        <v>74</v>
      </c>
      <c r="D7" t="s">
        <v>81</v>
      </c>
      <c r="E7">
        <v>15</v>
      </c>
      <c r="F7">
        <v>42</v>
      </c>
      <c r="G7" s="11">
        <v>26</v>
      </c>
      <c r="H7" s="11" t="s">
        <v>82</v>
      </c>
    </row>
    <row r="8" spans="1:8" x14ac:dyDescent="0.35">
      <c r="A8" t="s">
        <v>74</v>
      </c>
      <c r="D8" t="s">
        <v>83</v>
      </c>
      <c r="E8">
        <v>20</v>
      </c>
      <c r="F8">
        <v>42</v>
      </c>
      <c r="G8" s="3">
        <v>27</v>
      </c>
      <c r="H8" s="3" t="s">
        <v>84</v>
      </c>
    </row>
    <row r="9" spans="1:8" x14ac:dyDescent="0.35">
      <c r="A9" t="s">
        <v>74</v>
      </c>
      <c r="D9" t="s">
        <v>85</v>
      </c>
      <c r="E9">
        <v>25</v>
      </c>
      <c r="F9">
        <v>42</v>
      </c>
      <c r="G9" s="3">
        <v>28</v>
      </c>
      <c r="H9" s="3" t="s">
        <v>86</v>
      </c>
    </row>
    <row r="10" spans="1:8" x14ac:dyDescent="0.35">
      <c r="A10" t="s">
        <v>74</v>
      </c>
      <c r="D10" t="s">
        <v>87</v>
      </c>
      <c r="E10">
        <v>30</v>
      </c>
      <c r="F10">
        <v>42</v>
      </c>
      <c r="G10" s="3">
        <v>29</v>
      </c>
      <c r="H10" s="3" t="s">
        <v>88</v>
      </c>
    </row>
    <row r="11" spans="1:8" x14ac:dyDescent="0.35">
      <c r="A11" t="s">
        <v>74</v>
      </c>
      <c r="D11" t="s">
        <v>89</v>
      </c>
      <c r="E11">
        <v>35</v>
      </c>
      <c r="F11">
        <v>42</v>
      </c>
      <c r="G11" s="2">
        <v>30</v>
      </c>
      <c r="H11" s="2" t="s">
        <v>90</v>
      </c>
    </row>
    <row r="12" spans="1:8" x14ac:dyDescent="0.35">
      <c r="A12" t="s">
        <v>91</v>
      </c>
      <c r="D12" t="s">
        <v>92</v>
      </c>
      <c r="E12">
        <v>250</v>
      </c>
      <c r="F12">
        <v>39</v>
      </c>
      <c r="G12" s="3">
        <v>31</v>
      </c>
      <c r="H12" s="3" t="s">
        <v>93</v>
      </c>
    </row>
    <row r="13" spans="1:8" x14ac:dyDescent="0.35">
      <c r="A13" t="s">
        <v>91</v>
      </c>
      <c r="D13" t="s">
        <v>94</v>
      </c>
      <c r="E13">
        <v>250</v>
      </c>
      <c r="F13">
        <v>39</v>
      </c>
      <c r="G13" s="3">
        <v>35</v>
      </c>
      <c r="H13" s="3" t="s">
        <v>95</v>
      </c>
    </row>
    <row r="14" spans="1:8" x14ac:dyDescent="0.35">
      <c r="A14" t="s">
        <v>91</v>
      </c>
      <c r="D14" t="s">
        <v>96</v>
      </c>
      <c r="E14">
        <v>260</v>
      </c>
      <c r="F14">
        <v>39</v>
      </c>
      <c r="G14" s="3">
        <v>36</v>
      </c>
      <c r="H14" s="3" t="s">
        <v>97</v>
      </c>
    </row>
    <row r="15" spans="1:8" x14ac:dyDescent="0.35">
      <c r="A15" t="s">
        <v>91</v>
      </c>
      <c r="D15" t="s">
        <v>98</v>
      </c>
      <c r="E15">
        <v>260</v>
      </c>
      <c r="F15">
        <v>39</v>
      </c>
      <c r="G15" s="3">
        <v>37</v>
      </c>
      <c r="H15" s="3" t="s">
        <v>99</v>
      </c>
    </row>
    <row r="16" spans="1:8" x14ac:dyDescent="0.35">
      <c r="A16" t="s">
        <v>91</v>
      </c>
      <c r="D16" t="s">
        <v>100</v>
      </c>
      <c r="E16">
        <v>260</v>
      </c>
      <c r="F16">
        <v>39</v>
      </c>
      <c r="G16" s="10">
        <v>38</v>
      </c>
      <c r="H16" s="10" t="s">
        <v>101</v>
      </c>
    </row>
    <row r="17" spans="1:8" x14ac:dyDescent="0.35">
      <c r="A17" t="s">
        <v>91</v>
      </c>
      <c r="D17" t="s">
        <v>102</v>
      </c>
      <c r="E17">
        <v>270</v>
      </c>
      <c r="F17">
        <v>39</v>
      </c>
      <c r="G17" s="3">
        <v>39</v>
      </c>
      <c r="H17" s="3" t="s">
        <v>103</v>
      </c>
    </row>
    <row r="18" spans="1:8" x14ac:dyDescent="0.35">
      <c r="A18" t="s">
        <v>91</v>
      </c>
      <c r="D18" t="s">
        <v>104</v>
      </c>
      <c r="E18">
        <v>280</v>
      </c>
      <c r="F18">
        <v>39</v>
      </c>
      <c r="G18" s="3">
        <v>40</v>
      </c>
      <c r="H18" s="3" t="s">
        <v>105</v>
      </c>
    </row>
    <row r="19" spans="1:8" x14ac:dyDescent="0.35">
      <c r="A19" t="s">
        <v>91</v>
      </c>
      <c r="D19" t="s">
        <v>106</v>
      </c>
      <c r="E19">
        <v>290</v>
      </c>
      <c r="F19">
        <v>39</v>
      </c>
      <c r="G19" s="3">
        <v>41</v>
      </c>
      <c r="H19" s="3" t="s">
        <v>107</v>
      </c>
    </row>
    <row r="20" spans="1:8" x14ac:dyDescent="0.35">
      <c r="A20" t="s">
        <v>91</v>
      </c>
      <c r="D20" t="s">
        <v>108</v>
      </c>
      <c r="E20">
        <v>300</v>
      </c>
      <c r="F20">
        <v>39</v>
      </c>
      <c r="G20" s="3">
        <v>42</v>
      </c>
      <c r="H20" s="3" t="s">
        <v>109</v>
      </c>
    </row>
    <row r="21" spans="1:8" x14ac:dyDescent="0.35">
      <c r="A21" t="s">
        <v>91</v>
      </c>
      <c r="D21" t="s">
        <v>110</v>
      </c>
      <c r="E21">
        <v>300</v>
      </c>
      <c r="F21">
        <v>39</v>
      </c>
      <c r="G21" s="3">
        <v>43</v>
      </c>
      <c r="H21" s="3" t="s">
        <v>111</v>
      </c>
    </row>
    <row r="22" spans="1:8" x14ac:dyDescent="0.35">
      <c r="A22" t="s">
        <v>91</v>
      </c>
      <c r="D22" t="s">
        <v>112</v>
      </c>
      <c r="E22">
        <v>300</v>
      </c>
      <c r="F22">
        <v>39</v>
      </c>
      <c r="G22" s="3">
        <v>44</v>
      </c>
      <c r="H22" s="3" t="s">
        <v>113</v>
      </c>
    </row>
    <row r="23" spans="1:8" x14ac:dyDescent="0.35">
      <c r="A23" t="s">
        <v>114</v>
      </c>
      <c r="D23" t="s">
        <v>115</v>
      </c>
      <c r="E23">
        <v>202.5</v>
      </c>
      <c r="F23">
        <v>39</v>
      </c>
      <c r="G23" s="3">
        <v>45</v>
      </c>
      <c r="H23" s="3" t="s">
        <v>116</v>
      </c>
    </row>
    <row r="24" spans="1:8" x14ac:dyDescent="0.35">
      <c r="A24" t="s">
        <v>114</v>
      </c>
      <c r="D24" t="s">
        <v>117</v>
      </c>
      <c r="E24">
        <v>210.5</v>
      </c>
      <c r="F24">
        <v>39</v>
      </c>
      <c r="G24" s="3">
        <v>46</v>
      </c>
      <c r="H24" s="3" t="s">
        <v>118</v>
      </c>
    </row>
    <row r="25" spans="1:8" x14ac:dyDescent="0.35">
      <c r="A25" t="s">
        <v>114</v>
      </c>
      <c r="D25" t="s">
        <v>119</v>
      </c>
      <c r="E25">
        <v>223.5</v>
      </c>
      <c r="F25">
        <v>39</v>
      </c>
      <c r="G25" s="12">
        <v>47</v>
      </c>
      <c r="H25" s="12" t="s">
        <v>120</v>
      </c>
    </row>
    <row r="26" spans="1:8" x14ac:dyDescent="0.35">
      <c r="A26" t="s">
        <v>114</v>
      </c>
      <c r="D26" t="s">
        <v>121</v>
      </c>
      <c r="E26">
        <v>260</v>
      </c>
      <c r="F26">
        <v>39</v>
      </c>
      <c r="G26" s="13">
        <v>48</v>
      </c>
      <c r="H26" s="13" t="s">
        <v>122</v>
      </c>
    </row>
    <row r="27" spans="1:8" x14ac:dyDescent="0.35">
      <c r="A27" t="s">
        <v>114</v>
      </c>
      <c r="D27" t="s">
        <v>123</v>
      </c>
      <c r="E27">
        <v>270</v>
      </c>
      <c r="F27">
        <v>39</v>
      </c>
      <c r="G27" s="3">
        <v>49</v>
      </c>
      <c r="H27" s="3" t="s">
        <v>124</v>
      </c>
    </row>
    <row r="28" spans="1:8" x14ac:dyDescent="0.35">
      <c r="A28" t="s">
        <v>114</v>
      </c>
      <c r="D28" t="s">
        <v>125</v>
      </c>
      <c r="E28">
        <v>280</v>
      </c>
      <c r="F28">
        <v>39</v>
      </c>
      <c r="G28" s="3">
        <v>50</v>
      </c>
      <c r="H28" s="3" t="s">
        <v>126</v>
      </c>
    </row>
    <row r="29" spans="1:8" x14ac:dyDescent="0.35">
      <c r="A29" t="s">
        <v>114</v>
      </c>
      <c r="D29" t="s">
        <v>127</v>
      </c>
      <c r="E29">
        <v>271</v>
      </c>
      <c r="F29">
        <v>39</v>
      </c>
      <c r="G29" s="3">
        <v>51</v>
      </c>
      <c r="H29" s="3" t="s">
        <v>128</v>
      </c>
    </row>
    <row r="30" spans="1:8" x14ac:dyDescent="0.35">
      <c r="A30" t="s">
        <v>114</v>
      </c>
      <c r="D30" t="s">
        <v>129</v>
      </c>
      <c r="E30">
        <v>271</v>
      </c>
      <c r="F30">
        <v>39</v>
      </c>
    </row>
    <row r="31" spans="1:8" x14ac:dyDescent="0.35">
      <c r="A31" t="s">
        <v>114</v>
      </c>
      <c r="D31" t="s">
        <v>130</v>
      </c>
      <c r="E31">
        <v>271</v>
      </c>
      <c r="F31">
        <v>39</v>
      </c>
    </row>
    <row r="32" spans="1:8" x14ac:dyDescent="0.35">
      <c r="A32" t="s">
        <v>114</v>
      </c>
      <c r="D32" t="s">
        <v>131</v>
      </c>
      <c r="E32">
        <v>290</v>
      </c>
      <c r="F32">
        <v>39</v>
      </c>
    </row>
    <row r="33" spans="1:6" x14ac:dyDescent="0.35">
      <c r="A33" t="s">
        <v>114</v>
      </c>
      <c r="D33" t="s">
        <v>132</v>
      </c>
      <c r="E33">
        <v>290</v>
      </c>
      <c r="F33">
        <v>39</v>
      </c>
    </row>
    <row r="34" spans="1:6" x14ac:dyDescent="0.35">
      <c r="A34" t="s">
        <v>114</v>
      </c>
      <c r="D34" t="s">
        <v>133</v>
      </c>
      <c r="E34">
        <v>300</v>
      </c>
      <c r="F34">
        <v>39</v>
      </c>
    </row>
    <row r="35" spans="1:6" x14ac:dyDescent="0.35">
      <c r="A35" t="s">
        <v>134</v>
      </c>
      <c r="D35" t="s">
        <v>135</v>
      </c>
      <c r="E35">
        <v>234.5</v>
      </c>
      <c r="F35">
        <v>39</v>
      </c>
    </row>
    <row r="36" spans="1:6" x14ac:dyDescent="0.35">
      <c r="A36" t="s">
        <v>134</v>
      </c>
      <c r="D36" t="s">
        <v>136</v>
      </c>
      <c r="E36">
        <v>245.5</v>
      </c>
      <c r="F36">
        <v>39</v>
      </c>
    </row>
    <row r="37" spans="1:6" x14ac:dyDescent="0.35">
      <c r="A37" t="s">
        <v>134</v>
      </c>
      <c r="D37" t="s">
        <v>137</v>
      </c>
      <c r="E37">
        <v>250</v>
      </c>
      <c r="F37">
        <v>39</v>
      </c>
    </row>
    <row r="38" spans="1:6" x14ac:dyDescent="0.35">
      <c r="A38" t="s">
        <v>134</v>
      </c>
      <c r="D38" t="s">
        <v>102</v>
      </c>
      <c r="E38">
        <v>250</v>
      </c>
      <c r="F38">
        <v>39</v>
      </c>
    </row>
    <row r="39" spans="1:6" x14ac:dyDescent="0.35">
      <c r="A39" t="s">
        <v>134</v>
      </c>
      <c r="D39" t="s">
        <v>138</v>
      </c>
      <c r="E39">
        <v>256</v>
      </c>
      <c r="F39">
        <v>39</v>
      </c>
    </row>
    <row r="40" spans="1:6" x14ac:dyDescent="0.35">
      <c r="A40" t="s">
        <v>134</v>
      </c>
      <c r="D40" t="s">
        <v>139</v>
      </c>
      <c r="E40">
        <v>267</v>
      </c>
      <c r="F40">
        <v>39</v>
      </c>
    </row>
    <row r="41" spans="1:6" x14ac:dyDescent="0.35">
      <c r="A41" t="s">
        <v>134</v>
      </c>
      <c r="D41" t="s">
        <v>140</v>
      </c>
      <c r="E41">
        <v>288</v>
      </c>
      <c r="F41">
        <v>39</v>
      </c>
    </row>
    <row r="42" spans="1:6" x14ac:dyDescent="0.35">
      <c r="A42" t="s">
        <v>134</v>
      </c>
      <c r="D42" t="s">
        <v>141</v>
      </c>
      <c r="E42">
        <v>288</v>
      </c>
      <c r="F42">
        <v>39</v>
      </c>
    </row>
    <row r="43" spans="1:6" x14ac:dyDescent="0.35">
      <c r="A43" t="s">
        <v>134</v>
      </c>
      <c r="D43" t="s">
        <v>142</v>
      </c>
      <c r="E43">
        <v>292</v>
      </c>
      <c r="F43">
        <v>39</v>
      </c>
    </row>
    <row r="44" spans="1:6" x14ac:dyDescent="0.35">
      <c r="A44" t="s">
        <v>134</v>
      </c>
      <c r="D44" t="s">
        <v>143</v>
      </c>
      <c r="E44">
        <v>312</v>
      </c>
      <c r="F44">
        <v>39</v>
      </c>
    </row>
    <row r="45" spans="1:6" x14ac:dyDescent="0.35">
      <c r="A45" t="s">
        <v>134</v>
      </c>
      <c r="D45" t="s">
        <v>144</v>
      </c>
      <c r="E45">
        <v>312</v>
      </c>
      <c r="F45">
        <v>39</v>
      </c>
    </row>
    <row r="46" spans="1:6" x14ac:dyDescent="0.35">
      <c r="A46" t="s">
        <v>134</v>
      </c>
      <c r="D46" t="s">
        <v>145</v>
      </c>
      <c r="E46">
        <v>312</v>
      </c>
      <c r="F46">
        <v>39</v>
      </c>
    </row>
    <row r="47" spans="1:6" x14ac:dyDescent="0.35">
      <c r="A47" t="s">
        <v>146</v>
      </c>
      <c r="D47" t="s">
        <v>147</v>
      </c>
      <c r="E47">
        <v>200</v>
      </c>
      <c r="F47">
        <v>39</v>
      </c>
    </row>
    <row r="48" spans="1:6" x14ac:dyDescent="0.35">
      <c r="A48" t="s">
        <v>146</v>
      </c>
      <c r="D48" t="s">
        <v>96</v>
      </c>
      <c r="E48">
        <v>200</v>
      </c>
      <c r="F48">
        <v>39</v>
      </c>
    </row>
    <row r="49" spans="1:6" x14ac:dyDescent="0.35">
      <c r="A49" t="s">
        <v>146</v>
      </c>
      <c r="D49" t="s">
        <v>148</v>
      </c>
      <c r="E49">
        <v>200</v>
      </c>
      <c r="F49">
        <v>39</v>
      </c>
    </row>
    <row r="50" spans="1:6" x14ac:dyDescent="0.35">
      <c r="A50" t="s">
        <v>146</v>
      </c>
      <c r="D50" t="s">
        <v>149</v>
      </c>
      <c r="E50">
        <v>210</v>
      </c>
      <c r="F50">
        <v>39</v>
      </c>
    </row>
    <row r="51" spans="1:6" x14ac:dyDescent="0.35">
      <c r="A51" t="s">
        <v>146</v>
      </c>
      <c r="D51" t="s">
        <v>150</v>
      </c>
      <c r="E51">
        <v>220</v>
      </c>
      <c r="F51">
        <v>39</v>
      </c>
    </row>
    <row r="52" spans="1:6" x14ac:dyDescent="0.35">
      <c r="A52" t="s">
        <v>146</v>
      </c>
      <c r="D52" t="s">
        <v>125</v>
      </c>
      <c r="E52">
        <v>240</v>
      </c>
      <c r="F52">
        <v>39</v>
      </c>
    </row>
    <row r="53" spans="1:6" x14ac:dyDescent="0.35">
      <c r="A53" t="s">
        <v>146</v>
      </c>
      <c r="D53" t="s">
        <v>151</v>
      </c>
      <c r="E53">
        <v>250</v>
      </c>
      <c r="F53">
        <v>39</v>
      </c>
    </row>
    <row r="54" spans="1:6" x14ac:dyDescent="0.35">
      <c r="A54" t="s">
        <v>152</v>
      </c>
      <c r="D54" t="s">
        <v>153</v>
      </c>
      <c r="E54">
        <v>230</v>
      </c>
      <c r="F54">
        <v>39</v>
      </c>
    </row>
    <row r="55" spans="1:6" x14ac:dyDescent="0.35">
      <c r="A55" t="s">
        <v>152</v>
      </c>
      <c r="D55" t="s">
        <v>154</v>
      </c>
      <c r="E55">
        <v>240</v>
      </c>
      <c r="F55">
        <v>39</v>
      </c>
    </row>
    <row r="56" spans="1:6" x14ac:dyDescent="0.35">
      <c r="A56" t="s">
        <v>152</v>
      </c>
      <c r="D56" t="s">
        <v>155</v>
      </c>
      <c r="E56">
        <v>250</v>
      </c>
      <c r="F56">
        <v>39</v>
      </c>
    </row>
    <row r="57" spans="1:6" x14ac:dyDescent="0.35">
      <c r="A57" t="s">
        <v>152</v>
      </c>
      <c r="D57" t="s">
        <v>156</v>
      </c>
      <c r="E57">
        <v>250</v>
      </c>
      <c r="F57">
        <v>39</v>
      </c>
    </row>
    <row r="58" spans="1:6" x14ac:dyDescent="0.35">
      <c r="A58" t="s">
        <v>152</v>
      </c>
      <c r="D58" t="s">
        <v>157</v>
      </c>
      <c r="E58">
        <v>250</v>
      </c>
      <c r="F58">
        <v>39</v>
      </c>
    </row>
    <row r="59" spans="1:6" x14ac:dyDescent="0.35">
      <c r="A59" t="s">
        <v>152</v>
      </c>
      <c r="D59" t="s">
        <v>158</v>
      </c>
      <c r="E59">
        <v>260</v>
      </c>
      <c r="F59">
        <v>39</v>
      </c>
    </row>
    <row r="60" spans="1:6" x14ac:dyDescent="0.35">
      <c r="A60" t="s">
        <v>152</v>
      </c>
      <c r="D60" t="s">
        <v>159</v>
      </c>
      <c r="E60">
        <v>270</v>
      </c>
      <c r="F60">
        <v>39</v>
      </c>
    </row>
    <row r="61" spans="1:6" x14ac:dyDescent="0.35">
      <c r="A61" t="s">
        <v>160</v>
      </c>
      <c r="D61" t="s">
        <v>161</v>
      </c>
      <c r="E61">
        <v>-14.98</v>
      </c>
      <c r="F61">
        <v>42</v>
      </c>
    </row>
    <row r="62" spans="1:6" x14ac:dyDescent="0.35">
      <c r="A62" t="s">
        <v>160</v>
      </c>
      <c r="D62" t="s">
        <v>162</v>
      </c>
      <c r="E62">
        <v>-9.98</v>
      </c>
      <c r="F62">
        <v>42</v>
      </c>
    </row>
    <row r="63" spans="1:6" x14ac:dyDescent="0.35">
      <c r="A63" t="s">
        <v>160</v>
      </c>
      <c r="D63" t="s">
        <v>163</v>
      </c>
      <c r="E63">
        <v>-4.9800000000000004</v>
      </c>
      <c r="F63">
        <v>42</v>
      </c>
    </row>
    <row r="64" spans="1:6" x14ac:dyDescent="0.35">
      <c r="A64" t="s">
        <v>160</v>
      </c>
      <c r="D64" t="s">
        <v>164</v>
      </c>
      <c r="E64">
        <v>0.5</v>
      </c>
      <c r="F64">
        <v>42</v>
      </c>
    </row>
    <row r="65" spans="1:6" x14ac:dyDescent="0.35">
      <c r="A65" t="s">
        <v>160</v>
      </c>
      <c r="D65" t="s">
        <v>165</v>
      </c>
      <c r="E65">
        <v>2.5</v>
      </c>
      <c r="F65">
        <v>42</v>
      </c>
    </row>
    <row r="66" spans="1:6" x14ac:dyDescent="0.35">
      <c r="A66" t="s">
        <v>160</v>
      </c>
      <c r="D66" t="s">
        <v>166</v>
      </c>
      <c r="E66">
        <v>5</v>
      </c>
      <c r="F66">
        <v>42</v>
      </c>
    </row>
    <row r="67" spans="1:6" x14ac:dyDescent="0.35">
      <c r="A67" t="s">
        <v>160</v>
      </c>
      <c r="D67" t="s">
        <v>167</v>
      </c>
      <c r="E67">
        <v>7.5</v>
      </c>
      <c r="F67">
        <v>42</v>
      </c>
    </row>
    <row r="68" spans="1:6" x14ac:dyDescent="0.35">
      <c r="A68" t="s">
        <v>160</v>
      </c>
      <c r="D68" t="s">
        <v>168</v>
      </c>
      <c r="E68">
        <v>10.5</v>
      </c>
      <c r="F68">
        <v>42</v>
      </c>
    </row>
    <row r="69" spans="1:6" x14ac:dyDescent="0.35">
      <c r="A69" t="s">
        <v>169</v>
      </c>
      <c r="D69" t="s">
        <v>170</v>
      </c>
      <c r="E69">
        <v>0.5</v>
      </c>
      <c r="F69">
        <v>42</v>
      </c>
    </row>
    <row r="70" spans="1:6" x14ac:dyDescent="0.35">
      <c r="A70" t="s">
        <v>169</v>
      </c>
      <c r="D70" t="s">
        <v>171</v>
      </c>
      <c r="E70">
        <v>2.5</v>
      </c>
      <c r="F70">
        <v>42</v>
      </c>
    </row>
    <row r="71" spans="1:6" x14ac:dyDescent="0.35">
      <c r="A71" t="s">
        <v>169</v>
      </c>
      <c r="D71" t="s">
        <v>172</v>
      </c>
      <c r="E71">
        <v>5</v>
      </c>
      <c r="F71">
        <v>42</v>
      </c>
    </row>
    <row r="72" spans="1:6" x14ac:dyDescent="0.35">
      <c r="A72" t="s">
        <v>169</v>
      </c>
      <c r="D72" t="s">
        <v>173</v>
      </c>
      <c r="E72">
        <v>7.5</v>
      </c>
      <c r="F72">
        <v>42</v>
      </c>
    </row>
    <row r="73" spans="1:6" x14ac:dyDescent="0.35">
      <c r="A73" t="s">
        <v>169</v>
      </c>
      <c r="D73" t="s">
        <v>174</v>
      </c>
      <c r="E73">
        <v>10</v>
      </c>
      <c r="F73">
        <v>42</v>
      </c>
    </row>
    <row r="74" spans="1:6" x14ac:dyDescent="0.35">
      <c r="A74" t="s">
        <v>169</v>
      </c>
      <c r="D74" t="s">
        <v>175</v>
      </c>
      <c r="E74">
        <v>12.5</v>
      </c>
      <c r="F74">
        <v>42</v>
      </c>
    </row>
    <row r="75" spans="1:6" x14ac:dyDescent="0.35">
      <c r="A75" t="s">
        <v>169</v>
      </c>
      <c r="D75" t="s">
        <v>176</v>
      </c>
      <c r="E75">
        <v>15</v>
      </c>
      <c r="F75">
        <v>42</v>
      </c>
    </row>
    <row r="76" spans="1:6" x14ac:dyDescent="0.35">
      <c r="A76" t="s">
        <v>169</v>
      </c>
      <c r="D76" t="s">
        <v>177</v>
      </c>
      <c r="E76">
        <v>17.5</v>
      </c>
      <c r="F76">
        <v>42</v>
      </c>
    </row>
    <row r="77" spans="1:6" x14ac:dyDescent="0.35">
      <c r="A77" t="s">
        <v>169</v>
      </c>
      <c r="D77" t="s">
        <v>178</v>
      </c>
      <c r="E77">
        <v>20</v>
      </c>
      <c r="F77">
        <v>42</v>
      </c>
    </row>
    <row r="78" spans="1:6" x14ac:dyDescent="0.35">
      <c r="A78" t="s">
        <v>169</v>
      </c>
      <c r="D78" t="s">
        <v>179</v>
      </c>
      <c r="E78">
        <v>22.5</v>
      </c>
      <c r="F78">
        <v>42</v>
      </c>
    </row>
    <row r="79" spans="1:6" x14ac:dyDescent="0.35">
      <c r="A79" t="s">
        <v>169</v>
      </c>
      <c r="D79" t="s">
        <v>180</v>
      </c>
      <c r="E79">
        <v>25</v>
      </c>
      <c r="F79">
        <v>42</v>
      </c>
    </row>
    <row r="80" spans="1:6" x14ac:dyDescent="0.35">
      <c r="A80" t="s">
        <v>169</v>
      </c>
      <c r="D80" t="s">
        <v>181</v>
      </c>
      <c r="E80">
        <v>27.5</v>
      </c>
      <c r="F80">
        <v>42</v>
      </c>
    </row>
    <row r="81" spans="1:6" x14ac:dyDescent="0.35">
      <c r="A81" t="s">
        <v>169</v>
      </c>
      <c r="D81" t="s">
        <v>182</v>
      </c>
      <c r="E81">
        <v>30</v>
      </c>
      <c r="F81">
        <v>42</v>
      </c>
    </row>
    <row r="82" spans="1:6" x14ac:dyDescent="0.35">
      <c r="A82" t="s">
        <v>183</v>
      </c>
      <c r="D82" t="s">
        <v>184</v>
      </c>
      <c r="E82">
        <v>29.85</v>
      </c>
      <c r="F82">
        <v>37</v>
      </c>
    </row>
    <row r="83" spans="1:6" x14ac:dyDescent="0.35">
      <c r="A83" t="s">
        <v>183</v>
      </c>
      <c r="D83" t="s">
        <v>185</v>
      </c>
      <c r="E83">
        <v>49.85</v>
      </c>
      <c r="F83">
        <v>37</v>
      </c>
    </row>
    <row r="84" spans="1:6" x14ac:dyDescent="0.35">
      <c r="A84" s="3" t="s">
        <v>183</v>
      </c>
      <c r="B84" s="3"/>
      <c r="C84" s="5"/>
      <c r="D84" s="3" t="s">
        <v>186</v>
      </c>
      <c r="E84" s="3">
        <v>220</v>
      </c>
      <c r="F84" s="3">
        <v>39</v>
      </c>
    </row>
    <row r="85" spans="1:6" x14ac:dyDescent="0.35">
      <c r="A85" s="3" t="s">
        <v>183</v>
      </c>
      <c r="B85" s="3"/>
      <c r="C85" s="5"/>
      <c r="D85" s="3" t="s">
        <v>187</v>
      </c>
      <c r="E85" s="3">
        <v>230</v>
      </c>
      <c r="F85" s="3">
        <v>39</v>
      </c>
    </row>
    <row r="86" spans="1:6" x14ac:dyDescent="0.35">
      <c r="A86" s="3" t="s">
        <v>183</v>
      </c>
      <c r="B86" s="3"/>
      <c r="C86" s="5"/>
      <c r="D86" s="3" t="s">
        <v>157</v>
      </c>
      <c r="E86" s="3">
        <v>240</v>
      </c>
      <c r="F86" s="3">
        <v>39</v>
      </c>
    </row>
    <row r="87" spans="1:6" x14ac:dyDescent="0.35">
      <c r="A87" s="3" t="s">
        <v>183</v>
      </c>
      <c r="B87" s="3"/>
      <c r="C87" s="5"/>
      <c r="D87" s="3" t="s">
        <v>125</v>
      </c>
      <c r="E87" s="3">
        <v>240</v>
      </c>
      <c r="F87" s="3">
        <v>39</v>
      </c>
    </row>
    <row r="88" spans="1:6" x14ac:dyDescent="0.35">
      <c r="A88" s="3" t="s">
        <v>183</v>
      </c>
      <c r="B88" s="3"/>
      <c r="C88" s="5"/>
      <c r="D88" s="3" t="s">
        <v>188</v>
      </c>
      <c r="E88" s="3">
        <v>270</v>
      </c>
      <c r="F88" s="3">
        <v>39</v>
      </c>
    </row>
    <row r="89" spans="1:6" x14ac:dyDescent="0.35">
      <c r="A89" s="3" t="s">
        <v>183</v>
      </c>
      <c r="B89" s="3"/>
      <c r="C89" s="5"/>
      <c r="D89" s="3" t="s">
        <v>189</v>
      </c>
      <c r="E89" s="3">
        <v>280</v>
      </c>
      <c r="F89" s="3">
        <v>39</v>
      </c>
    </row>
    <row r="90" spans="1:6" x14ac:dyDescent="0.35">
      <c r="A90" s="3" t="s">
        <v>183</v>
      </c>
      <c r="B90" s="3"/>
      <c r="C90" s="5"/>
      <c r="D90" s="3" t="s">
        <v>190</v>
      </c>
      <c r="E90" s="3">
        <v>290</v>
      </c>
      <c r="F90" s="3">
        <v>39</v>
      </c>
    </row>
    <row r="91" spans="1:6" x14ac:dyDescent="0.35">
      <c r="A91" s="3" t="s">
        <v>183</v>
      </c>
      <c r="B91" s="3"/>
      <c r="C91" s="5"/>
      <c r="D91" s="3" t="s">
        <v>191</v>
      </c>
      <c r="E91" s="3">
        <v>299</v>
      </c>
      <c r="F91" s="3">
        <v>39</v>
      </c>
    </row>
    <row r="92" spans="1:6" x14ac:dyDescent="0.35">
      <c r="A92" t="s">
        <v>183</v>
      </c>
      <c r="D92" t="s">
        <v>192</v>
      </c>
      <c r="E92">
        <v>20</v>
      </c>
      <c r="F92">
        <v>43</v>
      </c>
    </row>
    <row r="93" spans="1:6" x14ac:dyDescent="0.35">
      <c r="A93" t="s">
        <v>193</v>
      </c>
      <c r="B93" t="s">
        <v>194</v>
      </c>
      <c r="C93" s="1" t="s">
        <v>195</v>
      </c>
      <c r="D93" t="s">
        <v>196</v>
      </c>
      <c r="E93" t="s">
        <v>197</v>
      </c>
      <c r="F93">
        <v>47</v>
      </c>
    </row>
    <row r="94" spans="1:6" x14ac:dyDescent="0.35">
      <c r="A94" t="s">
        <v>198</v>
      </c>
      <c r="B94" t="s">
        <v>199</v>
      </c>
      <c r="C94" s="1" t="s">
        <v>200</v>
      </c>
      <c r="F94">
        <v>47</v>
      </c>
    </row>
    <row r="95" spans="1:6" x14ac:dyDescent="0.35">
      <c r="A95" t="s">
        <v>201</v>
      </c>
      <c r="B95" t="s">
        <v>202</v>
      </c>
      <c r="C95" s="1">
        <v>20880</v>
      </c>
      <c r="D95" s="6">
        <v>6.2E-4</v>
      </c>
      <c r="E95" t="s">
        <v>197</v>
      </c>
      <c r="F95">
        <v>47</v>
      </c>
    </row>
    <row r="96" spans="1:6" x14ac:dyDescent="0.35">
      <c r="A96" t="s">
        <v>201</v>
      </c>
      <c r="D96" t="s">
        <v>203</v>
      </c>
      <c r="E96">
        <v>130</v>
      </c>
      <c r="F96">
        <v>39</v>
      </c>
    </row>
    <row r="97" spans="1:6" x14ac:dyDescent="0.35">
      <c r="A97" t="s">
        <v>204</v>
      </c>
      <c r="D97" t="s">
        <v>203</v>
      </c>
      <c r="E97">
        <v>150</v>
      </c>
      <c r="F97">
        <v>39</v>
      </c>
    </row>
    <row r="98" spans="1:6" x14ac:dyDescent="0.35">
      <c r="A98" t="s">
        <v>204</v>
      </c>
      <c r="D98" t="s">
        <v>205</v>
      </c>
      <c r="E98">
        <v>160</v>
      </c>
      <c r="F98">
        <v>39</v>
      </c>
    </row>
    <row r="99" spans="1:6" x14ac:dyDescent="0.35">
      <c r="A99" t="s">
        <v>204</v>
      </c>
      <c r="D99" t="s">
        <v>135</v>
      </c>
      <c r="E99">
        <v>170</v>
      </c>
      <c r="F99">
        <v>39</v>
      </c>
    </row>
    <row r="100" spans="1:6" x14ac:dyDescent="0.35">
      <c r="A100" t="s">
        <v>204</v>
      </c>
      <c r="D100" t="s">
        <v>206</v>
      </c>
      <c r="E100">
        <v>180</v>
      </c>
      <c r="F100">
        <v>39</v>
      </c>
    </row>
    <row r="101" spans="1:6" x14ac:dyDescent="0.35">
      <c r="A101" t="s">
        <v>204</v>
      </c>
      <c r="D101" t="s">
        <v>207</v>
      </c>
      <c r="E101">
        <v>200</v>
      </c>
      <c r="F101">
        <v>39</v>
      </c>
    </row>
    <row r="102" spans="1:6" x14ac:dyDescent="0.35">
      <c r="A102" t="s">
        <v>204</v>
      </c>
      <c r="D102" t="s">
        <v>208</v>
      </c>
      <c r="E102">
        <v>220</v>
      </c>
      <c r="F102">
        <v>39</v>
      </c>
    </row>
    <row r="103" spans="1:6" x14ac:dyDescent="0.35">
      <c r="A103" t="s">
        <v>204</v>
      </c>
      <c r="D103" t="s">
        <v>153</v>
      </c>
      <c r="E103">
        <v>220</v>
      </c>
      <c r="F103">
        <v>39</v>
      </c>
    </row>
    <row r="104" spans="1:6" x14ac:dyDescent="0.35">
      <c r="A104" t="s">
        <v>204</v>
      </c>
      <c r="D104" t="s">
        <v>209</v>
      </c>
      <c r="E104">
        <v>230</v>
      </c>
      <c r="F104">
        <v>39</v>
      </c>
    </row>
    <row r="105" spans="1:6" x14ac:dyDescent="0.35">
      <c r="A105" t="s">
        <v>204</v>
      </c>
      <c r="D105" t="s">
        <v>210</v>
      </c>
      <c r="E105">
        <v>240</v>
      </c>
      <c r="F105">
        <v>39</v>
      </c>
    </row>
    <row r="106" spans="1:6" x14ac:dyDescent="0.35">
      <c r="A106" t="s">
        <v>204</v>
      </c>
      <c r="D106" t="s">
        <v>211</v>
      </c>
      <c r="E106">
        <v>250</v>
      </c>
      <c r="F106">
        <v>39</v>
      </c>
    </row>
    <row r="107" spans="1:6" x14ac:dyDescent="0.35">
      <c r="A107" t="s">
        <v>204</v>
      </c>
      <c r="D107" t="s">
        <v>212</v>
      </c>
      <c r="E107">
        <v>250</v>
      </c>
      <c r="F107">
        <v>39</v>
      </c>
    </row>
    <row r="108" spans="1:6" x14ac:dyDescent="0.35">
      <c r="A108" t="s">
        <v>204</v>
      </c>
      <c r="D108" t="s">
        <v>213</v>
      </c>
      <c r="E108">
        <v>260</v>
      </c>
      <c r="F108">
        <v>39</v>
      </c>
    </row>
    <row r="109" spans="1:6" x14ac:dyDescent="0.35">
      <c r="A109" t="s">
        <v>214</v>
      </c>
      <c r="D109" t="s">
        <v>123</v>
      </c>
      <c r="E109">
        <v>230</v>
      </c>
      <c r="F109">
        <v>39</v>
      </c>
    </row>
    <row r="110" spans="1:6" x14ac:dyDescent="0.35">
      <c r="A110" t="s">
        <v>214</v>
      </c>
      <c r="D110" t="s">
        <v>215</v>
      </c>
      <c r="E110">
        <v>230</v>
      </c>
      <c r="F110">
        <v>39</v>
      </c>
    </row>
    <row r="111" spans="1:6" x14ac:dyDescent="0.35">
      <c r="A111" t="s">
        <v>214</v>
      </c>
      <c r="D111" t="s">
        <v>216</v>
      </c>
      <c r="E111">
        <v>240</v>
      </c>
      <c r="F111">
        <v>39</v>
      </c>
    </row>
    <row r="112" spans="1:6" x14ac:dyDescent="0.35">
      <c r="A112" t="s">
        <v>214</v>
      </c>
      <c r="D112" t="s">
        <v>217</v>
      </c>
      <c r="E112">
        <v>250</v>
      </c>
      <c r="F112">
        <v>39</v>
      </c>
    </row>
    <row r="113" spans="1:6" x14ac:dyDescent="0.35">
      <c r="A113" t="s">
        <v>214</v>
      </c>
      <c r="D113" t="s">
        <v>153</v>
      </c>
      <c r="E113">
        <v>250</v>
      </c>
      <c r="F113">
        <v>39</v>
      </c>
    </row>
    <row r="114" spans="1:6" x14ac:dyDescent="0.35">
      <c r="A114" t="s">
        <v>214</v>
      </c>
      <c r="D114" t="s">
        <v>218</v>
      </c>
      <c r="E114">
        <v>260</v>
      </c>
      <c r="F114">
        <v>39</v>
      </c>
    </row>
    <row r="115" spans="1:6" x14ac:dyDescent="0.35">
      <c r="A115" t="s">
        <v>214</v>
      </c>
      <c r="D115" t="s">
        <v>219</v>
      </c>
      <c r="E115">
        <v>270</v>
      </c>
      <c r="F115">
        <v>39</v>
      </c>
    </row>
    <row r="116" spans="1:6" x14ac:dyDescent="0.35">
      <c r="A116" t="s">
        <v>220</v>
      </c>
      <c r="B116" t="s">
        <v>221</v>
      </c>
      <c r="C116" s="1" t="s">
        <v>222</v>
      </c>
      <c r="D116" s="6">
        <v>0.14399999999999999</v>
      </c>
      <c r="E116" t="s">
        <v>197</v>
      </c>
      <c r="F116">
        <v>47</v>
      </c>
    </row>
    <row r="117" spans="1:6" x14ac:dyDescent="0.35">
      <c r="A117" t="s">
        <v>223</v>
      </c>
      <c r="B117" t="s">
        <v>224</v>
      </c>
      <c r="D117" s="6">
        <v>4.8899999999999999E-2</v>
      </c>
      <c r="E117" t="s">
        <v>197</v>
      </c>
      <c r="F117">
        <v>47</v>
      </c>
    </row>
    <row r="118" spans="1:6" x14ac:dyDescent="0.35">
      <c r="A118" s="3" t="s">
        <v>225</v>
      </c>
      <c r="B118" s="3"/>
      <c r="C118" s="5"/>
      <c r="D118" s="3" t="s">
        <v>226</v>
      </c>
      <c r="E118" s="3">
        <v>200</v>
      </c>
      <c r="F118" s="3">
        <v>39</v>
      </c>
    </row>
    <row r="119" spans="1:6" x14ac:dyDescent="0.35">
      <c r="A119" s="3" t="s">
        <v>225</v>
      </c>
      <c r="B119" s="3"/>
      <c r="C119" s="5"/>
      <c r="D119" s="3" t="s">
        <v>117</v>
      </c>
      <c r="E119" s="3">
        <v>210</v>
      </c>
      <c r="F119" s="3">
        <v>39</v>
      </c>
    </row>
    <row r="120" spans="1:6" x14ac:dyDescent="0.35">
      <c r="A120" s="3" t="s">
        <v>225</v>
      </c>
      <c r="B120" s="3"/>
      <c r="C120" s="5"/>
      <c r="D120" s="3" t="s">
        <v>227</v>
      </c>
      <c r="E120" s="3">
        <v>220</v>
      </c>
      <c r="F120" s="3">
        <v>39</v>
      </c>
    </row>
    <row r="121" spans="1:6" x14ac:dyDescent="0.35">
      <c r="A121" s="3" t="s">
        <v>225</v>
      </c>
      <c r="B121" s="3"/>
      <c r="C121" s="5"/>
      <c r="D121" s="3" t="s">
        <v>136</v>
      </c>
      <c r="E121" s="3">
        <v>250</v>
      </c>
      <c r="F121" s="3">
        <v>39</v>
      </c>
    </row>
    <row r="122" spans="1:6" x14ac:dyDescent="0.35">
      <c r="A122" s="3" t="s">
        <v>225</v>
      </c>
      <c r="B122" s="3"/>
      <c r="C122" s="5"/>
      <c r="D122" s="3" t="s">
        <v>228</v>
      </c>
      <c r="E122" s="3">
        <v>250</v>
      </c>
      <c r="F122" s="3">
        <v>39</v>
      </c>
    </row>
    <row r="123" spans="1:6" x14ac:dyDescent="0.35">
      <c r="A123" s="3" t="s">
        <v>225</v>
      </c>
      <c r="B123" s="3"/>
      <c r="C123" s="5"/>
      <c r="D123" s="3" t="s">
        <v>229</v>
      </c>
      <c r="E123" s="3">
        <v>250</v>
      </c>
      <c r="F123" s="3">
        <v>39</v>
      </c>
    </row>
    <row r="124" spans="1:6" x14ac:dyDescent="0.35">
      <c r="A124" s="3" t="s">
        <v>225</v>
      </c>
      <c r="B124" s="3"/>
      <c r="C124" s="5"/>
      <c r="D124" s="3" t="s">
        <v>230</v>
      </c>
      <c r="E124" s="3">
        <v>279</v>
      </c>
      <c r="F124" s="3">
        <v>39</v>
      </c>
    </row>
    <row r="125" spans="1:6" x14ac:dyDescent="0.35">
      <c r="A125" s="3" t="s">
        <v>225</v>
      </c>
      <c r="B125" s="3"/>
      <c r="C125" s="5"/>
      <c r="D125" s="3" t="s">
        <v>231</v>
      </c>
      <c r="E125" s="3">
        <v>284</v>
      </c>
      <c r="F125" s="3">
        <v>39</v>
      </c>
    </row>
    <row r="126" spans="1:6" x14ac:dyDescent="0.35">
      <c r="A126" s="3" t="s">
        <v>225</v>
      </c>
      <c r="B126" s="3"/>
      <c r="C126" s="5"/>
      <c r="D126" s="3" t="s">
        <v>96</v>
      </c>
      <c r="E126" s="3">
        <v>293</v>
      </c>
      <c r="F126" s="3">
        <v>39</v>
      </c>
    </row>
    <row r="127" spans="1:6" x14ac:dyDescent="0.35">
      <c r="A127" s="3" t="s">
        <v>225</v>
      </c>
      <c r="B127" s="3"/>
      <c r="C127" s="5"/>
      <c r="D127" s="3" t="s">
        <v>232</v>
      </c>
      <c r="E127" s="3">
        <v>310.5</v>
      </c>
      <c r="F127" s="3">
        <v>39</v>
      </c>
    </row>
    <row r="128" spans="1:6" x14ac:dyDescent="0.35">
      <c r="A128" s="3" t="s">
        <v>225</v>
      </c>
      <c r="B128" s="3"/>
      <c r="C128" s="5"/>
      <c r="D128" s="3" t="s">
        <v>233</v>
      </c>
      <c r="E128" s="3">
        <v>342.5</v>
      </c>
      <c r="F128" s="3">
        <v>39</v>
      </c>
    </row>
    <row r="129" spans="1:6" x14ac:dyDescent="0.35">
      <c r="A129" s="3" t="s">
        <v>234</v>
      </c>
      <c r="B129" s="3"/>
      <c r="C129" s="5"/>
      <c r="D129" s="3" t="s">
        <v>229</v>
      </c>
      <c r="E129" s="3">
        <v>240</v>
      </c>
      <c r="F129" s="3">
        <v>39</v>
      </c>
    </row>
    <row r="130" spans="1:6" x14ac:dyDescent="0.35">
      <c r="A130" s="3" t="s">
        <v>234</v>
      </c>
      <c r="B130" s="3"/>
      <c r="C130" s="5"/>
      <c r="D130" s="3" t="s">
        <v>150</v>
      </c>
      <c r="E130" s="3">
        <v>249</v>
      </c>
      <c r="F130" s="3">
        <v>39</v>
      </c>
    </row>
    <row r="131" spans="1:6" x14ac:dyDescent="0.35">
      <c r="A131" s="3" t="s">
        <v>234</v>
      </c>
      <c r="B131" s="3"/>
      <c r="C131" s="5"/>
      <c r="D131" s="3" t="s">
        <v>153</v>
      </c>
      <c r="E131" s="3">
        <v>250</v>
      </c>
      <c r="F131" s="3">
        <v>39</v>
      </c>
    </row>
    <row r="132" spans="1:6" x14ac:dyDescent="0.35">
      <c r="A132" s="3" t="s">
        <v>234</v>
      </c>
      <c r="B132" s="3"/>
      <c r="C132" s="5"/>
      <c r="D132" s="3" t="s">
        <v>235</v>
      </c>
      <c r="E132" s="3">
        <v>302</v>
      </c>
      <c r="F132" s="3">
        <v>39</v>
      </c>
    </row>
    <row r="133" spans="1:6" x14ac:dyDescent="0.35">
      <c r="A133" t="s">
        <v>236</v>
      </c>
      <c r="D133" t="s">
        <v>237</v>
      </c>
      <c r="E133">
        <v>49.85</v>
      </c>
      <c r="F133">
        <v>37</v>
      </c>
    </row>
    <row r="134" spans="1:6" x14ac:dyDescent="0.35">
      <c r="A134" t="s">
        <v>238</v>
      </c>
      <c r="B134" t="s">
        <v>239</v>
      </c>
      <c r="C134" s="1">
        <v>29556</v>
      </c>
      <c r="D134" t="s">
        <v>240</v>
      </c>
      <c r="E134">
        <v>25</v>
      </c>
      <c r="F134">
        <v>47</v>
      </c>
    </row>
    <row r="135" spans="1:6" x14ac:dyDescent="0.35">
      <c r="A135" t="s">
        <v>241</v>
      </c>
      <c r="B135" t="s">
        <v>242</v>
      </c>
      <c r="C135" s="1" t="s">
        <v>243</v>
      </c>
      <c r="F135">
        <v>47</v>
      </c>
    </row>
    <row r="136" spans="1:6" x14ac:dyDescent="0.35">
      <c r="F136">
        <v>47</v>
      </c>
    </row>
    <row r="137" spans="1:6" x14ac:dyDescent="0.35">
      <c r="A137" s="3" t="s">
        <v>244</v>
      </c>
      <c r="B137" s="3" t="s">
        <v>245</v>
      </c>
      <c r="C137" s="5" t="s">
        <v>246</v>
      </c>
      <c r="D137" s="3"/>
      <c r="E137" s="3"/>
      <c r="F137" s="3">
        <v>36</v>
      </c>
    </row>
    <row r="138" spans="1:6" x14ac:dyDescent="0.35">
      <c r="A138" s="3" t="s">
        <v>244</v>
      </c>
      <c r="B138" s="3" t="s">
        <v>247</v>
      </c>
      <c r="C138" s="5"/>
      <c r="D138" s="3" t="s">
        <v>248</v>
      </c>
      <c r="E138" s="3">
        <v>102.95</v>
      </c>
      <c r="F138" s="3">
        <v>45</v>
      </c>
    </row>
    <row r="139" spans="1:6" x14ac:dyDescent="0.35">
      <c r="A139" s="3" t="s">
        <v>244</v>
      </c>
      <c r="B139" s="3" t="s">
        <v>247</v>
      </c>
      <c r="C139" s="5"/>
      <c r="D139" s="3" t="s">
        <v>249</v>
      </c>
      <c r="E139" s="3">
        <v>112.15</v>
      </c>
      <c r="F139" s="3">
        <v>45</v>
      </c>
    </row>
    <row r="140" spans="1:6" x14ac:dyDescent="0.35">
      <c r="A140" s="3" t="s">
        <v>244</v>
      </c>
      <c r="B140" s="3" t="s">
        <v>247</v>
      </c>
      <c r="C140" s="5"/>
      <c r="D140" s="3" t="s">
        <v>250</v>
      </c>
      <c r="E140" s="3">
        <v>121.55</v>
      </c>
      <c r="F140" s="3">
        <v>45</v>
      </c>
    </row>
    <row r="141" spans="1:6" x14ac:dyDescent="0.35">
      <c r="A141" s="3" t="s">
        <v>244</v>
      </c>
      <c r="B141" s="3" t="s">
        <v>247</v>
      </c>
      <c r="C141" s="5"/>
      <c r="D141" s="3" t="s">
        <v>251</v>
      </c>
      <c r="E141" s="3">
        <v>121.85</v>
      </c>
      <c r="F141" s="3">
        <v>45</v>
      </c>
    </row>
    <row r="142" spans="1:6" x14ac:dyDescent="0.35">
      <c r="A142" s="3" t="s">
        <v>244</v>
      </c>
      <c r="B142" s="3" t="s">
        <v>247</v>
      </c>
      <c r="C142" s="5"/>
      <c r="D142" s="3" t="s">
        <v>252</v>
      </c>
      <c r="E142" s="3">
        <v>125.05</v>
      </c>
      <c r="F142" s="3">
        <v>45</v>
      </c>
    </row>
    <row r="143" spans="1:6" x14ac:dyDescent="0.35">
      <c r="A143" s="3" t="s">
        <v>244</v>
      </c>
      <c r="B143" s="3" t="s">
        <v>247</v>
      </c>
      <c r="C143" s="5"/>
      <c r="D143" s="3" t="s">
        <v>253</v>
      </c>
      <c r="E143" s="3">
        <v>131.75</v>
      </c>
      <c r="F143" s="3">
        <v>45</v>
      </c>
    </row>
    <row r="144" spans="1:6" x14ac:dyDescent="0.35">
      <c r="A144" s="3" t="s">
        <v>244</v>
      </c>
      <c r="B144" s="3" t="s">
        <v>247</v>
      </c>
      <c r="C144" s="5"/>
      <c r="D144" s="3" t="s">
        <v>254</v>
      </c>
      <c r="E144" s="3">
        <v>140.65</v>
      </c>
      <c r="F144" s="3">
        <v>45</v>
      </c>
    </row>
    <row r="145" spans="1:6" x14ac:dyDescent="0.35">
      <c r="A145" s="3" t="s">
        <v>244</v>
      </c>
      <c r="B145" s="3" t="s">
        <v>247</v>
      </c>
      <c r="C145" s="5"/>
      <c r="D145" s="3" t="s">
        <v>255</v>
      </c>
      <c r="E145" s="3">
        <v>140.94999999999999</v>
      </c>
      <c r="F145" s="3">
        <v>45</v>
      </c>
    </row>
    <row r="146" spans="1:6" x14ac:dyDescent="0.35">
      <c r="A146" s="3" t="s">
        <v>244</v>
      </c>
      <c r="B146" s="3" t="s">
        <v>247</v>
      </c>
      <c r="C146" s="5"/>
      <c r="D146" s="3" t="s">
        <v>256</v>
      </c>
      <c r="E146" s="3">
        <v>142.35</v>
      </c>
      <c r="F146" s="3">
        <v>45</v>
      </c>
    </row>
    <row r="147" spans="1:6" x14ac:dyDescent="0.35">
      <c r="A147" s="3" t="s">
        <v>244</v>
      </c>
      <c r="B147" s="3" t="s">
        <v>247</v>
      </c>
      <c r="C147" s="5"/>
      <c r="D147" s="3" t="s">
        <v>257</v>
      </c>
      <c r="E147" s="3">
        <v>150.85</v>
      </c>
      <c r="F147" s="3">
        <v>45</v>
      </c>
    </row>
    <row r="148" spans="1:6" x14ac:dyDescent="0.35">
      <c r="A148" s="3" t="s">
        <v>244</v>
      </c>
      <c r="B148" s="3" t="s">
        <v>247</v>
      </c>
      <c r="C148" s="5"/>
      <c r="D148" s="3" t="s">
        <v>258</v>
      </c>
      <c r="E148" s="3">
        <v>151.35</v>
      </c>
      <c r="F148" s="3">
        <v>45</v>
      </c>
    </row>
    <row r="149" spans="1:6" x14ac:dyDescent="0.35">
      <c r="A149" s="3" t="s">
        <v>244</v>
      </c>
      <c r="B149" s="3" t="s">
        <v>247</v>
      </c>
      <c r="C149" s="5"/>
      <c r="D149" s="3" t="s">
        <v>259</v>
      </c>
      <c r="E149" s="3">
        <v>151.55000000000001</v>
      </c>
      <c r="F149" s="3">
        <v>45</v>
      </c>
    </row>
    <row r="150" spans="1:6" x14ac:dyDescent="0.35">
      <c r="A150" s="3" t="s">
        <v>244</v>
      </c>
      <c r="B150" s="3" t="s">
        <v>247</v>
      </c>
      <c r="C150" s="5"/>
      <c r="D150" s="3" t="s">
        <v>260</v>
      </c>
      <c r="E150" s="3">
        <v>106.65</v>
      </c>
      <c r="F150" s="3">
        <v>45</v>
      </c>
    </row>
    <row r="151" spans="1:6" x14ac:dyDescent="0.35">
      <c r="A151" s="3" t="s">
        <v>244</v>
      </c>
      <c r="B151" s="3" t="s">
        <v>247</v>
      </c>
      <c r="C151" s="5"/>
      <c r="D151" s="3" t="s">
        <v>261</v>
      </c>
      <c r="E151" s="3">
        <v>106.95</v>
      </c>
      <c r="F151" s="3">
        <v>45</v>
      </c>
    </row>
    <row r="152" spans="1:6" x14ac:dyDescent="0.35">
      <c r="A152" t="s">
        <v>262</v>
      </c>
      <c r="B152" t="s">
        <v>263</v>
      </c>
      <c r="C152" s="1" t="s">
        <v>264</v>
      </c>
      <c r="F152">
        <v>47</v>
      </c>
    </row>
    <row r="153" spans="1:6" x14ac:dyDescent="0.35">
      <c r="A153" t="s">
        <v>265</v>
      </c>
      <c r="B153" t="s">
        <v>266</v>
      </c>
      <c r="C153" s="1" t="s">
        <v>267</v>
      </c>
      <c r="D153" s="6">
        <v>9.7699999999999996E-6</v>
      </c>
      <c r="E153" t="s">
        <v>268</v>
      </c>
      <c r="F153">
        <v>47</v>
      </c>
    </row>
    <row r="154" spans="1:6" x14ac:dyDescent="0.35">
      <c r="A154" t="s">
        <v>269</v>
      </c>
      <c r="B154" t="s">
        <v>270</v>
      </c>
      <c r="C154" s="1" t="s">
        <v>271</v>
      </c>
      <c r="F154">
        <v>26</v>
      </c>
    </row>
    <row r="155" spans="1:6" x14ac:dyDescent="0.35">
      <c r="A155" t="s">
        <v>269</v>
      </c>
      <c r="B155" t="s">
        <v>272</v>
      </c>
      <c r="C155" s="1" t="s">
        <v>273</v>
      </c>
      <c r="D155" s="6">
        <v>2.9699999999999998E-11</v>
      </c>
      <c r="E155" t="s">
        <v>268</v>
      </c>
      <c r="F155">
        <v>47</v>
      </c>
    </row>
    <row r="156" spans="1:6" x14ac:dyDescent="0.35">
      <c r="A156" t="s">
        <v>274</v>
      </c>
      <c r="D156" t="s">
        <v>275</v>
      </c>
      <c r="E156">
        <v>48.95</v>
      </c>
      <c r="F156">
        <v>45</v>
      </c>
    </row>
    <row r="157" spans="1:6" x14ac:dyDescent="0.35">
      <c r="A157" t="s">
        <v>274</v>
      </c>
      <c r="D157" t="s">
        <v>276</v>
      </c>
      <c r="E157">
        <v>49.75</v>
      </c>
      <c r="F157">
        <v>45</v>
      </c>
    </row>
    <row r="158" spans="1:6" x14ac:dyDescent="0.35">
      <c r="A158" t="s">
        <v>274</v>
      </c>
      <c r="D158" t="s">
        <v>277</v>
      </c>
      <c r="E158">
        <v>53.25</v>
      </c>
      <c r="F158">
        <v>45</v>
      </c>
    </row>
    <row r="159" spans="1:6" x14ac:dyDescent="0.35">
      <c r="A159" t="s">
        <v>274</v>
      </c>
      <c r="D159" t="s">
        <v>278</v>
      </c>
      <c r="E159">
        <v>53.35</v>
      </c>
      <c r="F159">
        <v>45</v>
      </c>
    </row>
    <row r="160" spans="1:6" x14ac:dyDescent="0.35">
      <c r="A160" t="s">
        <v>274</v>
      </c>
      <c r="D160" t="s">
        <v>279</v>
      </c>
      <c r="E160">
        <v>57.95</v>
      </c>
      <c r="F160">
        <v>45</v>
      </c>
    </row>
    <row r="161" spans="1:6" x14ac:dyDescent="0.35">
      <c r="A161" t="s">
        <v>274</v>
      </c>
      <c r="D161" t="s">
        <v>280</v>
      </c>
      <c r="E161">
        <v>58.35</v>
      </c>
      <c r="F161">
        <v>45</v>
      </c>
    </row>
    <row r="162" spans="1:6" x14ac:dyDescent="0.35">
      <c r="A162" t="s">
        <v>274</v>
      </c>
      <c r="D162" t="s">
        <v>281</v>
      </c>
      <c r="E162">
        <v>62.35</v>
      </c>
      <c r="F162">
        <v>45</v>
      </c>
    </row>
    <row r="163" spans="1:6" x14ac:dyDescent="0.35">
      <c r="A163" t="s">
        <v>274</v>
      </c>
      <c r="D163" t="s">
        <v>282</v>
      </c>
      <c r="E163">
        <v>62.65</v>
      </c>
      <c r="F163">
        <v>45</v>
      </c>
    </row>
    <row r="164" spans="1:6" x14ac:dyDescent="0.35">
      <c r="A164" t="s">
        <v>274</v>
      </c>
      <c r="D164" t="s">
        <v>283</v>
      </c>
      <c r="E164">
        <v>65.150000000000006</v>
      </c>
      <c r="F164">
        <v>45</v>
      </c>
    </row>
    <row r="165" spans="1:6" x14ac:dyDescent="0.35">
      <c r="A165" t="s">
        <v>274</v>
      </c>
      <c r="D165" t="s">
        <v>284</v>
      </c>
      <c r="E165">
        <v>67.45</v>
      </c>
      <c r="F165">
        <v>45</v>
      </c>
    </row>
    <row r="166" spans="1:6" x14ac:dyDescent="0.35">
      <c r="A166" t="s">
        <v>274</v>
      </c>
      <c r="D166" t="s">
        <v>285</v>
      </c>
      <c r="E166">
        <v>67.75</v>
      </c>
      <c r="F166">
        <v>45</v>
      </c>
    </row>
    <row r="167" spans="1:6" x14ac:dyDescent="0.35">
      <c r="A167" t="s">
        <v>274</v>
      </c>
      <c r="D167" t="s">
        <v>286</v>
      </c>
      <c r="E167">
        <v>69.05</v>
      </c>
      <c r="F167">
        <v>45</v>
      </c>
    </row>
    <row r="168" spans="1:6" x14ac:dyDescent="0.35">
      <c r="A168" t="s">
        <v>287</v>
      </c>
      <c r="B168" t="s">
        <v>288</v>
      </c>
      <c r="D168">
        <v>1.4532</v>
      </c>
      <c r="E168" t="s">
        <v>289</v>
      </c>
      <c r="F168">
        <v>49</v>
      </c>
    </row>
    <row r="169" spans="1:6" x14ac:dyDescent="0.35">
      <c r="A169" t="s">
        <v>290</v>
      </c>
      <c r="B169" t="s">
        <v>291</v>
      </c>
      <c r="D169">
        <v>2.2000000000000002</v>
      </c>
      <c r="E169" t="s">
        <v>289</v>
      </c>
      <c r="F169">
        <v>49</v>
      </c>
    </row>
    <row r="170" spans="1:6" x14ac:dyDescent="0.35">
      <c r="A170" t="s">
        <v>292</v>
      </c>
      <c r="D170" t="s">
        <v>293</v>
      </c>
      <c r="E170">
        <v>230</v>
      </c>
      <c r="F170">
        <v>39</v>
      </c>
    </row>
    <row r="171" spans="1:6" x14ac:dyDescent="0.35">
      <c r="A171" t="s">
        <v>292</v>
      </c>
      <c r="D171" t="s">
        <v>294</v>
      </c>
      <c r="E171">
        <v>230</v>
      </c>
      <c r="F171">
        <v>39</v>
      </c>
    </row>
    <row r="172" spans="1:6" x14ac:dyDescent="0.35">
      <c r="A172" t="s">
        <v>292</v>
      </c>
      <c r="D172" t="s">
        <v>295</v>
      </c>
      <c r="E172">
        <v>240</v>
      </c>
      <c r="F172">
        <v>39</v>
      </c>
    </row>
    <row r="173" spans="1:6" x14ac:dyDescent="0.35">
      <c r="A173" t="s">
        <v>292</v>
      </c>
      <c r="D173" t="s">
        <v>147</v>
      </c>
      <c r="E173">
        <v>240</v>
      </c>
      <c r="F173">
        <v>39</v>
      </c>
    </row>
    <row r="174" spans="1:6" x14ac:dyDescent="0.35">
      <c r="A174" t="s">
        <v>292</v>
      </c>
      <c r="D174" t="s">
        <v>296</v>
      </c>
      <c r="E174">
        <v>250</v>
      </c>
      <c r="F174">
        <v>39</v>
      </c>
    </row>
    <row r="175" spans="1:6" x14ac:dyDescent="0.35">
      <c r="A175" t="s">
        <v>292</v>
      </c>
      <c r="D175" t="s">
        <v>228</v>
      </c>
      <c r="E175">
        <v>250</v>
      </c>
      <c r="F175">
        <v>39</v>
      </c>
    </row>
    <row r="176" spans="1:6" x14ac:dyDescent="0.35">
      <c r="A176" t="s">
        <v>292</v>
      </c>
      <c r="D176" t="s">
        <v>297</v>
      </c>
      <c r="E176">
        <v>250</v>
      </c>
      <c r="F176">
        <v>39</v>
      </c>
    </row>
    <row r="177" spans="1:6" x14ac:dyDescent="0.35">
      <c r="A177" t="s">
        <v>292</v>
      </c>
      <c r="D177" t="s">
        <v>298</v>
      </c>
      <c r="E177">
        <v>260</v>
      </c>
      <c r="F177">
        <v>39</v>
      </c>
    </row>
    <row r="178" spans="1:6" x14ac:dyDescent="0.35">
      <c r="A178" t="s">
        <v>292</v>
      </c>
      <c r="D178" t="s">
        <v>299</v>
      </c>
      <c r="E178">
        <v>260</v>
      </c>
      <c r="F178">
        <v>39</v>
      </c>
    </row>
    <row r="179" spans="1:6" x14ac:dyDescent="0.35">
      <c r="A179" t="s">
        <v>292</v>
      </c>
      <c r="D179" t="s">
        <v>300</v>
      </c>
      <c r="E179">
        <v>270</v>
      </c>
      <c r="F179">
        <v>39</v>
      </c>
    </row>
    <row r="180" spans="1:6" x14ac:dyDescent="0.35">
      <c r="A180" t="s">
        <v>292</v>
      </c>
      <c r="D180" t="s">
        <v>300</v>
      </c>
      <c r="E180">
        <v>270</v>
      </c>
      <c r="F180">
        <v>39</v>
      </c>
    </row>
    <row r="181" spans="1:6" x14ac:dyDescent="0.35">
      <c r="A181" s="3" t="s">
        <v>301</v>
      </c>
      <c r="B181" s="3" t="s">
        <v>302</v>
      </c>
      <c r="C181" s="5"/>
      <c r="D181" s="3" t="s">
        <v>303</v>
      </c>
      <c r="E181" s="3">
        <v>15</v>
      </c>
      <c r="F181" s="3">
        <v>44</v>
      </c>
    </row>
    <row r="182" spans="1:6" x14ac:dyDescent="0.35">
      <c r="A182" s="3" t="s">
        <v>301</v>
      </c>
      <c r="B182" s="3" t="s">
        <v>302</v>
      </c>
      <c r="C182" s="5"/>
      <c r="D182" s="3" t="s">
        <v>304</v>
      </c>
      <c r="E182" s="3">
        <v>25</v>
      </c>
      <c r="F182" s="3">
        <v>44</v>
      </c>
    </row>
    <row r="183" spans="1:6" x14ac:dyDescent="0.35">
      <c r="A183" s="3" t="s">
        <v>301</v>
      </c>
      <c r="B183" s="3" t="s">
        <v>302</v>
      </c>
      <c r="C183" s="5"/>
      <c r="D183" s="3" t="s">
        <v>305</v>
      </c>
      <c r="E183" s="3">
        <v>30</v>
      </c>
      <c r="F183" s="3">
        <v>44</v>
      </c>
    </row>
    <row r="184" spans="1:6" x14ac:dyDescent="0.35">
      <c r="A184" s="3" t="s">
        <v>301</v>
      </c>
      <c r="B184" s="3" t="s">
        <v>302</v>
      </c>
      <c r="C184" s="5"/>
      <c r="D184" s="3" t="s">
        <v>306</v>
      </c>
      <c r="E184" s="3">
        <v>35</v>
      </c>
      <c r="F184" s="3">
        <v>44</v>
      </c>
    </row>
    <row r="185" spans="1:6" x14ac:dyDescent="0.35">
      <c r="A185" s="3" t="s">
        <v>301</v>
      </c>
      <c r="B185" s="3" t="s">
        <v>302</v>
      </c>
      <c r="C185" s="5"/>
      <c r="D185" s="3" t="s">
        <v>307</v>
      </c>
      <c r="E185" s="3">
        <v>40</v>
      </c>
      <c r="F185" s="3">
        <v>44</v>
      </c>
    </row>
    <row r="186" spans="1:6" x14ac:dyDescent="0.35">
      <c r="A186" s="3" t="s">
        <v>301</v>
      </c>
      <c r="B186" s="3" t="s">
        <v>302</v>
      </c>
      <c r="C186" s="5"/>
      <c r="D186" s="3" t="s">
        <v>308</v>
      </c>
      <c r="E186" s="3">
        <v>45</v>
      </c>
      <c r="F186" s="3">
        <v>44</v>
      </c>
    </row>
    <row r="187" spans="1:6" x14ac:dyDescent="0.35">
      <c r="A187" s="3" t="s">
        <v>301</v>
      </c>
      <c r="B187" s="3" t="s">
        <v>302</v>
      </c>
      <c r="C187" s="5"/>
      <c r="D187" s="3" t="s">
        <v>309</v>
      </c>
      <c r="E187" s="3">
        <v>50</v>
      </c>
      <c r="F187" s="3">
        <v>44</v>
      </c>
    </row>
    <row r="188" spans="1:6" x14ac:dyDescent="0.35">
      <c r="A188" t="s">
        <v>301</v>
      </c>
      <c r="B188" t="s">
        <v>310</v>
      </c>
      <c r="D188" t="s">
        <v>311</v>
      </c>
      <c r="E188">
        <v>-7.6</v>
      </c>
      <c r="F188">
        <v>46</v>
      </c>
    </row>
    <row r="189" spans="1:6" x14ac:dyDescent="0.35">
      <c r="A189" t="s">
        <v>301</v>
      </c>
      <c r="B189" t="s">
        <v>310</v>
      </c>
      <c r="D189" t="s">
        <v>312</v>
      </c>
      <c r="E189">
        <v>-0.4</v>
      </c>
      <c r="F189">
        <v>46</v>
      </c>
    </row>
    <row r="190" spans="1:6" x14ac:dyDescent="0.35">
      <c r="A190" t="s">
        <v>301</v>
      </c>
      <c r="B190" t="s">
        <v>310</v>
      </c>
      <c r="D190" t="s">
        <v>313</v>
      </c>
      <c r="E190">
        <v>5.3</v>
      </c>
      <c r="F190">
        <v>46</v>
      </c>
    </row>
    <row r="191" spans="1:6" x14ac:dyDescent="0.35">
      <c r="A191" t="s">
        <v>301</v>
      </c>
      <c r="B191" t="s">
        <v>310</v>
      </c>
      <c r="D191" t="s">
        <v>314</v>
      </c>
      <c r="E191">
        <v>12.5</v>
      </c>
      <c r="F191">
        <v>46</v>
      </c>
    </row>
    <row r="192" spans="1:6" x14ac:dyDescent="0.35">
      <c r="A192" t="s">
        <v>301</v>
      </c>
      <c r="B192" t="s">
        <v>310</v>
      </c>
      <c r="D192" t="s">
        <v>315</v>
      </c>
      <c r="E192">
        <v>20.399999999999999</v>
      </c>
      <c r="F192">
        <v>46</v>
      </c>
    </row>
    <row r="193" spans="1:6" x14ac:dyDescent="0.35">
      <c r="A193" t="s">
        <v>301</v>
      </c>
      <c r="B193" t="s">
        <v>316</v>
      </c>
      <c r="C193" s="1">
        <v>21.7</v>
      </c>
      <c r="F193">
        <v>46</v>
      </c>
    </row>
    <row r="194" spans="1:6" x14ac:dyDescent="0.35">
      <c r="A194" t="s">
        <v>301</v>
      </c>
      <c r="B194" t="s">
        <v>317</v>
      </c>
      <c r="C194" s="1" t="s">
        <v>318</v>
      </c>
      <c r="D194" s="6">
        <v>0.13300000000000001</v>
      </c>
      <c r="E194" t="s">
        <v>268</v>
      </c>
      <c r="F194">
        <v>47</v>
      </c>
    </row>
    <row r="195" spans="1:6" x14ac:dyDescent="0.35">
      <c r="A195" s="3" t="s">
        <v>319</v>
      </c>
      <c r="B195" s="3" t="s">
        <v>320</v>
      </c>
      <c r="C195" s="5" t="s">
        <v>321</v>
      </c>
      <c r="D195" s="3"/>
      <c r="E195" s="3"/>
      <c r="F195" s="3">
        <v>27</v>
      </c>
    </row>
    <row r="196" spans="1:6" x14ac:dyDescent="0.35">
      <c r="A196" s="3" t="s">
        <v>322</v>
      </c>
      <c r="B196" s="3" t="s">
        <v>323</v>
      </c>
      <c r="C196" s="5" t="s">
        <v>324</v>
      </c>
      <c r="D196" s="3"/>
      <c r="E196" s="3"/>
      <c r="F196" s="3">
        <v>10</v>
      </c>
    </row>
    <row r="197" spans="1:6" x14ac:dyDescent="0.35">
      <c r="A197" t="s">
        <v>325</v>
      </c>
      <c r="D197" t="s">
        <v>326</v>
      </c>
      <c r="E197">
        <v>231.5</v>
      </c>
      <c r="F197">
        <v>39</v>
      </c>
    </row>
    <row r="198" spans="1:6" x14ac:dyDescent="0.35">
      <c r="A198" t="s">
        <v>325</v>
      </c>
      <c r="D198" t="s">
        <v>327</v>
      </c>
      <c r="E198">
        <v>250</v>
      </c>
      <c r="F198">
        <v>39</v>
      </c>
    </row>
    <row r="199" spans="1:6" x14ac:dyDescent="0.35">
      <c r="A199" t="s">
        <v>325</v>
      </c>
      <c r="D199" t="s">
        <v>327</v>
      </c>
      <c r="E199">
        <v>250</v>
      </c>
      <c r="F199">
        <v>39</v>
      </c>
    </row>
    <row r="200" spans="1:6" x14ac:dyDescent="0.35">
      <c r="A200" t="s">
        <v>325</v>
      </c>
      <c r="D200" t="s">
        <v>328</v>
      </c>
      <c r="E200">
        <v>250</v>
      </c>
      <c r="F200">
        <v>39</v>
      </c>
    </row>
    <row r="201" spans="1:6" x14ac:dyDescent="0.35">
      <c r="A201" t="s">
        <v>325</v>
      </c>
      <c r="D201" t="s">
        <v>106</v>
      </c>
      <c r="E201">
        <v>260</v>
      </c>
      <c r="F201">
        <v>39</v>
      </c>
    </row>
    <row r="202" spans="1:6" x14ac:dyDescent="0.35">
      <c r="A202" t="s">
        <v>329</v>
      </c>
      <c r="D202" t="s">
        <v>233</v>
      </c>
      <c r="E202">
        <v>250</v>
      </c>
      <c r="F202">
        <v>39</v>
      </c>
    </row>
    <row r="203" spans="1:6" x14ac:dyDescent="0.35">
      <c r="A203" t="s">
        <v>330</v>
      </c>
      <c r="D203" t="s">
        <v>326</v>
      </c>
      <c r="E203">
        <v>250</v>
      </c>
      <c r="F203">
        <v>39</v>
      </c>
    </row>
    <row r="204" spans="1:6" x14ac:dyDescent="0.35">
      <c r="A204" t="s">
        <v>330</v>
      </c>
      <c r="D204" t="s">
        <v>331</v>
      </c>
      <c r="E204">
        <v>250</v>
      </c>
      <c r="F204">
        <v>39</v>
      </c>
    </row>
    <row r="205" spans="1:6" x14ac:dyDescent="0.35">
      <c r="A205" t="s">
        <v>330</v>
      </c>
      <c r="D205" t="s">
        <v>121</v>
      </c>
      <c r="E205">
        <v>250</v>
      </c>
      <c r="F205">
        <v>39</v>
      </c>
    </row>
    <row r="206" spans="1:6" x14ac:dyDescent="0.35">
      <c r="A206" t="s">
        <v>330</v>
      </c>
      <c r="D206" t="s">
        <v>332</v>
      </c>
      <c r="E206">
        <v>250</v>
      </c>
      <c r="F206">
        <v>39</v>
      </c>
    </row>
    <row r="207" spans="1:6" x14ac:dyDescent="0.35">
      <c r="A207" t="s">
        <v>330</v>
      </c>
      <c r="D207" t="s">
        <v>333</v>
      </c>
      <c r="E207">
        <v>252</v>
      </c>
      <c r="F207">
        <v>39</v>
      </c>
    </row>
    <row r="208" spans="1:6" x14ac:dyDescent="0.35">
      <c r="A208" t="s">
        <v>330</v>
      </c>
      <c r="D208" t="s">
        <v>334</v>
      </c>
      <c r="E208">
        <v>253</v>
      </c>
      <c r="F208">
        <v>39</v>
      </c>
    </row>
    <row r="209" spans="1:6" x14ac:dyDescent="0.35">
      <c r="A209" t="s">
        <v>330</v>
      </c>
      <c r="D209" t="s">
        <v>121</v>
      </c>
      <c r="E209">
        <v>280</v>
      </c>
      <c r="F209">
        <v>39</v>
      </c>
    </row>
    <row r="210" spans="1:6" x14ac:dyDescent="0.35">
      <c r="A210" t="s">
        <v>330</v>
      </c>
      <c r="D210" t="s">
        <v>332</v>
      </c>
      <c r="E210">
        <v>280</v>
      </c>
      <c r="F210">
        <v>39</v>
      </c>
    </row>
    <row r="211" spans="1:6" x14ac:dyDescent="0.35">
      <c r="A211" t="s">
        <v>330</v>
      </c>
      <c r="D211" t="s">
        <v>335</v>
      </c>
      <c r="E211">
        <v>290</v>
      </c>
      <c r="F211">
        <v>39</v>
      </c>
    </row>
    <row r="212" spans="1:6" x14ac:dyDescent="0.35">
      <c r="A212" t="s">
        <v>330</v>
      </c>
      <c r="D212" t="s">
        <v>336</v>
      </c>
      <c r="E212">
        <v>291.5</v>
      </c>
      <c r="F212">
        <v>39</v>
      </c>
    </row>
    <row r="213" spans="1:6" x14ac:dyDescent="0.35">
      <c r="A213" t="s">
        <v>337</v>
      </c>
      <c r="D213" t="s">
        <v>184</v>
      </c>
      <c r="E213">
        <v>29.85</v>
      </c>
      <c r="F213">
        <v>37</v>
      </c>
    </row>
    <row r="214" spans="1:6" x14ac:dyDescent="0.35">
      <c r="A214" t="s">
        <v>337</v>
      </c>
      <c r="D214" t="s">
        <v>338</v>
      </c>
      <c r="E214">
        <v>49.85</v>
      </c>
      <c r="F214">
        <v>37</v>
      </c>
    </row>
    <row r="215" spans="1:6" x14ac:dyDescent="0.35">
      <c r="A215" t="s">
        <v>337</v>
      </c>
      <c r="D215" t="s">
        <v>339</v>
      </c>
      <c r="E215">
        <v>300</v>
      </c>
      <c r="F215">
        <v>39</v>
      </c>
    </row>
    <row r="216" spans="1:6" x14ac:dyDescent="0.35">
      <c r="A216" t="s">
        <v>337</v>
      </c>
      <c r="D216" t="s">
        <v>340</v>
      </c>
      <c r="E216">
        <v>300</v>
      </c>
      <c r="F216">
        <v>39</v>
      </c>
    </row>
    <row r="217" spans="1:6" x14ac:dyDescent="0.35">
      <c r="A217" t="s">
        <v>337</v>
      </c>
      <c r="D217" t="s">
        <v>341</v>
      </c>
      <c r="E217">
        <v>300</v>
      </c>
      <c r="F217">
        <v>39</v>
      </c>
    </row>
    <row r="218" spans="1:6" x14ac:dyDescent="0.35">
      <c r="A218" t="s">
        <v>337</v>
      </c>
      <c r="D218" t="s">
        <v>342</v>
      </c>
      <c r="E218">
        <v>300</v>
      </c>
      <c r="F218">
        <v>39</v>
      </c>
    </row>
    <row r="219" spans="1:6" x14ac:dyDescent="0.35">
      <c r="A219" t="s">
        <v>343</v>
      </c>
      <c r="D219" t="s">
        <v>344</v>
      </c>
      <c r="E219">
        <v>29.85</v>
      </c>
      <c r="F219">
        <v>37</v>
      </c>
    </row>
    <row r="220" spans="1:6" x14ac:dyDescent="0.35">
      <c r="A220" t="s">
        <v>343</v>
      </c>
      <c r="D220" t="s">
        <v>345</v>
      </c>
      <c r="E220">
        <v>49.85</v>
      </c>
      <c r="F220">
        <v>37</v>
      </c>
    </row>
    <row r="221" spans="1:6" x14ac:dyDescent="0.35">
      <c r="A221" s="3" t="s">
        <v>346</v>
      </c>
      <c r="B221" s="3" t="s">
        <v>347</v>
      </c>
      <c r="C221" s="5" t="s">
        <v>324</v>
      </c>
      <c r="D221" s="3"/>
      <c r="E221" s="3"/>
      <c r="F221" s="3">
        <v>10</v>
      </c>
    </row>
    <row r="222" spans="1:6" x14ac:dyDescent="0.35">
      <c r="A222" s="3" t="s">
        <v>346</v>
      </c>
      <c r="B222" s="3" t="s">
        <v>348</v>
      </c>
      <c r="C222" s="5">
        <f>-33 - 25</f>
        <v>-58</v>
      </c>
      <c r="D222" s="3"/>
      <c r="E222" s="3"/>
      <c r="F222" s="3">
        <v>28</v>
      </c>
    </row>
    <row r="223" spans="1:6" x14ac:dyDescent="0.35">
      <c r="A223" t="s">
        <v>346</v>
      </c>
      <c r="D223" t="s">
        <v>349</v>
      </c>
      <c r="E223">
        <v>20</v>
      </c>
      <c r="F223">
        <v>43</v>
      </c>
    </row>
    <row r="224" spans="1:6" x14ac:dyDescent="0.35">
      <c r="A224" t="s">
        <v>346</v>
      </c>
      <c r="D224" t="s">
        <v>350</v>
      </c>
      <c r="E224">
        <v>100</v>
      </c>
      <c r="F224">
        <v>43</v>
      </c>
    </row>
    <row r="225" spans="1:6" x14ac:dyDescent="0.35">
      <c r="A225" t="s">
        <v>351</v>
      </c>
      <c r="B225" t="s">
        <v>352</v>
      </c>
      <c r="C225" s="1" t="s">
        <v>353</v>
      </c>
      <c r="D225" s="6">
        <v>7.6300000000000007E-2</v>
      </c>
      <c r="E225" t="s">
        <v>268</v>
      </c>
      <c r="F225">
        <v>47</v>
      </c>
    </row>
    <row r="226" spans="1:6" x14ac:dyDescent="0.35">
      <c r="A226" t="s">
        <v>354</v>
      </c>
      <c r="D226" t="s">
        <v>355</v>
      </c>
      <c r="E226">
        <v>250</v>
      </c>
      <c r="F226">
        <v>39</v>
      </c>
    </row>
    <row r="227" spans="1:6" x14ac:dyDescent="0.35">
      <c r="A227" t="s">
        <v>354</v>
      </c>
      <c r="D227" t="s">
        <v>355</v>
      </c>
      <c r="E227">
        <v>250</v>
      </c>
      <c r="F227">
        <v>39</v>
      </c>
    </row>
    <row r="228" spans="1:6" x14ac:dyDescent="0.35">
      <c r="A228" t="s">
        <v>354</v>
      </c>
      <c r="D228" t="s">
        <v>356</v>
      </c>
      <c r="E228">
        <v>250</v>
      </c>
      <c r="F228">
        <v>39</v>
      </c>
    </row>
    <row r="229" spans="1:6" x14ac:dyDescent="0.35">
      <c r="A229" t="s">
        <v>357</v>
      </c>
      <c r="B229" t="s">
        <v>358</v>
      </c>
      <c r="D229" t="s">
        <v>359</v>
      </c>
      <c r="E229">
        <v>206.35</v>
      </c>
      <c r="F229">
        <v>45</v>
      </c>
    </row>
    <row r="230" spans="1:6" x14ac:dyDescent="0.35">
      <c r="A230" t="s">
        <v>357</v>
      </c>
      <c r="B230" t="s">
        <v>358</v>
      </c>
      <c r="D230" t="s">
        <v>360</v>
      </c>
      <c r="E230">
        <v>206.45</v>
      </c>
      <c r="F230">
        <v>45</v>
      </c>
    </row>
    <row r="231" spans="1:6" x14ac:dyDescent="0.35">
      <c r="A231" t="s">
        <v>357</v>
      </c>
      <c r="B231" t="s">
        <v>358</v>
      </c>
      <c r="D231" t="s">
        <v>361</v>
      </c>
      <c r="E231">
        <v>206.65</v>
      </c>
      <c r="F231">
        <v>45</v>
      </c>
    </row>
    <row r="232" spans="1:6" x14ac:dyDescent="0.35">
      <c r="A232" t="s">
        <v>357</v>
      </c>
      <c r="B232" t="s">
        <v>358</v>
      </c>
      <c r="D232" t="s">
        <v>362</v>
      </c>
      <c r="E232">
        <v>210.15</v>
      </c>
      <c r="F232">
        <v>45</v>
      </c>
    </row>
    <row r="233" spans="1:6" x14ac:dyDescent="0.35">
      <c r="A233" t="s">
        <v>357</v>
      </c>
      <c r="B233" t="s">
        <v>358</v>
      </c>
      <c r="D233" t="s">
        <v>363</v>
      </c>
      <c r="E233">
        <v>210.75</v>
      </c>
      <c r="F233">
        <v>45</v>
      </c>
    </row>
    <row r="234" spans="1:6" x14ac:dyDescent="0.35">
      <c r="A234" t="s">
        <v>357</v>
      </c>
      <c r="B234" t="s">
        <v>358</v>
      </c>
      <c r="D234" t="s">
        <v>364</v>
      </c>
      <c r="E234">
        <v>215.95</v>
      </c>
      <c r="F234">
        <v>45</v>
      </c>
    </row>
    <row r="235" spans="1:6" x14ac:dyDescent="0.35">
      <c r="A235" t="s">
        <v>357</v>
      </c>
      <c r="B235" t="s">
        <v>358</v>
      </c>
      <c r="D235" t="s">
        <v>365</v>
      </c>
      <c r="E235">
        <v>216.15</v>
      </c>
      <c r="F235">
        <v>45</v>
      </c>
    </row>
    <row r="236" spans="1:6" x14ac:dyDescent="0.35">
      <c r="A236" t="s">
        <v>357</v>
      </c>
      <c r="B236" t="s">
        <v>358</v>
      </c>
      <c r="D236" t="s">
        <v>366</v>
      </c>
      <c r="E236">
        <v>220.55</v>
      </c>
      <c r="F236">
        <v>45</v>
      </c>
    </row>
    <row r="237" spans="1:6" x14ac:dyDescent="0.35">
      <c r="A237" t="s">
        <v>357</v>
      </c>
      <c r="B237" t="s">
        <v>358</v>
      </c>
      <c r="D237" t="s">
        <v>367</v>
      </c>
      <c r="E237">
        <v>220.95</v>
      </c>
      <c r="F237">
        <v>45</v>
      </c>
    </row>
    <row r="238" spans="1:6" x14ac:dyDescent="0.35">
      <c r="A238" t="s">
        <v>357</v>
      </c>
      <c r="B238" t="s">
        <v>358</v>
      </c>
      <c r="D238" t="s">
        <v>368</v>
      </c>
      <c r="E238">
        <v>221.05</v>
      </c>
      <c r="F238">
        <v>45</v>
      </c>
    </row>
    <row r="239" spans="1:6" x14ac:dyDescent="0.35">
      <c r="A239" t="s">
        <v>357</v>
      </c>
      <c r="B239" t="s">
        <v>358</v>
      </c>
      <c r="D239" t="s">
        <v>369</v>
      </c>
      <c r="E239">
        <v>225.95</v>
      </c>
      <c r="F239">
        <v>45</v>
      </c>
    </row>
    <row r="240" spans="1:6" x14ac:dyDescent="0.35">
      <c r="A240" t="s">
        <v>357</v>
      </c>
      <c r="B240" t="s">
        <v>358</v>
      </c>
      <c r="D240" t="s">
        <v>370</v>
      </c>
      <c r="E240">
        <v>226.05</v>
      </c>
      <c r="F240">
        <v>45</v>
      </c>
    </row>
    <row r="241" spans="1:6" x14ac:dyDescent="0.35">
      <c r="A241" s="3" t="s">
        <v>371</v>
      </c>
      <c r="B241" s="3" t="s">
        <v>372</v>
      </c>
      <c r="C241" s="5" t="s">
        <v>373</v>
      </c>
      <c r="D241" s="3"/>
      <c r="E241" s="3"/>
      <c r="F241" s="3">
        <v>27</v>
      </c>
    </row>
    <row r="242" spans="1:6" x14ac:dyDescent="0.35">
      <c r="A242" t="s">
        <v>371</v>
      </c>
      <c r="D242" s="6">
        <v>3E-9</v>
      </c>
      <c r="E242">
        <v>100</v>
      </c>
      <c r="F242">
        <v>15</v>
      </c>
    </row>
    <row r="243" spans="1:6" x14ac:dyDescent="0.35">
      <c r="A243" s="3" t="s">
        <v>371</v>
      </c>
      <c r="B243" s="3" t="s">
        <v>374</v>
      </c>
      <c r="C243" s="5" t="s">
        <v>375</v>
      </c>
      <c r="D243" s="3"/>
      <c r="E243" s="3"/>
      <c r="F243" s="3">
        <v>29</v>
      </c>
    </row>
    <row r="244" spans="1:6" x14ac:dyDescent="0.35">
      <c r="A244" s="3" t="s">
        <v>371</v>
      </c>
      <c r="B244" s="3" t="s">
        <v>376</v>
      </c>
      <c r="C244" s="5" t="s">
        <v>377</v>
      </c>
      <c r="D244" s="3"/>
      <c r="E244" s="3"/>
      <c r="F244" s="3">
        <v>29</v>
      </c>
    </row>
    <row r="245" spans="1:6" x14ac:dyDescent="0.35">
      <c r="A245" t="s">
        <v>378</v>
      </c>
      <c r="B245" t="s">
        <v>379</v>
      </c>
      <c r="C245" s="1" t="s">
        <v>380</v>
      </c>
      <c r="D245" s="6">
        <v>3.01E-15</v>
      </c>
      <c r="E245" t="s">
        <v>268</v>
      </c>
      <c r="F245">
        <v>47</v>
      </c>
    </row>
    <row r="246" spans="1:6" x14ac:dyDescent="0.35">
      <c r="A246" t="s">
        <v>381</v>
      </c>
      <c r="D246" s="6">
        <v>9.9999999999999995E-8</v>
      </c>
      <c r="E246">
        <v>100</v>
      </c>
      <c r="F246">
        <v>15</v>
      </c>
    </row>
    <row r="247" spans="1:6" x14ac:dyDescent="0.35">
      <c r="A247" s="4" t="s">
        <v>382</v>
      </c>
      <c r="B247" s="4" t="s">
        <v>383</v>
      </c>
      <c r="C247" s="7"/>
      <c r="D247" s="4"/>
      <c r="E247" s="4"/>
      <c r="F247" s="4">
        <v>11</v>
      </c>
    </row>
    <row r="248" spans="1:6" x14ac:dyDescent="0.35">
      <c r="A248" t="s">
        <v>382</v>
      </c>
      <c r="B248" t="s">
        <v>384</v>
      </c>
      <c r="C248" s="1" t="s">
        <v>385</v>
      </c>
      <c r="D248" s="6">
        <v>4.64E-18</v>
      </c>
      <c r="E248" t="s">
        <v>268</v>
      </c>
      <c r="F248">
        <v>47</v>
      </c>
    </row>
    <row r="249" spans="1:6" x14ac:dyDescent="0.35">
      <c r="A249" t="s">
        <v>386</v>
      </c>
      <c r="D249" s="6">
        <v>1.0000000000000001E-9</v>
      </c>
      <c r="E249">
        <v>100</v>
      </c>
      <c r="F249">
        <v>15</v>
      </c>
    </row>
    <row r="250" spans="1:6" x14ac:dyDescent="0.35">
      <c r="A250" t="s">
        <v>387</v>
      </c>
      <c r="B250" t="s">
        <v>388</v>
      </c>
      <c r="C250" s="1">
        <v>32994</v>
      </c>
      <c r="D250">
        <v>2.13</v>
      </c>
      <c r="E250" t="s">
        <v>268</v>
      </c>
      <c r="F250">
        <v>47</v>
      </c>
    </row>
    <row r="251" spans="1:6" x14ac:dyDescent="0.35">
      <c r="A251" t="s">
        <v>389</v>
      </c>
      <c r="B251" t="s">
        <v>390</v>
      </c>
      <c r="C251" s="1" t="s">
        <v>391</v>
      </c>
      <c r="D251" s="6">
        <v>7.85E-2</v>
      </c>
      <c r="E251" t="s">
        <v>268</v>
      </c>
      <c r="F251">
        <v>47</v>
      </c>
    </row>
    <row r="252" spans="1:6" x14ac:dyDescent="0.35">
      <c r="A252" t="s">
        <v>392</v>
      </c>
      <c r="B252" t="s">
        <v>393</v>
      </c>
      <c r="C252" s="1" t="s">
        <v>391</v>
      </c>
      <c r="D252" s="6">
        <v>0.20499999999999999</v>
      </c>
      <c r="E252" t="s">
        <v>268</v>
      </c>
      <c r="F252">
        <v>47</v>
      </c>
    </row>
    <row r="253" spans="1:6" x14ac:dyDescent="0.35">
      <c r="A253" t="s">
        <v>394</v>
      </c>
      <c r="B253" t="s">
        <v>395</v>
      </c>
      <c r="C253" s="1" t="s">
        <v>391</v>
      </c>
      <c r="D253" s="6">
        <v>0.89600000000000002</v>
      </c>
      <c r="E253" t="s">
        <v>268</v>
      </c>
      <c r="F253">
        <v>47</v>
      </c>
    </row>
    <row r="254" spans="1:6" x14ac:dyDescent="0.35">
      <c r="A254" t="s">
        <v>396</v>
      </c>
      <c r="B254" t="s">
        <v>397</v>
      </c>
      <c r="C254" s="1" t="s">
        <v>398</v>
      </c>
      <c r="F254">
        <v>30</v>
      </c>
    </row>
    <row r="255" spans="1:6" x14ac:dyDescent="0.35">
      <c r="A255" t="s">
        <v>399</v>
      </c>
      <c r="E255" t="s">
        <v>400</v>
      </c>
      <c r="F255">
        <v>38</v>
      </c>
    </row>
    <row r="256" spans="1:6" x14ac:dyDescent="0.35">
      <c r="A256" t="s">
        <v>401</v>
      </c>
      <c r="D256" t="s">
        <v>402</v>
      </c>
      <c r="E256">
        <v>29.85</v>
      </c>
      <c r="F256">
        <v>37</v>
      </c>
    </row>
    <row r="257" spans="1:6" x14ac:dyDescent="0.35">
      <c r="A257" t="s">
        <v>401</v>
      </c>
      <c r="D257" t="s">
        <v>403</v>
      </c>
      <c r="E257">
        <v>49.85</v>
      </c>
      <c r="F257">
        <v>37</v>
      </c>
    </row>
    <row r="258" spans="1:6" x14ac:dyDescent="0.35">
      <c r="A258" t="s">
        <v>404</v>
      </c>
      <c r="D258" t="s">
        <v>405</v>
      </c>
      <c r="E258">
        <v>29.85</v>
      </c>
      <c r="F258">
        <v>37</v>
      </c>
    </row>
    <row r="259" spans="1:6" x14ac:dyDescent="0.35">
      <c r="A259" t="s">
        <v>404</v>
      </c>
      <c r="D259" t="s">
        <v>406</v>
      </c>
      <c r="E259">
        <v>49.85</v>
      </c>
      <c r="F259">
        <v>37</v>
      </c>
    </row>
    <row r="260" spans="1:6" x14ac:dyDescent="0.35">
      <c r="A260" t="s">
        <v>407</v>
      </c>
      <c r="D260" t="s">
        <v>408</v>
      </c>
      <c r="E260">
        <v>29.85</v>
      </c>
      <c r="F260">
        <v>37</v>
      </c>
    </row>
    <row r="261" spans="1:6" x14ac:dyDescent="0.35">
      <c r="A261" t="s">
        <v>407</v>
      </c>
      <c r="D261" t="s">
        <v>409</v>
      </c>
      <c r="E261">
        <v>49.85</v>
      </c>
      <c r="F261">
        <v>37</v>
      </c>
    </row>
    <row r="262" spans="1:6" x14ac:dyDescent="0.35">
      <c r="A262" t="s">
        <v>410</v>
      </c>
      <c r="D262" t="s">
        <v>411</v>
      </c>
      <c r="E262">
        <v>29.85</v>
      </c>
      <c r="F262">
        <v>37</v>
      </c>
    </row>
    <row r="263" spans="1:6" x14ac:dyDescent="0.35">
      <c r="A263" t="s">
        <v>410</v>
      </c>
      <c r="D263" t="s">
        <v>412</v>
      </c>
      <c r="E263">
        <v>49.85</v>
      </c>
      <c r="F263">
        <v>37</v>
      </c>
    </row>
    <row r="264" spans="1:6" x14ac:dyDescent="0.35">
      <c r="A264" t="s">
        <v>413</v>
      </c>
      <c r="D264" t="s">
        <v>414</v>
      </c>
      <c r="E264">
        <v>239</v>
      </c>
      <c r="F264">
        <v>39</v>
      </c>
    </row>
    <row r="265" spans="1:6" x14ac:dyDescent="0.35">
      <c r="A265" t="s">
        <v>413</v>
      </c>
      <c r="D265" t="s">
        <v>415</v>
      </c>
      <c r="E265">
        <v>250</v>
      </c>
      <c r="F265">
        <v>39</v>
      </c>
    </row>
    <row r="266" spans="1:6" x14ac:dyDescent="0.35">
      <c r="A266" t="s">
        <v>413</v>
      </c>
      <c r="D266" t="s">
        <v>416</v>
      </c>
      <c r="E266">
        <v>259</v>
      </c>
      <c r="F266">
        <v>39</v>
      </c>
    </row>
    <row r="267" spans="1:6" x14ac:dyDescent="0.35">
      <c r="A267" t="s">
        <v>413</v>
      </c>
      <c r="D267" t="s">
        <v>417</v>
      </c>
      <c r="E267">
        <v>269</v>
      </c>
      <c r="F267">
        <v>39</v>
      </c>
    </row>
    <row r="268" spans="1:6" x14ac:dyDescent="0.35">
      <c r="A268" t="s">
        <v>413</v>
      </c>
      <c r="D268" t="s">
        <v>418</v>
      </c>
      <c r="E268">
        <v>280</v>
      </c>
      <c r="F268">
        <v>39</v>
      </c>
    </row>
    <row r="269" spans="1:6" x14ac:dyDescent="0.35">
      <c r="A269" t="s">
        <v>413</v>
      </c>
      <c r="D269" t="s">
        <v>419</v>
      </c>
      <c r="E269">
        <v>291</v>
      </c>
      <c r="F269">
        <v>39</v>
      </c>
    </row>
    <row r="270" spans="1:6" x14ac:dyDescent="0.35">
      <c r="A270" s="3" t="s">
        <v>57</v>
      </c>
      <c r="B270" s="3" t="s">
        <v>420</v>
      </c>
      <c r="C270" s="5" t="s">
        <v>324</v>
      </c>
      <c r="D270" s="3"/>
      <c r="E270" s="3"/>
      <c r="F270" s="3">
        <v>10</v>
      </c>
    </row>
    <row r="271" spans="1:6" x14ac:dyDescent="0.35">
      <c r="A271" s="3" t="s">
        <v>57</v>
      </c>
      <c r="B271" s="3" t="s">
        <v>421</v>
      </c>
      <c r="C271" s="5" t="s">
        <v>422</v>
      </c>
      <c r="D271" s="3"/>
      <c r="E271" s="3"/>
      <c r="F271" s="3">
        <v>36</v>
      </c>
    </row>
    <row r="272" spans="1:6" x14ac:dyDescent="0.35">
      <c r="A272" t="s">
        <v>57</v>
      </c>
      <c r="D272" t="s">
        <v>423</v>
      </c>
      <c r="E272">
        <v>20</v>
      </c>
      <c r="F272">
        <v>43</v>
      </c>
    </row>
    <row r="273" spans="1:6" x14ac:dyDescent="0.35">
      <c r="A273" t="s">
        <v>57</v>
      </c>
      <c r="D273">
        <v>55</v>
      </c>
      <c r="E273">
        <v>100</v>
      </c>
      <c r="F273">
        <v>43</v>
      </c>
    </row>
    <row r="274" spans="1:6" x14ac:dyDescent="0.35">
      <c r="A274" t="s">
        <v>424</v>
      </c>
      <c r="B274" t="s">
        <v>425</v>
      </c>
      <c r="C274" s="1" t="s">
        <v>426</v>
      </c>
      <c r="D274" s="6">
        <v>4.8099999999999998E-4</v>
      </c>
      <c r="E274" t="s">
        <v>268</v>
      </c>
      <c r="F274">
        <v>47</v>
      </c>
    </row>
    <row r="275" spans="1:6" x14ac:dyDescent="0.35">
      <c r="A275" t="s">
        <v>57</v>
      </c>
      <c r="B275" t="s">
        <v>427</v>
      </c>
      <c r="C275" s="1" t="s">
        <v>428</v>
      </c>
      <c r="D275">
        <v>7.0000000000000007E-2</v>
      </c>
      <c r="E275">
        <v>25</v>
      </c>
      <c r="F275">
        <v>50</v>
      </c>
    </row>
    <row r="276" spans="1:6" x14ac:dyDescent="0.35">
      <c r="A276" t="s">
        <v>57</v>
      </c>
      <c r="B276" t="s">
        <v>427</v>
      </c>
      <c r="C276" s="1" t="s">
        <v>428</v>
      </c>
      <c r="D276">
        <v>0.14000000000000001</v>
      </c>
      <c r="E276">
        <v>30</v>
      </c>
      <c r="F276">
        <v>50</v>
      </c>
    </row>
    <row r="277" spans="1:6" x14ac:dyDescent="0.35">
      <c r="A277" t="s">
        <v>57</v>
      </c>
      <c r="B277" t="s">
        <v>427</v>
      </c>
      <c r="C277" s="1" t="s">
        <v>428</v>
      </c>
      <c r="D277">
        <v>0.46</v>
      </c>
      <c r="E277">
        <v>40</v>
      </c>
      <c r="F277">
        <v>50</v>
      </c>
    </row>
    <row r="278" spans="1:6" x14ac:dyDescent="0.35">
      <c r="A278" t="s">
        <v>57</v>
      </c>
      <c r="B278" t="s">
        <v>427</v>
      </c>
      <c r="C278" s="1" t="s">
        <v>428</v>
      </c>
      <c r="D278">
        <v>1.4</v>
      </c>
      <c r="E278">
        <v>50</v>
      </c>
      <c r="F278">
        <v>50</v>
      </c>
    </row>
    <row r="279" spans="1:6" x14ac:dyDescent="0.35">
      <c r="A279" t="s">
        <v>57</v>
      </c>
      <c r="B279" t="s">
        <v>427</v>
      </c>
      <c r="C279" s="1" t="s">
        <v>428</v>
      </c>
      <c r="D279">
        <v>3.87</v>
      </c>
      <c r="E279">
        <v>60</v>
      </c>
      <c r="F279">
        <v>50</v>
      </c>
    </row>
    <row r="280" spans="1:6" x14ac:dyDescent="0.35">
      <c r="A280" t="s">
        <v>57</v>
      </c>
      <c r="B280" t="s">
        <v>427</v>
      </c>
      <c r="C280" s="1" t="s">
        <v>428</v>
      </c>
      <c r="D280">
        <v>9.81</v>
      </c>
      <c r="E280">
        <v>70</v>
      </c>
      <c r="F280">
        <v>50</v>
      </c>
    </row>
    <row r="281" spans="1:6" x14ac:dyDescent="0.35">
      <c r="A281" t="s">
        <v>57</v>
      </c>
      <c r="B281" t="s">
        <v>427</v>
      </c>
      <c r="C281" s="1" t="s">
        <v>428</v>
      </c>
      <c r="D281">
        <v>23.13</v>
      </c>
      <c r="E281">
        <v>80</v>
      </c>
      <c r="F281">
        <v>50</v>
      </c>
    </row>
    <row r="282" spans="1:6" x14ac:dyDescent="0.35">
      <c r="A282" t="s">
        <v>57</v>
      </c>
      <c r="B282" t="s">
        <v>427</v>
      </c>
      <c r="C282" s="1" t="s">
        <v>428</v>
      </c>
      <c r="D282">
        <v>51.11</v>
      </c>
      <c r="E282">
        <v>90</v>
      </c>
      <c r="F282">
        <v>50</v>
      </c>
    </row>
    <row r="283" spans="1:6" x14ac:dyDescent="0.35">
      <c r="A283" t="s">
        <v>57</v>
      </c>
      <c r="B283" t="s">
        <v>427</v>
      </c>
      <c r="C283" s="1" t="s">
        <v>428</v>
      </c>
      <c r="D283">
        <v>106.57</v>
      </c>
      <c r="E283">
        <v>100</v>
      </c>
      <c r="F283">
        <v>50</v>
      </c>
    </row>
    <row r="284" spans="1:6" x14ac:dyDescent="0.35">
      <c r="A284" t="s">
        <v>57</v>
      </c>
      <c r="B284" t="s">
        <v>427</v>
      </c>
      <c r="C284" s="1" t="s">
        <v>428</v>
      </c>
      <c r="D284">
        <v>211.01</v>
      </c>
      <c r="E284">
        <v>110</v>
      </c>
      <c r="F284">
        <v>50</v>
      </c>
    </row>
    <row r="285" spans="1:6" x14ac:dyDescent="0.35">
      <c r="A285" t="s">
        <v>57</v>
      </c>
      <c r="B285" t="s">
        <v>427</v>
      </c>
      <c r="C285" s="1" t="s">
        <v>428</v>
      </c>
      <c r="D285">
        <v>398.81</v>
      </c>
      <c r="E285">
        <v>120</v>
      </c>
      <c r="F285">
        <v>50</v>
      </c>
    </row>
    <row r="286" spans="1:6" x14ac:dyDescent="0.35">
      <c r="A286" t="s">
        <v>57</v>
      </c>
      <c r="B286" t="s">
        <v>427</v>
      </c>
      <c r="C286" s="1" t="s">
        <v>428</v>
      </c>
      <c r="D286">
        <v>722.82</v>
      </c>
      <c r="E286">
        <v>130</v>
      </c>
      <c r="F286">
        <v>50</v>
      </c>
    </row>
    <row r="287" spans="1:6" x14ac:dyDescent="0.35">
      <c r="A287" t="s">
        <v>57</v>
      </c>
      <c r="B287" t="s">
        <v>427</v>
      </c>
      <c r="C287" s="1" t="s">
        <v>428</v>
      </c>
      <c r="D287">
        <v>1261.3599999999999</v>
      </c>
      <c r="E287">
        <v>140</v>
      </c>
      <c r="F287">
        <v>50</v>
      </c>
    </row>
    <row r="288" spans="1:6" x14ac:dyDescent="0.35">
      <c r="A288" t="s">
        <v>57</v>
      </c>
      <c r="B288" t="s">
        <v>427</v>
      </c>
      <c r="C288" s="1" t="s">
        <v>428</v>
      </c>
      <c r="D288">
        <v>2126.73</v>
      </c>
      <c r="E288">
        <v>150</v>
      </c>
      <c r="F288">
        <v>50</v>
      </c>
    </row>
    <row r="289" spans="1:6" x14ac:dyDescent="0.35">
      <c r="A289" t="s">
        <v>57</v>
      </c>
      <c r="B289" t="s">
        <v>427</v>
      </c>
      <c r="C289" s="1" t="s">
        <v>428</v>
      </c>
      <c r="D289">
        <v>3475.31</v>
      </c>
      <c r="E289">
        <v>160</v>
      </c>
      <c r="F289">
        <v>50</v>
      </c>
    </row>
    <row r="290" spans="1:6" x14ac:dyDescent="0.35">
      <c r="A290" t="s">
        <v>57</v>
      </c>
      <c r="B290" t="s">
        <v>427</v>
      </c>
      <c r="C290" s="1" t="s">
        <v>428</v>
      </c>
      <c r="D290">
        <v>5519.11</v>
      </c>
      <c r="E290">
        <v>170</v>
      </c>
      <c r="F290">
        <v>50</v>
      </c>
    </row>
    <row r="291" spans="1:6" x14ac:dyDescent="0.35">
      <c r="A291" t="s">
        <v>57</v>
      </c>
      <c r="B291" t="s">
        <v>427</v>
      </c>
      <c r="C291" s="1" t="s">
        <v>428</v>
      </c>
      <c r="D291">
        <v>8538.68</v>
      </c>
      <c r="E291">
        <v>180</v>
      </c>
      <c r="F291">
        <v>50</v>
      </c>
    </row>
    <row r="292" spans="1:6" x14ac:dyDescent="0.35">
      <c r="A292" t="s">
        <v>57</v>
      </c>
      <c r="B292" t="s">
        <v>427</v>
      </c>
      <c r="C292" s="1" t="s">
        <v>428</v>
      </c>
      <c r="D292">
        <v>12897.16</v>
      </c>
      <c r="E292">
        <v>190</v>
      </c>
      <c r="F292">
        <v>50</v>
      </c>
    </row>
    <row r="293" spans="1:6" x14ac:dyDescent="0.35">
      <c r="A293" t="s">
        <v>57</v>
      </c>
      <c r="B293" t="s">
        <v>427</v>
      </c>
      <c r="C293" s="1" t="s">
        <v>428</v>
      </c>
      <c r="D293">
        <v>19055.310000000001</v>
      </c>
      <c r="E293">
        <v>200</v>
      </c>
      <c r="F293">
        <v>50</v>
      </c>
    </row>
    <row r="294" spans="1:6" x14ac:dyDescent="0.35">
      <c r="A294" t="s">
        <v>57</v>
      </c>
      <c r="B294" t="s">
        <v>427</v>
      </c>
      <c r="C294" s="1" t="s">
        <v>428</v>
      </c>
      <c r="D294">
        <v>27587.02</v>
      </c>
      <c r="E294">
        <v>210</v>
      </c>
      <c r="F294">
        <v>50</v>
      </c>
    </row>
    <row r="295" spans="1:6" x14ac:dyDescent="0.35">
      <c r="A295" t="s">
        <v>57</v>
      </c>
      <c r="B295" t="s">
        <v>427</v>
      </c>
      <c r="C295" s="1" t="s">
        <v>428</v>
      </c>
      <c r="D295">
        <v>39195.26</v>
      </c>
      <c r="E295">
        <v>220</v>
      </c>
      <c r="F295">
        <v>50</v>
      </c>
    </row>
    <row r="296" spans="1:6" x14ac:dyDescent="0.35">
      <c r="A296" t="s">
        <v>57</v>
      </c>
      <c r="B296" t="s">
        <v>427</v>
      </c>
      <c r="C296" s="1" t="s">
        <v>428</v>
      </c>
      <c r="D296">
        <v>54727.839999999997</v>
      </c>
      <c r="E296">
        <v>230</v>
      </c>
      <c r="F296">
        <v>50</v>
      </c>
    </row>
    <row r="297" spans="1:6" x14ac:dyDescent="0.35">
      <c r="A297" t="s">
        <v>57</v>
      </c>
      <c r="B297" t="s">
        <v>427</v>
      </c>
      <c r="C297" s="1" t="s">
        <v>428</v>
      </c>
      <c r="D297">
        <v>75192.89</v>
      </c>
      <c r="E297">
        <v>240</v>
      </c>
      <c r="F297">
        <v>50</v>
      </c>
    </row>
    <row r="298" spans="1:6" x14ac:dyDescent="0.35">
      <c r="A298" t="s">
        <v>57</v>
      </c>
      <c r="B298" t="s">
        <v>427</v>
      </c>
      <c r="C298" s="1" t="s">
        <v>428</v>
      </c>
      <c r="D298">
        <v>101773.53</v>
      </c>
      <c r="E298">
        <v>250</v>
      </c>
      <c r="F298">
        <v>50</v>
      </c>
    </row>
    <row r="299" spans="1:6" x14ac:dyDescent="0.35">
      <c r="A299" s="3" t="s">
        <v>429</v>
      </c>
      <c r="B299" s="3" t="s">
        <v>430</v>
      </c>
      <c r="C299" s="5" t="s">
        <v>431</v>
      </c>
      <c r="D299" s="3"/>
      <c r="E299" s="3"/>
      <c r="F299" s="3">
        <v>35</v>
      </c>
    </row>
    <row r="300" spans="1:6" x14ac:dyDescent="0.35">
      <c r="A300" t="s">
        <v>432</v>
      </c>
      <c r="D300" t="s">
        <v>433</v>
      </c>
      <c r="E300">
        <v>29.85</v>
      </c>
      <c r="F300">
        <v>37</v>
      </c>
    </row>
    <row r="301" spans="1:6" x14ac:dyDescent="0.35">
      <c r="A301" t="s">
        <v>432</v>
      </c>
      <c r="D301" t="s">
        <v>434</v>
      </c>
      <c r="E301">
        <v>47.85</v>
      </c>
      <c r="F301">
        <v>37</v>
      </c>
    </row>
    <row r="302" spans="1:6" s="8" customFormat="1" x14ac:dyDescent="0.35">
      <c r="A302" s="3" t="s">
        <v>53</v>
      </c>
      <c r="B302" s="3" t="s">
        <v>435</v>
      </c>
      <c r="C302" s="5" t="s">
        <v>436</v>
      </c>
      <c r="D302" s="3"/>
      <c r="E302" s="3"/>
      <c r="F302" s="3">
        <v>20</v>
      </c>
    </row>
    <row r="303" spans="1:6" x14ac:dyDescent="0.35">
      <c r="A303" s="3" t="s">
        <v>53</v>
      </c>
      <c r="B303" s="3" t="s">
        <v>437</v>
      </c>
      <c r="C303" s="5" t="s">
        <v>438</v>
      </c>
      <c r="D303" s="3"/>
      <c r="E303" s="3"/>
      <c r="F303" s="3">
        <v>40</v>
      </c>
    </row>
    <row r="304" spans="1:6" x14ac:dyDescent="0.35">
      <c r="A304" t="s">
        <v>439</v>
      </c>
      <c r="B304" t="s">
        <v>440</v>
      </c>
      <c r="C304" s="1" t="s">
        <v>441</v>
      </c>
      <c r="D304" s="6">
        <v>36.5</v>
      </c>
      <c r="E304" t="s">
        <v>268</v>
      </c>
      <c r="F304">
        <v>47</v>
      </c>
    </row>
    <row r="305" spans="1:6" x14ac:dyDescent="0.35">
      <c r="A305" s="3" t="s">
        <v>26</v>
      </c>
      <c r="B305" s="3" t="s">
        <v>442</v>
      </c>
      <c r="C305" s="5" t="s">
        <v>443</v>
      </c>
      <c r="D305" s="3"/>
      <c r="E305" s="3"/>
      <c r="F305" s="3">
        <v>27</v>
      </c>
    </row>
    <row r="306" spans="1:6" x14ac:dyDescent="0.35">
      <c r="A306" t="s">
        <v>26</v>
      </c>
      <c r="B306" t="s">
        <v>444</v>
      </c>
      <c r="C306" s="1" t="s">
        <v>445</v>
      </c>
      <c r="D306" s="6">
        <v>1.6299999999999999E-12</v>
      </c>
      <c r="E306" t="s">
        <v>268</v>
      </c>
      <c r="F306">
        <v>47</v>
      </c>
    </row>
    <row r="307" spans="1:6" x14ac:dyDescent="0.35">
      <c r="A307" s="3" t="s">
        <v>446</v>
      </c>
      <c r="B307" s="3" t="s">
        <v>447</v>
      </c>
      <c r="C307" s="5" t="s">
        <v>448</v>
      </c>
      <c r="D307" s="3"/>
      <c r="E307" s="3"/>
      <c r="F307" s="3">
        <v>27</v>
      </c>
    </row>
    <row r="308" spans="1:6" x14ac:dyDescent="0.35">
      <c r="A308" t="s">
        <v>446</v>
      </c>
      <c r="D308" s="6">
        <v>8.0000000000000007E-5</v>
      </c>
      <c r="E308">
        <v>100</v>
      </c>
      <c r="F308">
        <v>15</v>
      </c>
    </row>
    <row r="309" spans="1:6" x14ac:dyDescent="0.35">
      <c r="A309" s="3" t="s">
        <v>446</v>
      </c>
      <c r="B309" s="3" t="s">
        <v>449</v>
      </c>
      <c r="C309" s="5" t="s">
        <v>450</v>
      </c>
      <c r="D309" s="3"/>
      <c r="E309" s="3"/>
      <c r="F309" s="3">
        <v>31</v>
      </c>
    </row>
    <row r="310" spans="1:6" x14ac:dyDescent="0.35">
      <c r="A310" s="3" t="s">
        <v>446</v>
      </c>
      <c r="B310" s="3" t="s">
        <v>451</v>
      </c>
      <c r="C310" s="5" t="s">
        <v>452</v>
      </c>
      <c r="D310" s="3"/>
      <c r="E310" s="3"/>
      <c r="F310" s="3">
        <v>36</v>
      </c>
    </row>
    <row r="311" spans="1:6" x14ac:dyDescent="0.35">
      <c r="A311" t="s">
        <v>446</v>
      </c>
      <c r="D311" t="s">
        <v>453</v>
      </c>
      <c r="E311">
        <v>20</v>
      </c>
      <c r="F311">
        <v>43</v>
      </c>
    </row>
    <row r="312" spans="1:6" x14ac:dyDescent="0.35">
      <c r="A312" t="s">
        <v>446</v>
      </c>
      <c r="D312" s="6">
        <v>8.9999999999999998E-4</v>
      </c>
      <c r="E312">
        <v>100</v>
      </c>
      <c r="F312">
        <v>42</v>
      </c>
    </row>
    <row r="313" spans="1:6" x14ac:dyDescent="0.35">
      <c r="A313" t="s">
        <v>446</v>
      </c>
      <c r="B313" t="s">
        <v>454</v>
      </c>
      <c r="C313" s="1" t="s">
        <v>455</v>
      </c>
      <c r="D313" s="6">
        <v>1.16E-8</v>
      </c>
      <c r="E313" t="s">
        <v>268</v>
      </c>
      <c r="F313">
        <v>47</v>
      </c>
    </row>
    <row r="314" spans="1:6" x14ac:dyDescent="0.35">
      <c r="A314" s="3" t="s">
        <v>456</v>
      </c>
      <c r="B314" s="3" t="s">
        <v>457</v>
      </c>
      <c r="C314" s="5" t="s">
        <v>458</v>
      </c>
      <c r="D314" s="3"/>
      <c r="E314" s="3"/>
      <c r="F314" s="3">
        <v>27</v>
      </c>
    </row>
    <row r="315" spans="1:6" x14ac:dyDescent="0.35">
      <c r="A315" t="s">
        <v>456</v>
      </c>
      <c r="B315" t="s">
        <v>459</v>
      </c>
      <c r="C315" s="1" t="s">
        <v>460</v>
      </c>
      <c r="D315" s="6">
        <v>7.4799999999999997E-7</v>
      </c>
      <c r="E315" t="s">
        <v>268</v>
      </c>
      <c r="F315">
        <v>47</v>
      </c>
    </row>
    <row r="316" spans="1:6" x14ac:dyDescent="0.35">
      <c r="A316" s="3" t="s">
        <v>27</v>
      </c>
      <c r="B316" s="3" t="s">
        <v>461</v>
      </c>
      <c r="C316" s="5" t="s">
        <v>462</v>
      </c>
      <c r="D316" s="3"/>
      <c r="E316" s="3"/>
      <c r="F316" s="3">
        <v>27</v>
      </c>
    </row>
    <row r="317" spans="1:6" x14ac:dyDescent="0.35">
      <c r="A317" t="s">
        <v>27</v>
      </c>
      <c r="B317" t="s">
        <v>463</v>
      </c>
      <c r="C317" s="1" t="s">
        <v>464</v>
      </c>
      <c r="F317">
        <v>29</v>
      </c>
    </row>
    <row r="318" spans="1:6" x14ac:dyDescent="0.35">
      <c r="A318" t="s">
        <v>27</v>
      </c>
      <c r="B318" t="s">
        <v>465</v>
      </c>
      <c r="C318" s="1" t="s">
        <v>466</v>
      </c>
      <c r="F318">
        <v>29</v>
      </c>
    </row>
    <row r="319" spans="1:6" x14ac:dyDescent="0.35">
      <c r="A319" s="3" t="s">
        <v>27</v>
      </c>
      <c r="B319" s="3" t="s">
        <v>467</v>
      </c>
      <c r="C319" s="5" t="s">
        <v>468</v>
      </c>
      <c r="D319" s="3"/>
      <c r="E319" s="3"/>
      <c r="F319" s="3">
        <v>36</v>
      </c>
    </row>
    <row r="320" spans="1:6" x14ac:dyDescent="0.35">
      <c r="A320" t="s">
        <v>27</v>
      </c>
      <c r="D320" t="s">
        <v>469</v>
      </c>
      <c r="E320">
        <v>20</v>
      </c>
      <c r="F320">
        <v>43</v>
      </c>
    </row>
    <row r="321" spans="1:6" x14ac:dyDescent="0.35">
      <c r="A321" t="s">
        <v>27</v>
      </c>
      <c r="D321" s="6">
        <v>9.0000000000000006E-5</v>
      </c>
      <c r="E321">
        <v>100</v>
      </c>
      <c r="F321">
        <v>43</v>
      </c>
    </row>
    <row r="322" spans="1:6" x14ac:dyDescent="0.35">
      <c r="A322" t="s">
        <v>27</v>
      </c>
      <c r="B322" t="s">
        <v>470</v>
      </c>
      <c r="C322" s="1" t="s">
        <v>471</v>
      </c>
      <c r="D322" s="6">
        <v>3.3000000000000002E-9</v>
      </c>
      <c r="E322" t="s">
        <v>268</v>
      </c>
      <c r="F322">
        <v>47</v>
      </c>
    </row>
    <row r="323" spans="1:6" x14ac:dyDescent="0.35">
      <c r="A323" t="s">
        <v>27</v>
      </c>
      <c r="B323" t="s">
        <v>472</v>
      </c>
      <c r="F323">
        <v>51</v>
      </c>
    </row>
    <row r="324" spans="1:6" x14ac:dyDescent="0.35">
      <c r="A324" s="3" t="s">
        <v>473</v>
      </c>
      <c r="B324" s="3" t="s">
        <v>474</v>
      </c>
      <c r="C324" s="5" t="s">
        <v>475</v>
      </c>
      <c r="D324" s="3"/>
      <c r="E324" s="3"/>
      <c r="F324" s="3">
        <v>35</v>
      </c>
    </row>
    <row r="325" spans="1:6" x14ac:dyDescent="0.35">
      <c r="A325" t="s">
        <v>476</v>
      </c>
      <c r="B325" t="s">
        <v>477</v>
      </c>
      <c r="C325" s="1" t="s">
        <v>398</v>
      </c>
      <c r="F325">
        <v>30</v>
      </c>
    </row>
    <row r="326" spans="1:6" x14ac:dyDescent="0.35">
      <c r="A326" t="s">
        <v>476</v>
      </c>
      <c r="B326" t="s">
        <v>478</v>
      </c>
      <c r="C326" s="1" t="s">
        <v>479</v>
      </c>
      <c r="D326" s="6">
        <v>1.8599999999999999E-15</v>
      </c>
      <c r="E326" t="s">
        <v>268</v>
      </c>
      <c r="F326">
        <v>47</v>
      </c>
    </row>
    <row r="327" spans="1:6" x14ac:dyDescent="0.35">
      <c r="A327" t="s">
        <v>480</v>
      </c>
      <c r="D327" t="s">
        <v>481</v>
      </c>
      <c r="E327">
        <v>29.85</v>
      </c>
      <c r="F327">
        <v>37</v>
      </c>
    </row>
    <row r="328" spans="1:6" x14ac:dyDescent="0.35">
      <c r="A328" t="s">
        <v>480</v>
      </c>
      <c r="D328" t="s">
        <v>482</v>
      </c>
      <c r="E328">
        <v>47.85</v>
      </c>
      <c r="F328">
        <v>37</v>
      </c>
    </row>
    <row r="329" spans="1:6" x14ac:dyDescent="0.35">
      <c r="A329" s="3" t="s">
        <v>480</v>
      </c>
      <c r="B329" s="3" t="s">
        <v>483</v>
      </c>
      <c r="C329" s="5">
        <v>22251</v>
      </c>
      <c r="D329" s="3"/>
      <c r="E329" s="3"/>
      <c r="F329" s="3">
        <v>41</v>
      </c>
    </row>
    <row r="330" spans="1:6" x14ac:dyDescent="0.35">
      <c r="A330" s="3" t="s">
        <v>480</v>
      </c>
      <c r="B330" s="3" t="s">
        <v>484</v>
      </c>
      <c r="C330" s="5"/>
      <c r="D330" s="3" t="s">
        <v>485</v>
      </c>
      <c r="E330" s="3">
        <v>12</v>
      </c>
      <c r="F330" s="3">
        <v>43</v>
      </c>
    </row>
    <row r="331" spans="1:6" x14ac:dyDescent="0.35">
      <c r="A331" s="3" t="s">
        <v>480</v>
      </c>
      <c r="B331" s="3" t="s">
        <v>484</v>
      </c>
      <c r="C331" s="5"/>
      <c r="D331" s="3" t="s">
        <v>486</v>
      </c>
      <c r="E331" s="3">
        <v>22</v>
      </c>
      <c r="F331" s="3">
        <v>43</v>
      </c>
    </row>
    <row r="332" spans="1:6" x14ac:dyDescent="0.35">
      <c r="A332" s="3" t="s">
        <v>480</v>
      </c>
      <c r="B332" s="3" t="s">
        <v>484</v>
      </c>
      <c r="C332" s="5"/>
      <c r="D332" s="3" t="s">
        <v>487</v>
      </c>
      <c r="E332" s="3">
        <v>25</v>
      </c>
      <c r="F332" s="3">
        <v>43</v>
      </c>
    </row>
    <row r="333" spans="1:6" x14ac:dyDescent="0.35">
      <c r="A333" s="3" t="s">
        <v>480</v>
      </c>
      <c r="B333" s="3" t="s">
        <v>484</v>
      </c>
      <c r="C333" s="5"/>
      <c r="D333" s="3" t="s">
        <v>488</v>
      </c>
      <c r="E333" s="3">
        <v>32</v>
      </c>
      <c r="F333" s="3">
        <v>43</v>
      </c>
    </row>
    <row r="334" spans="1:6" x14ac:dyDescent="0.35">
      <c r="A334" s="3" t="s">
        <v>480</v>
      </c>
      <c r="B334" s="3" t="s">
        <v>484</v>
      </c>
      <c r="C334" s="5"/>
      <c r="D334" s="3" t="s">
        <v>489</v>
      </c>
      <c r="E334" s="3">
        <v>42</v>
      </c>
      <c r="F334" s="3">
        <v>43</v>
      </c>
    </row>
    <row r="335" spans="1:6" x14ac:dyDescent="0.35">
      <c r="A335" s="3" t="s">
        <v>480</v>
      </c>
      <c r="B335" s="3" t="s">
        <v>484</v>
      </c>
      <c r="C335" s="5"/>
      <c r="D335" s="3" t="s">
        <v>490</v>
      </c>
      <c r="E335" s="3">
        <v>52</v>
      </c>
      <c r="F335" s="3">
        <v>43</v>
      </c>
    </row>
    <row r="336" spans="1:6" x14ac:dyDescent="0.35">
      <c r="A336" s="3" t="s">
        <v>480</v>
      </c>
      <c r="B336" s="3" t="s">
        <v>484</v>
      </c>
      <c r="C336" s="5"/>
      <c r="D336" s="3" t="s">
        <v>491</v>
      </c>
      <c r="E336" s="3">
        <v>58</v>
      </c>
      <c r="F336" s="3">
        <v>43</v>
      </c>
    </row>
    <row r="337" spans="1:6" x14ac:dyDescent="0.35">
      <c r="A337" s="3" t="s">
        <v>480</v>
      </c>
      <c r="B337" s="3" t="s">
        <v>484</v>
      </c>
      <c r="C337" s="5"/>
      <c r="D337" s="3" t="s">
        <v>492</v>
      </c>
      <c r="E337" s="3">
        <v>20</v>
      </c>
      <c r="F337" s="3">
        <v>43</v>
      </c>
    </row>
    <row r="338" spans="1:6" x14ac:dyDescent="0.35">
      <c r="A338" s="3" t="s">
        <v>480</v>
      </c>
      <c r="B338" s="3" t="s">
        <v>484</v>
      </c>
      <c r="C338" s="5"/>
      <c r="D338" s="3" t="s">
        <v>493</v>
      </c>
      <c r="E338" s="3">
        <v>100</v>
      </c>
      <c r="F338" s="3">
        <v>43</v>
      </c>
    </row>
    <row r="339" spans="1:6" x14ac:dyDescent="0.35">
      <c r="A339" t="s">
        <v>480</v>
      </c>
      <c r="B339" t="s">
        <v>494</v>
      </c>
      <c r="D339" t="s">
        <v>495</v>
      </c>
      <c r="E339">
        <v>15</v>
      </c>
      <c r="F339">
        <v>44</v>
      </c>
    </row>
    <row r="340" spans="1:6" x14ac:dyDescent="0.35">
      <c r="A340" t="s">
        <v>480</v>
      </c>
      <c r="B340" t="s">
        <v>494</v>
      </c>
      <c r="D340" t="s">
        <v>496</v>
      </c>
      <c r="E340">
        <v>25</v>
      </c>
      <c r="F340">
        <v>44</v>
      </c>
    </row>
    <row r="341" spans="1:6" x14ac:dyDescent="0.35">
      <c r="A341" t="s">
        <v>480</v>
      </c>
      <c r="B341" t="s">
        <v>494</v>
      </c>
      <c r="D341" t="s">
        <v>497</v>
      </c>
      <c r="E341">
        <v>30</v>
      </c>
      <c r="F341">
        <v>44</v>
      </c>
    </row>
    <row r="342" spans="1:6" x14ac:dyDescent="0.35">
      <c r="A342" t="s">
        <v>480</v>
      </c>
      <c r="B342" t="s">
        <v>494</v>
      </c>
      <c r="D342" t="s">
        <v>498</v>
      </c>
      <c r="E342">
        <v>35</v>
      </c>
      <c r="F342">
        <v>44</v>
      </c>
    </row>
    <row r="343" spans="1:6" x14ac:dyDescent="0.35">
      <c r="A343" t="s">
        <v>480</v>
      </c>
      <c r="B343" t="s">
        <v>494</v>
      </c>
      <c r="D343" t="s">
        <v>499</v>
      </c>
      <c r="E343">
        <v>40</v>
      </c>
      <c r="F343">
        <v>44</v>
      </c>
    </row>
    <row r="344" spans="1:6" x14ac:dyDescent="0.35">
      <c r="A344" t="s">
        <v>480</v>
      </c>
      <c r="B344" t="s">
        <v>494</v>
      </c>
      <c r="D344" t="s">
        <v>500</v>
      </c>
      <c r="E344">
        <v>45</v>
      </c>
      <c r="F344">
        <v>44</v>
      </c>
    </row>
    <row r="345" spans="1:6" x14ac:dyDescent="0.35">
      <c r="A345" t="s">
        <v>480</v>
      </c>
      <c r="B345" t="s">
        <v>494</v>
      </c>
      <c r="D345" t="s">
        <v>501</v>
      </c>
      <c r="E345">
        <v>50</v>
      </c>
      <c r="F345">
        <v>44</v>
      </c>
    </row>
    <row r="346" spans="1:6" x14ac:dyDescent="0.35">
      <c r="A346" s="3" t="s">
        <v>480</v>
      </c>
      <c r="B346" s="3" t="s">
        <v>502</v>
      </c>
      <c r="C346" s="5"/>
      <c r="D346" s="3" t="s">
        <v>503</v>
      </c>
      <c r="E346" s="3">
        <v>40.75</v>
      </c>
      <c r="F346" s="3">
        <v>45</v>
      </c>
    </row>
    <row r="347" spans="1:6" x14ac:dyDescent="0.35">
      <c r="A347" s="3" t="s">
        <v>480</v>
      </c>
      <c r="B347" s="3" t="s">
        <v>502</v>
      </c>
      <c r="C347" s="5"/>
      <c r="D347" s="3" t="s">
        <v>504</v>
      </c>
      <c r="E347" s="3">
        <v>40.85</v>
      </c>
      <c r="F347" s="3">
        <v>45</v>
      </c>
    </row>
    <row r="348" spans="1:6" x14ac:dyDescent="0.35">
      <c r="A348" s="3" t="s">
        <v>480</v>
      </c>
      <c r="B348" s="3" t="s">
        <v>502</v>
      </c>
      <c r="C348" s="5"/>
      <c r="D348" s="3" t="s">
        <v>505</v>
      </c>
      <c r="E348" s="3">
        <v>46.35</v>
      </c>
      <c r="F348" s="3">
        <v>45</v>
      </c>
    </row>
    <row r="349" spans="1:6" x14ac:dyDescent="0.35">
      <c r="A349" s="3" t="s">
        <v>480</v>
      </c>
      <c r="B349" s="3" t="s">
        <v>502</v>
      </c>
      <c r="C349" s="5"/>
      <c r="D349" s="3" t="s">
        <v>506</v>
      </c>
      <c r="E349" s="3">
        <v>46.45</v>
      </c>
      <c r="F349" s="3">
        <v>45</v>
      </c>
    </row>
    <row r="350" spans="1:6" x14ac:dyDescent="0.35">
      <c r="A350" s="3" t="s">
        <v>480</v>
      </c>
      <c r="B350" s="3" t="s">
        <v>502</v>
      </c>
      <c r="C350" s="5"/>
      <c r="D350" s="3" t="s">
        <v>507</v>
      </c>
      <c r="E350" s="3">
        <v>46.95</v>
      </c>
      <c r="F350" s="3">
        <v>45</v>
      </c>
    </row>
    <row r="351" spans="1:6" x14ac:dyDescent="0.35">
      <c r="A351" s="3" t="s">
        <v>480</v>
      </c>
      <c r="B351" s="3" t="s">
        <v>502</v>
      </c>
      <c r="C351" s="5"/>
      <c r="D351" s="3" t="s">
        <v>508</v>
      </c>
      <c r="E351" s="3">
        <v>49.75</v>
      </c>
      <c r="F351" s="3">
        <v>45</v>
      </c>
    </row>
    <row r="352" spans="1:6" x14ac:dyDescent="0.35">
      <c r="A352" s="3" t="s">
        <v>480</v>
      </c>
      <c r="B352" s="3" t="s">
        <v>502</v>
      </c>
      <c r="C352" s="5"/>
      <c r="D352" s="3" t="s">
        <v>509</v>
      </c>
      <c r="E352" s="3">
        <v>49.85</v>
      </c>
      <c r="F352" s="3">
        <v>45</v>
      </c>
    </row>
    <row r="353" spans="1:6" x14ac:dyDescent="0.35">
      <c r="A353" s="3" t="s">
        <v>480</v>
      </c>
      <c r="B353" s="3" t="s">
        <v>502</v>
      </c>
      <c r="C353" s="5"/>
      <c r="D353" s="3" t="s">
        <v>510</v>
      </c>
      <c r="E353" s="3">
        <v>59.25</v>
      </c>
      <c r="F353" s="3">
        <v>45</v>
      </c>
    </row>
    <row r="354" spans="1:6" x14ac:dyDescent="0.35">
      <c r="A354" s="3" t="s">
        <v>480</v>
      </c>
      <c r="B354" s="3" t="s">
        <v>502</v>
      </c>
      <c r="C354" s="5"/>
      <c r="D354" s="3" t="s">
        <v>511</v>
      </c>
      <c r="E354" s="3">
        <v>59.35</v>
      </c>
      <c r="F354" s="3">
        <v>45</v>
      </c>
    </row>
    <row r="355" spans="1:6" x14ac:dyDescent="0.35">
      <c r="A355" t="s">
        <v>480</v>
      </c>
      <c r="B355" t="s">
        <v>512</v>
      </c>
      <c r="F355">
        <v>46</v>
      </c>
    </row>
    <row r="356" spans="1:6" x14ac:dyDescent="0.35">
      <c r="A356" t="s">
        <v>480</v>
      </c>
      <c r="B356" t="s">
        <v>512</v>
      </c>
      <c r="D356" t="s">
        <v>513</v>
      </c>
      <c r="E356">
        <v>-3.3</v>
      </c>
      <c r="F356">
        <v>46</v>
      </c>
    </row>
    <row r="357" spans="1:6" x14ac:dyDescent="0.35">
      <c r="A357" t="s">
        <v>480</v>
      </c>
      <c r="B357" t="s">
        <v>512</v>
      </c>
      <c r="D357" t="s">
        <v>514</v>
      </c>
      <c r="E357">
        <v>-1.7</v>
      </c>
      <c r="F357">
        <v>46</v>
      </c>
    </row>
    <row r="358" spans="1:6" x14ac:dyDescent="0.35">
      <c r="A358" t="s">
        <v>480</v>
      </c>
      <c r="B358" t="s">
        <v>512</v>
      </c>
      <c r="D358" t="s">
        <v>515</v>
      </c>
      <c r="E358">
        <v>2.5</v>
      </c>
      <c r="F358">
        <v>46</v>
      </c>
    </row>
    <row r="359" spans="1:6" x14ac:dyDescent="0.35">
      <c r="A359" t="s">
        <v>480</v>
      </c>
      <c r="B359" t="s">
        <v>512</v>
      </c>
      <c r="D359" t="s">
        <v>516</v>
      </c>
      <c r="E359">
        <v>2.7</v>
      </c>
      <c r="F359">
        <v>46</v>
      </c>
    </row>
    <row r="360" spans="1:6" x14ac:dyDescent="0.35">
      <c r="A360" t="s">
        <v>480</v>
      </c>
      <c r="B360" t="s">
        <v>512</v>
      </c>
      <c r="D360" t="s">
        <v>517</v>
      </c>
      <c r="E360">
        <v>4</v>
      </c>
      <c r="F360">
        <v>46</v>
      </c>
    </row>
    <row r="361" spans="1:6" x14ac:dyDescent="0.35">
      <c r="A361" t="s">
        <v>480</v>
      </c>
      <c r="B361" t="s">
        <v>512</v>
      </c>
      <c r="D361" t="s">
        <v>518</v>
      </c>
      <c r="E361">
        <v>4.0999999999999996</v>
      </c>
      <c r="F361">
        <v>46</v>
      </c>
    </row>
    <row r="362" spans="1:6" x14ac:dyDescent="0.35">
      <c r="A362" t="s">
        <v>480</v>
      </c>
      <c r="B362" t="s">
        <v>512</v>
      </c>
      <c r="D362" t="s">
        <v>519</v>
      </c>
      <c r="E362">
        <v>4.2</v>
      </c>
      <c r="F362">
        <v>46</v>
      </c>
    </row>
    <row r="363" spans="1:6" x14ac:dyDescent="0.35">
      <c r="A363" t="s">
        <v>480</v>
      </c>
      <c r="B363" t="s">
        <v>512</v>
      </c>
      <c r="D363" t="s">
        <v>520</v>
      </c>
      <c r="E363">
        <v>5.9</v>
      </c>
      <c r="F363">
        <v>46</v>
      </c>
    </row>
    <row r="364" spans="1:6" x14ac:dyDescent="0.35">
      <c r="A364" t="s">
        <v>480</v>
      </c>
      <c r="B364" t="s">
        <v>512</v>
      </c>
      <c r="D364" t="s">
        <v>521</v>
      </c>
      <c r="E364">
        <v>6</v>
      </c>
      <c r="F364">
        <v>46</v>
      </c>
    </row>
    <row r="365" spans="1:6" x14ac:dyDescent="0.35">
      <c r="A365" t="s">
        <v>480</v>
      </c>
      <c r="B365" t="s">
        <v>512</v>
      </c>
      <c r="D365" t="s">
        <v>522</v>
      </c>
      <c r="E365">
        <v>6.1</v>
      </c>
      <c r="F365">
        <v>46</v>
      </c>
    </row>
    <row r="366" spans="1:6" x14ac:dyDescent="0.35">
      <c r="A366" t="s">
        <v>480</v>
      </c>
      <c r="B366" t="s">
        <v>512</v>
      </c>
      <c r="D366" t="s">
        <v>523</v>
      </c>
      <c r="E366">
        <v>10.3</v>
      </c>
      <c r="F366">
        <v>46</v>
      </c>
    </row>
    <row r="367" spans="1:6" x14ac:dyDescent="0.35">
      <c r="A367" t="s">
        <v>480</v>
      </c>
      <c r="B367" t="s">
        <v>512</v>
      </c>
      <c r="D367" t="s">
        <v>524</v>
      </c>
      <c r="E367">
        <v>10.5</v>
      </c>
      <c r="F367">
        <v>46</v>
      </c>
    </row>
    <row r="368" spans="1:6" x14ac:dyDescent="0.35">
      <c r="A368" t="s">
        <v>480</v>
      </c>
      <c r="B368" t="s">
        <v>512</v>
      </c>
      <c r="D368" t="s">
        <v>525</v>
      </c>
      <c r="E368">
        <v>10.9</v>
      </c>
      <c r="F368">
        <v>46</v>
      </c>
    </row>
    <row r="369" spans="1:6" x14ac:dyDescent="0.35">
      <c r="A369" t="s">
        <v>480</v>
      </c>
      <c r="B369" t="s">
        <v>512</v>
      </c>
      <c r="D369" t="s">
        <v>526</v>
      </c>
      <c r="E369">
        <v>11</v>
      </c>
      <c r="F369">
        <v>46</v>
      </c>
    </row>
    <row r="370" spans="1:6" x14ac:dyDescent="0.35">
      <c r="A370" t="s">
        <v>480</v>
      </c>
      <c r="B370" t="s">
        <v>512</v>
      </c>
      <c r="D370" t="s">
        <v>527</v>
      </c>
      <c r="E370">
        <v>11.1</v>
      </c>
      <c r="F370">
        <v>46</v>
      </c>
    </row>
    <row r="371" spans="1:6" x14ac:dyDescent="0.35">
      <c r="A371" t="s">
        <v>480</v>
      </c>
      <c r="B371" t="s">
        <v>512</v>
      </c>
      <c r="D371" t="s">
        <v>528</v>
      </c>
      <c r="E371">
        <v>15</v>
      </c>
      <c r="F371">
        <v>46</v>
      </c>
    </row>
    <row r="372" spans="1:6" x14ac:dyDescent="0.35">
      <c r="A372" t="s">
        <v>480</v>
      </c>
      <c r="B372" t="s">
        <v>512</v>
      </c>
      <c r="D372" t="s">
        <v>529</v>
      </c>
      <c r="E372">
        <v>15.3</v>
      </c>
      <c r="F372">
        <v>46</v>
      </c>
    </row>
    <row r="373" spans="1:6" x14ac:dyDescent="0.35">
      <c r="A373" t="s">
        <v>480</v>
      </c>
      <c r="B373" t="s">
        <v>512</v>
      </c>
      <c r="D373" t="s">
        <v>530</v>
      </c>
      <c r="E373">
        <v>19.600000000000001</v>
      </c>
      <c r="F373">
        <v>46</v>
      </c>
    </row>
    <row r="374" spans="1:6" x14ac:dyDescent="0.35">
      <c r="A374" t="s">
        <v>480</v>
      </c>
      <c r="B374" t="s">
        <v>512</v>
      </c>
      <c r="D374" t="s">
        <v>531</v>
      </c>
      <c r="E374">
        <v>19.7</v>
      </c>
      <c r="F374">
        <v>46</v>
      </c>
    </row>
    <row r="375" spans="1:6" x14ac:dyDescent="0.35">
      <c r="A375" t="s">
        <v>480</v>
      </c>
      <c r="B375" t="s">
        <v>512</v>
      </c>
      <c r="D375" t="s">
        <v>532</v>
      </c>
      <c r="E375">
        <v>21.8</v>
      </c>
      <c r="F375">
        <v>46</v>
      </c>
    </row>
    <row r="376" spans="1:6" x14ac:dyDescent="0.35">
      <c r="A376" t="s">
        <v>480</v>
      </c>
      <c r="B376" t="s">
        <v>512</v>
      </c>
      <c r="D376" t="s">
        <v>533</v>
      </c>
      <c r="E376">
        <v>28.9</v>
      </c>
      <c r="F376">
        <v>46</v>
      </c>
    </row>
    <row r="377" spans="1:6" x14ac:dyDescent="0.35">
      <c r="A377" t="s">
        <v>480</v>
      </c>
      <c r="B377" t="s">
        <v>512</v>
      </c>
      <c r="D377" t="s">
        <v>534</v>
      </c>
      <c r="E377">
        <v>29.1</v>
      </c>
      <c r="F377">
        <v>46</v>
      </c>
    </row>
    <row r="378" spans="1:6" x14ac:dyDescent="0.35">
      <c r="A378" t="s">
        <v>480</v>
      </c>
      <c r="B378" t="s">
        <v>512</v>
      </c>
      <c r="D378" t="s">
        <v>535</v>
      </c>
      <c r="E378">
        <v>33.299999999999997</v>
      </c>
      <c r="F378">
        <v>46</v>
      </c>
    </row>
    <row r="379" spans="1:6" x14ac:dyDescent="0.35">
      <c r="A379" t="s">
        <v>480</v>
      </c>
      <c r="B379" t="s">
        <v>512</v>
      </c>
      <c r="D379" t="s">
        <v>536</v>
      </c>
      <c r="E379">
        <v>33.799999999999997</v>
      </c>
      <c r="F379">
        <v>46</v>
      </c>
    </row>
    <row r="380" spans="1:6" x14ac:dyDescent="0.35">
      <c r="A380" t="s">
        <v>480</v>
      </c>
      <c r="B380" t="s">
        <v>537</v>
      </c>
      <c r="C380" s="1" t="s">
        <v>538</v>
      </c>
      <c r="D380" s="6">
        <v>4.65E-2</v>
      </c>
      <c r="E380" t="s">
        <v>268</v>
      </c>
      <c r="F380">
        <v>47</v>
      </c>
    </row>
    <row r="381" spans="1:6" x14ac:dyDescent="0.35">
      <c r="A381" t="s">
        <v>480</v>
      </c>
      <c r="D381">
        <v>4.33</v>
      </c>
      <c r="E381" t="s">
        <v>539</v>
      </c>
      <c r="F381">
        <v>48</v>
      </c>
    </row>
    <row r="382" spans="1:6" x14ac:dyDescent="0.35">
      <c r="A382" t="s">
        <v>480</v>
      </c>
      <c r="D382">
        <v>2.56</v>
      </c>
      <c r="E382" t="s">
        <v>539</v>
      </c>
      <c r="F382">
        <v>48</v>
      </c>
    </row>
    <row r="383" spans="1:6" x14ac:dyDescent="0.35">
      <c r="A383" s="3" t="s">
        <v>540</v>
      </c>
      <c r="B383" s="3" t="s">
        <v>541</v>
      </c>
      <c r="C383" s="5" t="s">
        <v>542</v>
      </c>
      <c r="D383" s="3"/>
      <c r="E383" s="3"/>
      <c r="F383" s="3">
        <v>27</v>
      </c>
    </row>
    <row r="384" spans="1:6" x14ac:dyDescent="0.35">
      <c r="A384" s="2" t="s">
        <v>540</v>
      </c>
      <c r="B384" s="2" t="s">
        <v>543</v>
      </c>
      <c r="C384" s="9" t="s">
        <v>544</v>
      </c>
      <c r="D384" s="2"/>
      <c r="E384" s="2"/>
      <c r="F384" s="2">
        <v>8</v>
      </c>
    </row>
    <row r="385" spans="1:6" x14ac:dyDescent="0.35">
      <c r="A385" t="s">
        <v>545</v>
      </c>
      <c r="B385" t="s">
        <v>546</v>
      </c>
      <c r="C385" s="1" t="s">
        <v>547</v>
      </c>
      <c r="D385" s="6">
        <v>6.1499999999999996E-9</v>
      </c>
      <c r="E385" t="s">
        <v>268</v>
      </c>
      <c r="F385">
        <v>47</v>
      </c>
    </row>
    <row r="386" spans="1:6" x14ac:dyDescent="0.35">
      <c r="A386" s="3" t="s">
        <v>548</v>
      </c>
      <c r="B386" s="3" t="s">
        <v>549</v>
      </c>
      <c r="C386" s="5" t="s">
        <v>550</v>
      </c>
      <c r="D386" s="3"/>
      <c r="E386" s="3"/>
      <c r="F386" s="3">
        <v>35</v>
      </c>
    </row>
    <row r="387" spans="1:6" x14ac:dyDescent="0.35">
      <c r="A387" s="3" t="s">
        <v>551</v>
      </c>
      <c r="B387" s="3" t="s">
        <v>552</v>
      </c>
      <c r="C387" s="5" t="s">
        <v>553</v>
      </c>
      <c r="D387" s="3"/>
      <c r="E387" s="3"/>
      <c r="F387" s="3">
        <v>35</v>
      </c>
    </row>
    <row r="388" spans="1:6" x14ac:dyDescent="0.35">
      <c r="A388" s="3" t="s">
        <v>554</v>
      </c>
      <c r="B388" s="3" t="s">
        <v>555</v>
      </c>
      <c r="C388" s="5" t="s">
        <v>556</v>
      </c>
      <c r="D388" s="3"/>
      <c r="E388" s="3"/>
      <c r="F388" s="3">
        <v>35</v>
      </c>
    </row>
    <row r="389" spans="1:6" x14ac:dyDescent="0.35">
      <c r="A389" s="3" t="s">
        <v>557</v>
      </c>
      <c r="B389" s="3" t="s">
        <v>558</v>
      </c>
      <c r="C389" s="5" t="s">
        <v>559</v>
      </c>
      <c r="D389" s="3"/>
      <c r="E389" s="3"/>
      <c r="F389" s="3">
        <v>27</v>
      </c>
    </row>
    <row r="390" spans="1:6" x14ac:dyDescent="0.35">
      <c r="A390" s="3" t="s">
        <v>35</v>
      </c>
      <c r="B390" s="3" t="s">
        <v>560</v>
      </c>
      <c r="C390" s="5" t="s">
        <v>561</v>
      </c>
      <c r="D390" s="3"/>
      <c r="E390" s="3"/>
      <c r="F390" s="3">
        <v>27</v>
      </c>
    </row>
    <row r="391" spans="1:6" x14ac:dyDescent="0.35">
      <c r="A391" s="3" t="s">
        <v>35</v>
      </c>
      <c r="B391" s="3" t="s">
        <v>562</v>
      </c>
      <c r="C391" s="5" t="s">
        <v>563</v>
      </c>
      <c r="D391" s="3"/>
      <c r="E391" s="3"/>
      <c r="F391" s="3">
        <v>28</v>
      </c>
    </row>
    <row r="392" spans="1:6" x14ac:dyDescent="0.35">
      <c r="A392" s="3" t="s">
        <v>35</v>
      </c>
      <c r="B392" s="3" t="s">
        <v>564</v>
      </c>
      <c r="C392" s="5" t="s">
        <v>452</v>
      </c>
      <c r="D392" s="3"/>
      <c r="E392" s="3"/>
      <c r="F392" s="3">
        <v>36</v>
      </c>
    </row>
    <row r="393" spans="1:6" x14ac:dyDescent="0.35">
      <c r="A393" s="3" t="s">
        <v>35</v>
      </c>
      <c r="B393" s="3" t="s">
        <v>565</v>
      </c>
      <c r="C393" s="5" t="s">
        <v>566</v>
      </c>
      <c r="D393" s="3"/>
      <c r="E393" s="3"/>
      <c r="F393" s="3">
        <v>36</v>
      </c>
    </row>
    <row r="394" spans="1:6" x14ac:dyDescent="0.35">
      <c r="A394" t="s">
        <v>35</v>
      </c>
      <c r="D394" t="s">
        <v>567</v>
      </c>
      <c r="E394">
        <v>12</v>
      </c>
      <c r="F394">
        <v>43</v>
      </c>
    </row>
    <row r="395" spans="1:6" x14ac:dyDescent="0.35">
      <c r="A395" t="s">
        <v>35</v>
      </c>
      <c r="D395" t="s">
        <v>568</v>
      </c>
      <c r="E395">
        <v>21.5</v>
      </c>
      <c r="F395">
        <v>43</v>
      </c>
    </row>
    <row r="396" spans="1:6" x14ac:dyDescent="0.35">
      <c r="A396" t="s">
        <v>35</v>
      </c>
      <c r="D396" t="s">
        <v>569</v>
      </c>
      <c r="E396">
        <v>25</v>
      </c>
      <c r="F396">
        <v>43</v>
      </c>
    </row>
    <row r="397" spans="1:6" x14ac:dyDescent="0.35">
      <c r="A397" t="s">
        <v>35</v>
      </c>
      <c r="D397" t="s">
        <v>570</v>
      </c>
      <c r="E397">
        <v>30</v>
      </c>
      <c r="F397">
        <v>43</v>
      </c>
    </row>
    <row r="398" spans="1:6" x14ac:dyDescent="0.35">
      <c r="A398" t="s">
        <v>35</v>
      </c>
      <c r="D398" t="s">
        <v>571</v>
      </c>
      <c r="E398">
        <v>35</v>
      </c>
      <c r="F398">
        <v>43</v>
      </c>
    </row>
    <row r="399" spans="1:6" x14ac:dyDescent="0.35">
      <c r="A399" t="s">
        <v>35</v>
      </c>
      <c r="D399" t="s">
        <v>572</v>
      </c>
      <c r="E399">
        <v>40</v>
      </c>
      <c r="F399">
        <v>43</v>
      </c>
    </row>
    <row r="400" spans="1:6" x14ac:dyDescent="0.35">
      <c r="A400" t="s">
        <v>35</v>
      </c>
      <c r="D400" t="s">
        <v>573</v>
      </c>
      <c r="E400">
        <v>45</v>
      </c>
      <c r="F400">
        <v>43</v>
      </c>
    </row>
    <row r="401" spans="1:6" x14ac:dyDescent="0.35">
      <c r="A401" t="s">
        <v>35</v>
      </c>
      <c r="D401" t="s">
        <v>574</v>
      </c>
      <c r="E401">
        <v>20</v>
      </c>
      <c r="F401">
        <v>43</v>
      </c>
    </row>
    <row r="402" spans="1:6" x14ac:dyDescent="0.35">
      <c r="A402" t="s">
        <v>35</v>
      </c>
      <c r="D402" t="s">
        <v>575</v>
      </c>
      <c r="E402">
        <v>100</v>
      </c>
      <c r="F402">
        <v>43</v>
      </c>
    </row>
    <row r="403" spans="1:6" x14ac:dyDescent="0.35">
      <c r="A403" t="s">
        <v>35</v>
      </c>
      <c r="D403" t="s">
        <v>576</v>
      </c>
      <c r="E403">
        <v>15</v>
      </c>
      <c r="F403">
        <v>44</v>
      </c>
    </row>
    <row r="404" spans="1:6" x14ac:dyDescent="0.35">
      <c r="A404" t="s">
        <v>35</v>
      </c>
      <c r="D404" t="s">
        <v>577</v>
      </c>
      <c r="E404">
        <v>25</v>
      </c>
      <c r="F404">
        <v>44</v>
      </c>
    </row>
    <row r="405" spans="1:6" x14ac:dyDescent="0.35">
      <c r="A405" t="s">
        <v>35</v>
      </c>
      <c r="D405" t="s">
        <v>578</v>
      </c>
      <c r="E405">
        <v>35</v>
      </c>
      <c r="F405">
        <v>44</v>
      </c>
    </row>
    <row r="406" spans="1:6" x14ac:dyDescent="0.35">
      <c r="A406" t="s">
        <v>35</v>
      </c>
      <c r="D406" t="s">
        <v>579</v>
      </c>
      <c r="E406">
        <v>40</v>
      </c>
      <c r="F406">
        <v>44</v>
      </c>
    </row>
    <row r="407" spans="1:6" x14ac:dyDescent="0.35">
      <c r="A407" t="s">
        <v>35</v>
      </c>
      <c r="D407" t="s">
        <v>580</v>
      </c>
      <c r="E407">
        <v>45</v>
      </c>
      <c r="F407">
        <v>44</v>
      </c>
    </row>
    <row r="408" spans="1:6" x14ac:dyDescent="0.35">
      <c r="A408" t="s">
        <v>35</v>
      </c>
      <c r="D408" t="s">
        <v>581</v>
      </c>
      <c r="E408">
        <v>50</v>
      </c>
      <c r="F408">
        <v>44</v>
      </c>
    </row>
    <row r="409" spans="1:6" x14ac:dyDescent="0.35">
      <c r="A409" t="s">
        <v>35</v>
      </c>
      <c r="D409" t="s">
        <v>582</v>
      </c>
      <c r="E409">
        <v>55</v>
      </c>
      <c r="F409">
        <v>44</v>
      </c>
    </row>
    <row r="410" spans="1:6" x14ac:dyDescent="0.35">
      <c r="A410" t="s">
        <v>35</v>
      </c>
      <c r="D410" t="s">
        <v>583</v>
      </c>
      <c r="E410">
        <v>25</v>
      </c>
      <c r="F410">
        <v>48</v>
      </c>
    </row>
    <row r="411" spans="1:6" x14ac:dyDescent="0.35">
      <c r="A411" t="s">
        <v>35</v>
      </c>
      <c r="B411" t="s">
        <v>584</v>
      </c>
      <c r="F411">
        <v>51</v>
      </c>
    </row>
    <row r="412" spans="1:6" x14ac:dyDescent="0.35">
      <c r="A412" s="3" t="s">
        <v>585</v>
      </c>
      <c r="B412" s="3" t="s">
        <v>586</v>
      </c>
      <c r="C412" s="5" t="s">
        <v>587</v>
      </c>
      <c r="D412" s="3"/>
      <c r="E412" s="3"/>
      <c r="F412" s="3">
        <v>35</v>
      </c>
    </row>
    <row r="413" spans="1:6" x14ac:dyDescent="0.35">
      <c r="A413" t="s">
        <v>588</v>
      </c>
      <c r="B413" t="s">
        <v>589</v>
      </c>
      <c r="D413" t="s">
        <v>590</v>
      </c>
      <c r="E413">
        <v>79.25</v>
      </c>
      <c r="F413">
        <v>45</v>
      </c>
    </row>
    <row r="414" spans="1:6" x14ac:dyDescent="0.35">
      <c r="A414" t="s">
        <v>588</v>
      </c>
      <c r="B414" t="s">
        <v>589</v>
      </c>
      <c r="D414" t="s">
        <v>591</v>
      </c>
      <c r="E414">
        <v>79.45</v>
      </c>
      <c r="F414">
        <v>45</v>
      </c>
    </row>
    <row r="415" spans="1:6" x14ac:dyDescent="0.35">
      <c r="A415" t="s">
        <v>588</v>
      </c>
      <c r="B415" t="s">
        <v>589</v>
      </c>
      <c r="D415" t="s">
        <v>592</v>
      </c>
      <c r="E415">
        <v>79.55</v>
      </c>
      <c r="F415">
        <v>45</v>
      </c>
    </row>
    <row r="416" spans="1:6" x14ac:dyDescent="0.35">
      <c r="A416" t="s">
        <v>588</v>
      </c>
      <c r="B416" t="s">
        <v>589</v>
      </c>
      <c r="D416" t="s">
        <v>593</v>
      </c>
      <c r="E416">
        <v>88.55</v>
      </c>
      <c r="F416">
        <v>45</v>
      </c>
    </row>
    <row r="417" spans="1:6" x14ac:dyDescent="0.35">
      <c r="A417" t="s">
        <v>588</v>
      </c>
      <c r="B417" t="s">
        <v>589</v>
      </c>
      <c r="D417" t="s">
        <v>594</v>
      </c>
      <c r="E417">
        <v>88.85</v>
      </c>
      <c r="F417">
        <v>45</v>
      </c>
    </row>
    <row r="418" spans="1:6" x14ac:dyDescent="0.35">
      <c r="A418" t="s">
        <v>588</v>
      </c>
      <c r="B418" t="s">
        <v>589</v>
      </c>
      <c r="D418" t="s">
        <v>595</v>
      </c>
      <c r="E418">
        <v>99.95</v>
      </c>
      <c r="F418">
        <v>45</v>
      </c>
    </row>
    <row r="419" spans="1:6" x14ac:dyDescent="0.35">
      <c r="A419" t="s">
        <v>588</v>
      </c>
      <c r="B419" t="s">
        <v>589</v>
      </c>
      <c r="D419" t="s">
        <v>596</v>
      </c>
      <c r="E419">
        <v>100.15</v>
      </c>
      <c r="F419">
        <v>45</v>
      </c>
    </row>
    <row r="420" spans="1:6" x14ac:dyDescent="0.35">
      <c r="A420" t="s">
        <v>588</v>
      </c>
      <c r="B420" t="s">
        <v>589</v>
      </c>
      <c r="D420" t="s">
        <v>597</v>
      </c>
      <c r="E420">
        <v>100.25</v>
      </c>
      <c r="F420">
        <v>45</v>
      </c>
    </row>
    <row r="421" spans="1:6" x14ac:dyDescent="0.35">
      <c r="A421" t="s">
        <v>588</v>
      </c>
      <c r="B421" t="s">
        <v>589</v>
      </c>
      <c r="D421" t="s">
        <v>598</v>
      </c>
      <c r="E421">
        <v>109.65</v>
      </c>
      <c r="F421">
        <v>45</v>
      </c>
    </row>
    <row r="422" spans="1:6" x14ac:dyDescent="0.35">
      <c r="A422" t="s">
        <v>588</v>
      </c>
      <c r="B422" t="s">
        <v>589</v>
      </c>
      <c r="D422" t="s">
        <v>599</v>
      </c>
      <c r="E422">
        <v>109.75</v>
      </c>
      <c r="F422">
        <v>45</v>
      </c>
    </row>
    <row r="423" spans="1:6" x14ac:dyDescent="0.35">
      <c r="A423" t="s">
        <v>588</v>
      </c>
      <c r="B423" t="s">
        <v>589</v>
      </c>
      <c r="D423" t="s">
        <v>600</v>
      </c>
      <c r="E423">
        <v>119.25</v>
      </c>
      <c r="F423">
        <v>45</v>
      </c>
    </row>
    <row r="424" spans="1:6" x14ac:dyDescent="0.35">
      <c r="A424" t="s">
        <v>588</v>
      </c>
      <c r="B424" t="s">
        <v>589</v>
      </c>
      <c r="D424" t="s">
        <v>601</v>
      </c>
      <c r="E424">
        <v>119.35</v>
      </c>
      <c r="F424">
        <v>45</v>
      </c>
    </row>
    <row r="425" spans="1:6" x14ac:dyDescent="0.35">
      <c r="A425" t="s">
        <v>588</v>
      </c>
      <c r="B425" t="s">
        <v>602</v>
      </c>
      <c r="C425" s="1" t="s">
        <v>603</v>
      </c>
      <c r="D425" s="6">
        <v>2.9900000000000002E-7</v>
      </c>
      <c r="E425" t="s">
        <v>268</v>
      </c>
      <c r="F425">
        <v>47</v>
      </c>
    </row>
    <row r="426" spans="1:6" x14ac:dyDescent="0.35">
      <c r="A426" s="2" t="s">
        <v>604</v>
      </c>
      <c r="B426" s="2" t="s">
        <v>605</v>
      </c>
      <c r="C426" s="9" t="s">
        <v>606</v>
      </c>
      <c r="D426" s="2"/>
      <c r="E426" s="2"/>
      <c r="F426" s="2">
        <v>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72"/>
  <sheetViews>
    <sheetView topLeftCell="H1" workbookViewId="0">
      <selection activeCell="M2" sqref="M2"/>
    </sheetView>
  </sheetViews>
  <sheetFormatPr defaultRowHeight="14.5" x14ac:dyDescent="0.35"/>
  <cols>
    <col min="12" max="12" width="11.81640625" bestFit="1" customWidth="1"/>
  </cols>
  <sheetData>
    <row r="1" spans="1:18" x14ac:dyDescent="0.35">
      <c r="A1" t="s">
        <v>40</v>
      </c>
      <c r="B1" t="s">
        <v>41</v>
      </c>
      <c r="C1" t="s">
        <v>42</v>
      </c>
      <c r="D1" t="s">
        <v>43</v>
      </c>
      <c r="E1" t="s">
        <v>609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15</v>
      </c>
      <c r="M1" t="s">
        <v>672</v>
      </c>
      <c r="N1" t="s">
        <v>44</v>
      </c>
      <c r="O1" t="s">
        <v>50</v>
      </c>
      <c r="P1" t="s">
        <v>51</v>
      </c>
      <c r="Q1" t="s">
        <v>52</v>
      </c>
      <c r="R1" t="s">
        <v>670</v>
      </c>
    </row>
    <row r="2" spans="1:18" x14ac:dyDescent="0.35">
      <c r="A2">
        <v>405</v>
      </c>
      <c r="B2">
        <v>476</v>
      </c>
      <c r="C2">
        <v>244</v>
      </c>
      <c r="D2">
        <v>4.1135000000000002</v>
      </c>
      <c r="E2">
        <v>1229.5740000000001</v>
      </c>
      <c r="F2">
        <v>-76.221000000000004</v>
      </c>
      <c r="G2" t="s">
        <v>53</v>
      </c>
      <c r="H2" t="s">
        <v>54</v>
      </c>
      <c r="I2">
        <f t="shared" ref="I2:K5" si="0">A2-273.15</f>
        <v>131.85000000000002</v>
      </c>
      <c r="J2">
        <f t="shared" si="0"/>
        <v>202.85000000000002</v>
      </c>
      <c r="K2">
        <f t="shared" si="0"/>
        <v>-29.149999999999977</v>
      </c>
      <c r="L2">
        <f t="shared" ref="L2:L5" si="1">D2+LOG10(0.986923)</f>
        <v>4.10778327021817</v>
      </c>
      <c r="M2">
        <f>E2</f>
        <v>1229.5740000000001</v>
      </c>
      <c r="N2">
        <f>F2</f>
        <v>-76.221000000000004</v>
      </c>
      <c r="O2" t="s">
        <v>55</v>
      </c>
      <c r="P2" t="s">
        <v>56</v>
      </c>
      <c r="Q2">
        <v>2</v>
      </c>
    </row>
    <row r="3" spans="1:18" x14ac:dyDescent="0.35">
      <c r="A3">
        <v>400</v>
      </c>
      <c r="B3">
        <v>524</v>
      </c>
      <c r="C3">
        <f>13+273.15</f>
        <v>286.14999999999998</v>
      </c>
      <c r="D3">
        <v>4.0758799999999997</v>
      </c>
      <c r="E3">
        <v>2508.4479999999999</v>
      </c>
      <c r="F3">
        <v>-39.234999999999999</v>
      </c>
      <c r="G3" t="s">
        <v>57</v>
      </c>
      <c r="H3" t="s">
        <v>58</v>
      </c>
      <c r="I3">
        <f t="shared" si="0"/>
        <v>126.85000000000002</v>
      </c>
      <c r="J3">
        <f t="shared" si="0"/>
        <v>250.85000000000002</v>
      </c>
      <c r="K3">
        <f t="shared" si="0"/>
        <v>13</v>
      </c>
      <c r="L3">
        <f t="shared" si="1"/>
        <v>4.0701632702181696</v>
      </c>
      <c r="M3">
        <f t="shared" ref="M3:M5" si="2">E3</f>
        <v>2508.4479999999999</v>
      </c>
      <c r="N3">
        <f t="shared" ref="N3:N6" si="3">F3</f>
        <v>-39.234999999999999</v>
      </c>
      <c r="O3" t="s">
        <v>59</v>
      </c>
      <c r="P3" t="s">
        <v>56</v>
      </c>
      <c r="Q3">
        <v>2</v>
      </c>
      <c r="R3" t="s">
        <v>671</v>
      </c>
    </row>
    <row r="4" spans="1:18" x14ac:dyDescent="0.35">
      <c r="A4">
        <v>402.46</v>
      </c>
      <c r="B4">
        <v>495.3</v>
      </c>
      <c r="C4">
        <v>271</v>
      </c>
      <c r="D4">
        <v>3.2930700000000002</v>
      </c>
      <c r="E4">
        <v>1130.6790000000001</v>
      </c>
      <c r="F4">
        <v>-151.524</v>
      </c>
      <c r="G4" t="s">
        <v>8</v>
      </c>
      <c r="H4" t="s">
        <v>60</v>
      </c>
      <c r="I4">
        <f t="shared" si="0"/>
        <v>129.31</v>
      </c>
      <c r="J4">
        <f t="shared" si="0"/>
        <v>222.15000000000003</v>
      </c>
      <c r="K4">
        <f t="shared" si="0"/>
        <v>-2.1499999999999773</v>
      </c>
      <c r="L4">
        <f t="shared" si="1"/>
        <v>3.28735327021817</v>
      </c>
      <c r="M4">
        <f t="shared" si="2"/>
        <v>1130.6790000000001</v>
      </c>
      <c r="N4">
        <f t="shared" si="3"/>
        <v>-151.524</v>
      </c>
      <c r="O4" t="s">
        <v>61</v>
      </c>
      <c r="P4" t="s">
        <v>56</v>
      </c>
      <c r="Q4">
        <v>2</v>
      </c>
    </row>
    <row r="5" spans="1:18" x14ac:dyDescent="0.35">
      <c r="A5">
        <v>420.86</v>
      </c>
      <c r="B5">
        <v>506.4</v>
      </c>
      <c r="C5">
        <v>325</v>
      </c>
      <c r="D5">
        <v>4.0923999999999996</v>
      </c>
      <c r="E5">
        <v>1699.8579999999999</v>
      </c>
      <c r="F5">
        <v>-90.468000000000004</v>
      </c>
      <c r="G5" t="s">
        <v>10</v>
      </c>
      <c r="H5" t="s">
        <v>62</v>
      </c>
      <c r="I5">
        <f t="shared" si="0"/>
        <v>147.71000000000004</v>
      </c>
      <c r="J5">
        <f t="shared" si="0"/>
        <v>233.25</v>
      </c>
      <c r="K5">
        <f t="shared" si="0"/>
        <v>51.850000000000023</v>
      </c>
      <c r="L5">
        <f t="shared" si="1"/>
        <v>4.0866832702181695</v>
      </c>
      <c r="M5">
        <f t="shared" si="2"/>
        <v>1699.8579999999999</v>
      </c>
      <c r="N5">
        <f t="shared" si="3"/>
        <v>-90.468000000000004</v>
      </c>
      <c r="O5" t="s">
        <v>61</v>
      </c>
      <c r="P5" t="s">
        <v>56</v>
      </c>
      <c r="Q5">
        <v>2</v>
      </c>
    </row>
    <row r="6" spans="1:18" x14ac:dyDescent="0.35">
      <c r="A6">
        <v>338.6</v>
      </c>
      <c r="B6">
        <v>444.1</v>
      </c>
      <c r="C6">
        <v>283.45999999999998</v>
      </c>
      <c r="D6">
        <v>4.2925199999999997</v>
      </c>
      <c r="E6">
        <v>1408.873</v>
      </c>
      <c r="F6">
        <v>-116.093</v>
      </c>
      <c r="G6" t="s">
        <v>622</v>
      </c>
      <c r="H6" t="s">
        <v>623</v>
      </c>
      <c r="I6">
        <f t="shared" ref="I6:I7" si="4">A6-273.15</f>
        <v>65.450000000000045</v>
      </c>
      <c r="J6">
        <f t="shared" ref="J6:J7" si="5">B6-273.15</f>
        <v>170.95000000000005</v>
      </c>
      <c r="K6">
        <f t="shared" ref="K6:K7" si="6">C6-273.15</f>
        <v>10.310000000000002</v>
      </c>
      <c r="L6">
        <f t="shared" ref="L6" si="7">D6+LOG10(0.986923)</f>
        <v>4.2868032702181695</v>
      </c>
      <c r="M6">
        <f t="shared" ref="M6" si="8">E6</f>
        <v>1408.873</v>
      </c>
      <c r="N6">
        <f t="shared" si="3"/>
        <v>-116.093</v>
      </c>
      <c r="O6" t="s">
        <v>621</v>
      </c>
      <c r="P6" t="s">
        <v>56</v>
      </c>
      <c r="Q6">
        <v>2</v>
      </c>
    </row>
    <row r="7" spans="1:18" x14ac:dyDescent="0.35">
      <c r="A7">
        <v>304</v>
      </c>
      <c r="B7">
        <v>457</v>
      </c>
      <c r="C7">
        <v>267</v>
      </c>
      <c r="D7">
        <v>4.3454100000000002</v>
      </c>
      <c r="E7">
        <v>1661.8579999999999</v>
      </c>
      <c r="F7">
        <v>-74.048000000000002</v>
      </c>
      <c r="G7" t="s">
        <v>630</v>
      </c>
      <c r="H7" t="s">
        <v>631</v>
      </c>
      <c r="I7">
        <f t="shared" si="4"/>
        <v>30.850000000000023</v>
      </c>
      <c r="J7">
        <f t="shared" si="5"/>
        <v>183.85000000000002</v>
      </c>
      <c r="K7">
        <f t="shared" si="6"/>
        <v>-6.1499999999999773</v>
      </c>
      <c r="L7">
        <f t="shared" ref="L7" si="9">D7+LOG10(0.986923)</f>
        <v>4.3396932702181701</v>
      </c>
      <c r="M7">
        <f t="shared" ref="M7" si="10">E7</f>
        <v>1661.8579999999999</v>
      </c>
      <c r="N7">
        <f t="shared" ref="N7" si="11">F7</f>
        <v>-74.048000000000002</v>
      </c>
      <c r="O7" t="s">
        <v>632</v>
      </c>
      <c r="P7" t="s">
        <v>56</v>
      </c>
      <c r="Q7">
        <v>2</v>
      </c>
    </row>
    <row r="172" spans="8:8" x14ac:dyDescent="0.35">
      <c r="H172">
        <v>-76.221000000000004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"/>
  <sheetViews>
    <sheetView topLeftCell="C24" workbookViewId="0">
      <selection activeCell="H42" sqref="H42:I42"/>
    </sheetView>
  </sheetViews>
  <sheetFormatPr defaultRowHeight="14.5" x14ac:dyDescent="0.35"/>
  <cols>
    <col min="2" max="2" width="14.08984375" bestFit="1" customWidth="1"/>
    <col min="3" max="3" width="12.7265625" bestFit="1" customWidth="1"/>
  </cols>
  <sheetData>
    <row r="1" spans="1:9" x14ac:dyDescent="0.35">
      <c r="A1" t="s">
        <v>12</v>
      </c>
      <c r="B1" t="s">
        <v>13</v>
      </c>
    </row>
    <row r="2" spans="1:9" x14ac:dyDescent="0.35">
      <c r="A2" t="s">
        <v>14</v>
      </c>
      <c r="B2" t="s">
        <v>610</v>
      </c>
      <c r="C2" t="s">
        <v>15</v>
      </c>
      <c r="D2" t="s">
        <v>609</v>
      </c>
    </row>
    <row r="3" spans="1:9" x14ac:dyDescent="0.35">
      <c r="A3">
        <v>25</v>
      </c>
      <c r="B3">
        <v>11091</v>
      </c>
      <c r="C3">
        <f>(A3+LN(0.00000986923))/LN(10)</f>
        <v>5.8516453177994654</v>
      </c>
      <c r="D3">
        <f>(B3)/LN(10)</f>
        <v>4816.7600987889655</v>
      </c>
    </row>
    <row r="5" spans="1:9" x14ac:dyDescent="0.35">
      <c r="A5" t="s">
        <v>16</v>
      </c>
      <c r="E5" t="s">
        <v>3</v>
      </c>
      <c r="F5" t="s">
        <v>4</v>
      </c>
      <c r="G5" t="s">
        <v>5</v>
      </c>
    </row>
    <row r="6" spans="1:9" x14ac:dyDescent="0.35">
      <c r="A6" t="s">
        <v>5</v>
      </c>
      <c r="B6" t="s">
        <v>17</v>
      </c>
      <c r="C6" t="s">
        <v>19</v>
      </c>
      <c r="D6" t="s">
        <v>20</v>
      </c>
      <c r="E6">
        <v>3.8488067108062727</v>
      </c>
      <c r="F6">
        <v>3426.9238379676258</v>
      </c>
      <c r="G6">
        <v>-54.38036510854581</v>
      </c>
      <c r="H6" t="s">
        <v>6</v>
      </c>
      <c r="I6" t="s">
        <v>7</v>
      </c>
    </row>
    <row r="7" spans="1:9" x14ac:dyDescent="0.35">
      <c r="A7">
        <v>10</v>
      </c>
      <c r="B7">
        <v>7</v>
      </c>
      <c r="C7">
        <f>B7/10^12</f>
        <v>7.0000000000000001E-12</v>
      </c>
      <c r="D7">
        <f>LOG10(C7)</f>
        <v>-11.154901959985743</v>
      </c>
      <c r="H7">
        <f>$E$6-($F$6/(A7+273.15+$G$6))</f>
        <v>-11.130995305285683</v>
      </c>
      <c r="I7">
        <f>(H7-D7)^2</f>
        <v>5.7152813894788669E-4</v>
      </c>
    </row>
    <row r="8" spans="1:9" x14ac:dyDescent="0.35">
      <c r="A8">
        <v>15</v>
      </c>
      <c r="B8">
        <v>16</v>
      </c>
      <c r="C8">
        <f t="shared" ref="C8:C21" si="0">B8/10^12</f>
        <v>1.6E-11</v>
      </c>
      <c r="D8">
        <f t="shared" ref="D8:D21" si="1">LOG10(C8)</f>
        <v>-10.795880017344075</v>
      </c>
      <c r="H8">
        <f t="shared" ref="H8:H21" si="2">$E$6-($F$6/(A8+273.15+$G$6))</f>
        <v>-10.810598645919562</v>
      </c>
      <c r="I8">
        <f t="shared" ref="I8:I21" si="3">(H8-D8)^2</f>
        <v>2.1663802714314256E-4</v>
      </c>
    </row>
    <row r="9" spans="1:9" x14ac:dyDescent="0.35">
      <c r="A9">
        <v>20</v>
      </c>
      <c r="B9">
        <v>33</v>
      </c>
      <c r="C9">
        <f t="shared" si="0"/>
        <v>3.3000000000000002E-11</v>
      </c>
      <c r="D9">
        <f t="shared" si="1"/>
        <v>-10.481486060122112</v>
      </c>
      <c r="H9">
        <f t="shared" si="2"/>
        <v>-10.503620638364497</v>
      </c>
      <c r="I9">
        <f t="shared" si="3"/>
        <v>4.8993955396826167E-4</v>
      </c>
    </row>
    <row r="10" spans="1:9" x14ac:dyDescent="0.35">
      <c r="A10">
        <v>25</v>
      </c>
      <c r="B10">
        <v>62</v>
      </c>
      <c r="C10">
        <f t="shared" si="0"/>
        <v>6.2000000000000006E-11</v>
      </c>
      <c r="D10">
        <f t="shared" si="1"/>
        <v>-10.207608310501746</v>
      </c>
      <c r="H10">
        <f t="shared" si="2"/>
        <v>-10.209235585944789</v>
      </c>
      <c r="I10">
        <f t="shared" si="3"/>
        <v>2.6480253675325166E-6</v>
      </c>
    </row>
    <row r="11" spans="1:9" x14ac:dyDescent="0.35">
      <c r="A11">
        <v>30</v>
      </c>
      <c r="B11">
        <v>118</v>
      </c>
      <c r="C11">
        <f t="shared" si="0"/>
        <v>1.1800000000000001E-10</v>
      </c>
      <c r="D11">
        <f t="shared" si="1"/>
        <v>-9.9281179926938741</v>
      </c>
      <c r="H11">
        <f t="shared" si="2"/>
        <v>-9.9266841744173124</v>
      </c>
      <c r="I11">
        <f t="shared" si="3"/>
        <v>2.0558348502021862E-6</v>
      </c>
    </row>
    <row r="12" spans="1:9" x14ac:dyDescent="0.35">
      <c r="A12">
        <v>35</v>
      </c>
      <c r="B12">
        <v>220</v>
      </c>
      <c r="C12">
        <f t="shared" si="0"/>
        <v>2.1999999999999999E-10</v>
      </c>
      <c r="D12">
        <f t="shared" si="1"/>
        <v>-9.6575773191777934</v>
      </c>
      <c r="H12">
        <f t="shared" si="2"/>
        <v>-9.6552669323364029</v>
      </c>
      <c r="I12">
        <f t="shared" si="3"/>
        <v>5.33788735687042E-6</v>
      </c>
    </row>
    <row r="13" spans="1:9" x14ac:dyDescent="0.35">
      <c r="A13">
        <v>40</v>
      </c>
      <c r="B13">
        <v>400</v>
      </c>
      <c r="C13">
        <f t="shared" si="0"/>
        <v>4.0000000000000001E-10</v>
      </c>
      <c r="D13">
        <f t="shared" si="1"/>
        <v>-9.3979400086720375</v>
      </c>
      <c r="H13">
        <f t="shared" si="2"/>
        <v>-9.3943384495797737</v>
      </c>
      <c r="I13">
        <f t="shared" si="3"/>
        <v>1.2971227895067933E-5</v>
      </c>
    </row>
    <row r="14" spans="1:9" x14ac:dyDescent="0.35">
      <c r="A14">
        <v>45</v>
      </c>
      <c r="B14">
        <v>712</v>
      </c>
      <c r="C14">
        <f t="shared" si="0"/>
        <v>7.1200000000000002E-10</v>
      </c>
      <c r="D14">
        <f t="shared" si="1"/>
        <v>-9.147520006363143</v>
      </c>
      <c r="H14">
        <f t="shared" si="2"/>
        <v>-9.1433022534339248</v>
      </c>
      <c r="I14">
        <f t="shared" si="3"/>
        <v>1.7789439771928887E-5</v>
      </c>
    </row>
    <row r="15" spans="1:9" x14ac:dyDescent="0.35">
      <c r="A15">
        <v>50</v>
      </c>
      <c r="B15">
        <v>1243</v>
      </c>
      <c r="C15">
        <f t="shared" si="0"/>
        <v>1.2429999999999999E-9</v>
      </c>
      <c r="D15">
        <f t="shared" si="1"/>
        <v>-8.9055288713583547</v>
      </c>
      <c r="H15">
        <f t="shared" si="2"/>
        <v>-8.901606256609595</v>
      </c>
      <c r="I15">
        <f t="shared" si="3"/>
        <v>1.5386906467186782E-5</v>
      </c>
    </row>
    <row r="16" spans="1:9" x14ac:dyDescent="0.35">
      <c r="A16">
        <v>55</v>
      </c>
      <c r="B16">
        <v>2128</v>
      </c>
      <c r="C16">
        <f t="shared" si="0"/>
        <v>2.1280000000000001E-9</v>
      </c>
      <c r="D16">
        <f t="shared" si="1"/>
        <v>-8.6720283763769892</v>
      </c>
      <c r="H16">
        <f t="shared" si="2"/>
        <v>-8.6687387040690957</v>
      </c>
      <c r="I16">
        <f t="shared" si="3"/>
        <v>1.0821943893321046E-5</v>
      </c>
    </row>
    <row r="17" spans="1:9" x14ac:dyDescent="0.35">
      <c r="A17">
        <v>60</v>
      </c>
      <c r="B17">
        <v>3577</v>
      </c>
      <c r="C17">
        <f t="shared" si="0"/>
        <v>3.577E-9</v>
      </c>
      <c r="D17">
        <f t="shared" si="1"/>
        <v>-8.4464810598510311</v>
      </c>
      <c r="H17">
        <f t="shared" si="2"/>
        <v>-8.4442245560387796</v>
      </c>
      <c r="I17">
        <f t="shared" si="3"/>
        <v>5.0918094547055936E-6</v>
      </c>
    </row>
    <row r="18" spans="1:9" x14ac:dyDescent="0.35">
      <c r="A18">
        <v>65</v>
      </c>
      <c r="B18">
        <v>5907</v>
      </c>
      <c r="C18">
        <f t="shared" si="0"/>
        <v>5.9070000000000004E-9</v>
      </c>
      <c r="D18">
        <f t="shared" si="1"/>
        <v>-8.2286330291422196</v>
      </c>
      <c r="H18">
        <f t="shared" si="2"/>
        <v>-8.2276222534078567</v>
      </c>
      <c r="I18">
        <f t="shared" si="3"/>
        <v>1.0216675851769066E-6</v>
      </c>
    </row>
    <row r="19" spans="1:9" x14ac:dyDescent="0.35">
      <c r="A19">
        <v>70</v>
      </c>
      <c r="B19">
        <v>9595</v>
      </c>
      <c r="C19">
        <f t="shared" si="0"/>
        <v>9.5949999999999992E-9</v>
      </c>
      <c r="D19">
        <f t="shared" si="1"/>
        <v>-8.0179550209285093</v>
      </c>
      <c r="H19">
        <f t="shared" si="2"/>
        <v>-8.0185208191667954</v>
      </c>
      <c r="I19">
        <f t="shared" si="3"/>
        <v>3.2012764644761343E-7</v>
      </c>
    </row>
    <row r="20" spans="1:9" x14ac:dyDescent="0.35">
      <c r="A20">
        <v>75</v>
      </c>
      <c r="B20">
        <v>15342</v>
      </c>
      <c r="C20">
        <f t="shared" si="0"/>
        <v>1.5341999999999999E-8</v>
      </c>
      <c r="D20">
        <f t="shared" si="1"/>
        <v>-7.814118021590021</v>
      </c>
      <c r="H20">
        <f t="shared" si="2"/>
        <v>-7.8165372558492674</v>
      </c>
      <c r="I20">
        <f t="shared" si="3"/>
        <v>5.8526944011114511E-6</v>
      </c>
    </row>
    <row r="21" spans="1:9" x14ac:dyDescent="0.35">
      <c r="A21">
        <v>80</v>
      </c>
      <c r="B21">
        <v>24164</v>
      </c>
      <c r="C21">
        <f t="shared" si="0"/>
        <v>2.4164000000000001E-8</v>
      </c>
      <c r="D21">
        <f t="shared" si="1"/>
        <v>-7.6168311729425708</v>
      </c>
      <c r="H21">
        <f t="shared" si="2"/>
        <v>-7.6213142043016475</v>
      </c>
      <c r="I21">
        <f t="shared" si="3"/>
        <v>2.0097570166464936E-5</v>
      </c>
    </row>
    <row r="22" spans="1:9" x14ac:dyDescent="0.35">
      <c r="H22" t="s">
        <v>21</v>
      </c>
      <c r="I22">
        <f>SUM(I7:I21)</f>
        <v>1.3775008549153074E-3</v>
      </c>
    </row>
    <row r="23" spans="1:9" x14ac:dyDescent="0.35">
      <c r="H23" t="s">
        <v>666</v>
      </c>
      <c r="I23">
        <f>SQRT(SUM(I7:I21)/(COUNT(I7:I21)-1))</f>
        <v>9.9193204509299051E-3</v>
      </c>
    </row>
    <row r="24" spans="1:9" x14ac:dyDescent="0.35">
      <c r="A24" t="s">
        <v>18</v>
      </c>
      <c r="E24" t="s">
        <v>3</v>
      </c>
      <c r="F24" t="s">
        <v>4</v>
      </c>
      <c r="G24" t="s">
        <v>5</v>
      </c>
    </row>
    <row r="25" spans="1:9" x14ac:dyDescent="0.35">
      <c r="A25" t="s">
        <v>18</v>
      </c>
      <c r="B25" t="s">
        <v>17</v>
      </c>
      <c r="C25" t="s">
        <v>19</v>
      </c>
      <c r="D25" t="s">
        <v>20</v>
      </c>
      <c r="E25">
        <v>6.1660493704493993</v>
      </c>
      <c r="F25">
        <v>4787.2588049778606</v>
      </c>
      <c r="G25">
        <v>-1.0020668670868311</v>
      </c>
      <c r="H25" t="s">
        <v>6</v>
      </c>
      <c r="I25" t="s">
        <v>7</v>
      </c>
    </row>
    <row r="26" spans="1:9" x14ac:dyDescent="0.35">
      <c r="A26">
        <v>10</v>
      </c>
      <c r="B26">
        <v>16</v>
      </c>
      <c r="C26">
        <f>B26/10^12</f>
        <v>1.6E-11</v>
      </c>
      <c r="D26">
        <f>LOG10(C26)</f>
        <v>-10.795880017344075</v>
      </c>
      <c r="H26">
        <f>$E$25-($F$25/(A26+273.15+$G$25))</f>
        <v>-10.80114493723563</v>
      </c>
      <c r="I26">
        <f>(H26-D26)^2</f>
        <v>2.7719381464494761E-5</v>
      </c>
    </row>
    <row r="27" spans="1:9" x14ac:dyDescent="0.35">
      <c r="A27">
        <v>15</v>
      </c>
      <c r="B27">
        <v>31</v>
      </c>
      <c r="C27">
        <f t="shared" ref="C27:C40" si="4">B27/10^12</f>
        <v>3.1000000000000003E-11</v>
      </c>
      <c r="D27">
        <f t="shared" ref="D27:D40" si="5">LOG10(C27)</f>
        <v>-10.508638306165727</v>
      </c>
      <c r="H27">
        <f t="shared" ref="H27:H40" si="6">$E$25-($F$25/(A27+273.15+$G$25))</f>
        <v>-10.505701502860791</v>
      </c>
      <c r="I27">
        <f t="shared" ref="I27:I40" si="7">(H27-D27)^2</f>
        <v>8.6248136518801287E-6</v>
      </c>
    </row>
    <row r="28" spans="1:9" x14ac:dyDescent="0.35">
      <c r="A28">
        <v>20</v>
      </c>
      <c r="B28">
        <v>60</v>
      </c>
      <c r="C28">
        <f t="shared" si="4"/>
        <v>6E-11</v>
      </c>
      <c r="D28">
        <f t="shared" si="5"/>
        <v>-10.221848749616356</v>
      </c>
      <c r="H28">
        <f t="shared" si="6"/>
        <v>-10.220370870969493</v>
      </c>
      <c r="I28">
        <f t="shared" si="7"/>
        <v>2.1841252948542552E-6</v>
      </c>
    </row>
    <row r="29" spans="1:9" x14ac:dyDescent="0.35">
      <c r="A29">
        <v>25</v>
      </c>
      <c r="B29">
        <v>113</v>
      </c>
      <c r="C29">
        <f t="shared" si="4"/>
        <v>1.13E-10</v>
      </c>
      <c r="D29">
        <f t="shared" si="5"/>
        <v>-9.9469215565165801</v>
      </c>
      <c r="H29">
        <f t="shared" si="6"/>
        <v>-9.9446425482338725</v>
      </c>
      <c r="I29">
        <f t="shared" si="7"/>
        <v>5.1938787526496204E-6</v>
      </c>
    </row>
    <row r="30" spans="1:9" x14ac:dyDescent="0.35">
      <c r="A30">
        <v>30</v>
      </c>
      <c r="B30">
        <v>210</v>
      </c>
      <c r="C30">
        <f t="shared" si="4"/>
        <v>2.1E-10</v>
      </c>
      <c r="D30">
        <f t="shared" si="5"/>
        <v>-9.6777807052660805</v>
      </c>
      <c r="H30">
        <f t="shared" si="6"/>
        <v>-9.6780398322788983</v>
      </c>
      <c r="I30">
        <f t="shared" si="7"/>
        <v>6.7146808771890806E-8</v>
      </c>
    </row>
    <row r="31" spans="1:9" x14ac:dyDescent="0.35">
      <c r="A31">
        <v>35</v>
      </c>
      <c r="B31">
        <v>380</v>
      </c>
      <c r="C31">
        <f t="shared" si="4"/>
        <v>3.7999999999999998E-10</v>
      </c>
      <c r="D31">
        <f t="shared" si="5"/>
        <v>-9.4202164033831899</v>
      </c>
      <c r="H31">
        <f t="shared" si="6"/>
        <v>-9.4201170613014362</v>
      </c>
      <c r="I31">
        <f t="shared" si="7"/>
        <v>9.8688492071511969E-9</v>
      </c>
    </row>
    <row r="32" spans="1:9" x14ac:dyDescent="0.35">
      <c r="A32">
        <v>40</v>
      </c>
      <c r="B32">
        <v>670</v>
      </c>
      <c r="C32">
        <f t="shared" si="4"/>
        <v>6.6999999999999996E-10</v>
      </c>
      <c r="D32">
        <f t="shared" si="5"/>
        <v>-9.1739251972991731</v>
      </c>
      <c r="H32">
        <f t="shared" si="6"/>
        <v>-9.1704571280236742</v>
      </c>
      <c r="I32">
        <f t="shared" si="7"/>
        <v>1.20275044996596E-5</v>
      </c>
    </row>
    <row r="33" spans="1:9" x14ac:dyDescent="0.35">
      <c r="A33">
        <v>45</v>
      </c>
      <c r="B33">
        <v>1200</v>
      </c>
      <c r="C33">
        <f t="shared" si="4"/>
        <v>1.2E-9</v>
      </c>
      <c r="D33">
        <f t="shared" si="5"/>
        <v>-8.9208187539523749</v>
      </c>
      <c r="H33">
        <f t="shared" si="6"/>
        <v>-8.9286692288093725</v>
      </c>
      <c r="I33">
        <f t="shared" si="7"/>
        <v>6.1629955480352054E-5</v>
      </c>
    </row>
    <row r="34" spans="1:9" x14ac:dyDescent="0.35">
      <c r="A34">
        <v>50</v>
      </c>
      <c r="B34">
        <v>2000</v>
      </c>
      <c r="C34">
        <f t="shared" si="4"/>
        <v>2.0000000000000001E-9</v>
      </c>
      <c r="D34">
        <f t="shared" si="5"/>
        <v>-8.6989700043360187</v>
      </c>
      <c r="H34">
        <f t="shared" si="6"/>
        <v>-8.6943868223934508</v>
      </c>
      <c r="I34">
        <f t="shared" si="7"/>
        <v>2.1005556718680511E-5</v>
      </c>
    </row>
    <row r="35" spans="1:9" x14ac:dyDescent="0.35">
      <c r="A35">
        <v>55</v>
      </c>
      <c r="B35">
        <v>3400</v>
      </c>
      <c r="C35">
        <f t="shared" si="4"/>
        <v>3.3999999999999998E-9</v>
      </c>
      <c r="D35">
        <f t="shared" si="5"/>
        <v>-8.4685210829577446</v>
      </c>
      <c r="H35">
        <f t="shared" si="6"/>
        <v>-8.4672657757994401</v>
      </c>
      <c r="I35">
        <f t="shared" si="7"/>
        <v>1.5757960616907071E-6</v>
      </c>
    </row>
    <row r="36" spans="1:9" x14ac:dyDescent="0.35">
      <c r="A36">
        <v>60</v>
      </c>
      <c r="B36">
        <v>5700</v>
      </c>
      <c r="C36">
        <f t="shared" si="4"/>
        <v>5.6999999999999998E-9</v>
      </c>
      <c r="D36">
        <f t="shared" si="5"/>
        <v>-8.2441251443275085</v>
      </c>
      <c r="H36">
        <f t="shared" si="6"/>
        <v>-8.2469826777198705</v>
      </c>
      <c r="I36">
        <f t="shared" si="7"/>
        <v>8.1654970884635587E-6</v>
      </c>
    </row>
    <row r="37" spans="1:9" x14ac:dyDescent="0.35">
      <c r="A37">
        <v>65</v>
      </c>
      <c r="B37">
        <v>9200</v>
      </c>
      <c r="C37">
        <f t="shared" si="4"/>
        <v>9.1999999999999997E-9</v>
      </c>
      <c r="D37">
        <f t="shared" si="5"/>
        <v>-8.0362121726544444</v>
      </c>
      <c r="H37">
        <f t="shared" si="6"/>
        <v>-8.0332333019749633</v>
      </c>
      <c r="I37">
        <f t="shared" si="7"/>
        <v>8.8736705250722197E-6</v>
      </c>
    </row>
    <row r="38" spans="1:9" x14ac:dyDescent="0.35">
      <c r="A38">
        <v>70</v>
      </c>
      <c r="B38">
        <v>15000</v>
      </c>
      <c r="C38">
        <f t="shared" si="4"/>
        <v>1.4999999999999999E-8</v>
      </c>
      <c r="D38">
        <f t="shared" si="5"/>
        <v>-7.8239087409443187</v>
      </c>
      <c r="H38">
        <f t="shared" si="6"/>
        <v>-7.8257312056973793</v>
      </c>
      <c r="I38">
        <f t="shared" si="7"/>
        <v>3.3213777761485729E-6</v>
      </c>
    </row>
    <row r="39" spans="1:9" x14ac:dyDescent="0.35">
      <c r="A39">
        <v>75</v>
      </c>
      <c r="B39">
        <v>24000</v>
      </c>
      <c r="C39">
        <f t="shared" si="4"/>
        <v>2.4E-8</v>
      </c>
      <c r="D39">
        <f t="shared" si="5"/>
        <v>-7.6197887582883936</v>
      </c>
      <c r="H39">
        <f t="shared" si="6"/>
        <v>-7.6242064486597263</v>
      </c>
      <c r="I39">
        <f t="shared" si="7"/>
        <v>1.9515988216965305E-5</v>
      </c>
    </row>
    <row r="40" spans="1:9" x14ac:dyDescent="0.35">
      <c r="A40">
        <v>80</v>
      </c>
      <c r="B40">
        <v>37000</v>
      </c>
      <c r="C40">
        <f t="shared" si="4"/>
        <v>3.7E-8</v>
      </c>
      <c r="D40">
        <f t="shared" si="5"/>
        <v>-7.431798275933005</v>
      </c>
      <c r="H40">
        <f t="shared" si="6"/>
        <v>-7.4284044217044203</v>
      </c>
      <c r="I40">
        <f t="shared" si="7"/>
        <v>1.1518246524882494E-5</v>
      </c>
    </row>
    <row r="41" spans="1:9" x14ac:dyDescent="0.35">
      <c r="H41" t="s">
        <v>21</v>
      </c>
      <c r="I41">
        <f>SUM(I26:I40)</f>
        <v>1.9143280771377285E-4</v>
      </c>
    </row>
    <row r="42" spans="1:9" x14ac:dyDescent="0.35">
      <c r="H42" t="s">
        <v>666</v>
      </c>
      <c r="I42">
        <f>SQRT(SUM(I26:I40)/(COUNT(I26:I40)-1))</f>
        <v>3.6978063739946153E-3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E2" sqref="E2"/>
    </sheetView>
  </sheetViews>
  <sheetFormatPr defaultRowHeight="14.5" x14ac:dyDescent="0.35"/>
  <cols>
    <col min="2" max="2" width="8.54296875" bestFit="1" customWidth="1"/>
    <col min="3" max="3" width="10.26953125" bestFit="1" customWidth="1"/>
    <col min="4" max="4" width="12.7265625" bestFit="1" customWidth="1"/>
    <col min="5" max="5" width="14.54296875" bestFit="1" customWidth="1"/>
  </cols>
  <sheetData>
    <row r="1" spans="1:6" x14ac:dyDescent="0.35">
      <c r="A1" t="s">
        <v>22</v>
      </c>
      <c r="B1" t="s">
        <v>14</v>
      </c>
      <c r="C1" t="s">
        <v>672</v>
      </c>
      <c r="D1" t="s">
        <v>15</v>
      </c>
      <c r="E1" t="s">
        <v>672</v>
      </c>
      <c r="F1" t="s">
        <v>28</v>
      </c>
    </row>
    <row r="2" spans="1:6" x14ac:dyDescent="0.35">
      <c r="A2" t="s">
        <v>23</v>
      </c>
      <c r="B2">
        <v>93.8</v>
      </c>
      <c r="C2">
        <v>29884</v>
      </c>
      <c r="D2">
        <f t="shared" ref="D2:D5" si="0">(B2+LN(0.00000986923))/LN(10)</f>
        <v>35.731105672743183</v>
      </c>
      <c r="E2">
        <f>C2/LN(10)</f>
        <v>12978.456297196777</v>
      </c>
      <c r="F2">
        <v>91</v>
      </c>
    </row>
    <row r="3" spans="1:6" x14ac:dyDescent="0.35">
      <c r="A3" t="s">
        <v>24</v>
      </c>
      <c r="B3">
        <v>27</v>
      </c>
      <c r="C3">
        <v>9458</v>
      </c>
      <c r="D3">
        <f t="shared" si="0"/>
        <v>6.7202342816059693</v>
      </c>
      <c r="E3">
        <f t="shared" ref="E3:E6" si="1">C3/LN(10)</f>
        <v>4107.5572098409557</v>
      </c>
      <c r="F3">
        <v>91</v>
      </c>
    </row>
    <row r="4" spans="1:6" x14ac:dyDescent="0.35">
      <c r="A4" t="s">
        <v>25</v>
      </c>
      <c r="B4">
        <v>41.1</v>
      </c>
      <c r="C4">
        <v>17709</v>
      </c>
      <c r="D4">
        <f t="shared" si="0"/>
        <v>12.843786476441819</v>
      </c>
      <c r="E4">
        <f t="shared" si="1"/>
        <v>7690.9209800246863</v>
      </c>
      <c r="F4">
        <v>265</v>
      </c>
    </row>
    <row r="5" spans="1:6" x14ac:dyDescent="0.35">
      <c r="A5" t="s">
        <v>26</v>
      </c>
      <c r="B5">
        <v>40.6</v>
      </c>
      <c r="C5">
        <v>16752</v>
      </c>
      <c r="D5">
        <f t="shared" si="0"/>
        <v>12.626639235490194</v>
      </c>
      <c r="E5">
        <f t="shared" si="1"/>
        <v>7275.3011608432744</v>
      </c>
      <c r="F5">
        <v>236</v>
      </c>
    </row>
    <row r="6" spans="1:6" x14ac:dyDescent="0.35">
      <c r="A6" t="s">
        <v>27</v>
      </c>
      <c r="B6">
        <v>43</v>
      </c>
      <c r="C6">
        <v>17665</v>
      </c>
      <c r="D6">
        <f>(B6+LN(0.00000986923))/LN(10)</f>
        <v>13.668945992057997</v>
      </c>
      <c r="E6">
        <f t="shared" si="1"/>
        <v>7671.8120228209427</v>
      </c>
      <c r="F6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zoomScaleNormal="100" workbookViewId="0">
      <selection activeCell="AF15" sqref="AF15"/>
    </sheetView>
  </sheetViews>
  <sheetFormatPr defaultRowHeight="14.5" x14ac:dyDescent="0.35"/>
  <cols>
    <col min="7" max="7" width="11.81640625" bestFit="1" customWidth="1"/>
  </cols>
  <sheetData>
    <row r="1" spans="1:4" x14ac:dyDescent="0.35">
      <c r="A1" t="s">
        <v>29</v>
      </c>
    </row>
    <row r="2" spans="1:4" x14ac:dyDescent="0.35">
      <c r="A2" t="s">
        <v>32</v>
      </c>
      <c r="B2" t="s">
        <v>33</v>
      </c>
      <c r="C2" t="s">
        <v>31</v>
      </c>
      <c r="D2" t="s">
        <v>20</v>
      </c>
    </row>
    <row r="3" spans="1:4" x14ac:dyDescent="0.35">
      <c r="A3">
        <v>1.6000000000000001E-3</v>
      </c>
      <c r="B3">
        <f>1/A3-273.15</f>
        <v>351.85</v>
      </c>
      <c r="C3">
        <v>3</v>
      </c>
      <c r="D3">
        <f>LOG10(C3*10^6*0.00000986923)</f>
        <v>1.4714045249378322</v>
      </c>
    </row>
    <row r="4" spans="1:4" x14ac:dyDescent="0.35">
      <c r="A4">
        <v>2E-3</v>
      </c>
      <c r="B4">
        <f>1/A4-273.15</f>
        <v>226.85000000000002</v>
      </c>
      <c r="C4">
        <v>0.06</v>
      </c>
      <c r="D4">
        <f>LOG10(C4*10^6*0.00000986923)</f>
        <v>-0.22756547939818655</v>
      </c>
    </row>
    <row r="6" spans="1:4" x14ac:dyDescent="0.35">
      <c r="A6" t="s">
        <v>34</v>
      </c>
    </row>
    <row r="7" spans="1:4" x14ac:dyDescent="0.35">
      <c r="A7">
        <f>1/(168.3+273.15)</f>
        <v>2.2652622041001245E-3</v>
      </c>
      <c r="B7">
        <f>1/A7-273.15</f>
        <v>168.30000000000007</v>
      </c>
      <c r="C7">
        <v>4.1000000000000003E-3</v>
      </c>
      <c r="D7">
        <f>LOG10(C7*10^6*0.00000986923)</f>
        <v>-1.3929328730620947</v>
      </c>
    </row>
    <row r="8" spans="1:4" x14ac:dyDescent="0.35">
      <c r="A8">
        <v>2.3999999999999998E-3</v>
      </c>
      <c r="B8">
        <f>1/A8-273.15</f>
        <v>143.51666666666671</v>
      </c>
      <c r="C8">
        <v>7.5000000000000002E-4</v>
      </c>
      <c r="D8">
        <f>LOG10(C8*10^6*0.00000986923)</f>
        <v>-2.13065546639013</v>
      </c>
    </row>
    <row r="9" spans="1:4" x14ac:dyDescent="0.35">
      <c r="A9">
        <v>2.5999999999999999E-3</v>
      </c>
      <c r="B9">
        <f>1/A9-273.15</f>
        <v>111.46538461538466</v>
      </c>
    </row>
    <row r="30" spans="7:8" x14ac:dyDescent="0.35">
      <c r="G30">
        <f>10^-2</f>
        <v>0.01</v>
      </c>
      <c r="H30">
        <v>0.1</v>
      </c>
    </row>
    <row r="31" spans="7:8" x14ac:dyDescent="0.35">
      <c r="H3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G8" sqref="G8:H8"/>
    </sheetView>
  </sheetViews>
  <sheetFormatPr defaultRowHeight="14.5" x14ac:dyDescent="0.35"/>
  <sheetData>
    <row r="1" spans="1:8" x14ac:dyDescent="0.35">
      <c r="A1" t="s">
        <v>27</v>
      </c>
      <c r="B1" t="s">
        <v>49</v>
      </c>
      <c r="C1">
        <v>210</v>
      </c>
    </row>
    <row r="2" spans="1:8" x14ac:dyDescent="0.35">
      <c r="A2" t="s">
        <v>33</v>
      </c>
      <c r="B2" t="s">
        <v>30</v>
      </c>
      <c r="C2" t="s">
        <v>607</v>
      </c>
      <c r="D2" t="s">
        <v>20</v>
      </c>
      <c r="E2" t="s">
        <v>3</v>
      </c>
      <c r="F2" t="s">
        <v>4</v>
      </c>
      <c r="G2" t="s">
        <v>6</v>
      </c>
      <c r="H2" t="s">
        <v>7</v>
      </c>
    </row>
    <row r="3" spans="1:8" x14ac:dyDescent="0.35">
      <c r="A3">
        <f>B3-273.15</f>
        <v>246.85000000000002</v>
      </c>
      <c r="B3">
        <v>520</v>
      </c>
      <c r="C3">
        <v>0.153</v>
      </c>
      <c r="D3">
        <f>LOG10(C3)</f>
        <v>-0.81530856918240124</v>
      </c>
      <c r="E3">
        <v>7.6782891498268491</v>
      </c>
      <c r="F3">
        <v>4415.9078185401077</v>
      </c>
      <c r="G3">
        <f>$E$3-($F$3/(B3))</f>
        <v>-0.81384127044258925</v>
      </c>
      <c r="H3">
        <f>(G3-D3)^2</f>
        <v>2.1529655918538691E-6</v>
      </c>
    </row>
    <row r="4" spans="1:8" x14ac:dyDescent="0.35">
      <c r="A4">
        <f t="shared" ref="A4:A6" si="0">B4-273.15</f>
        <v>241.85000000000002</v>
      </c>
      <c r="B4">
        <v>515</v>
      </c>
      <c r="C4">
        <v>0.128</v>
      </c>
      <c r="D4">
        <f t="shared" ref="D4:D6" si="1">LOG10(C4)</f>
        <v>-0.89279003035213167</v>
      </c>
      <c r="G4">
        <f t="shared" ref="G4:G6" si="2">$E$3-($F$3/(B4))</f>
        <v>-0.89628913860054382</v>
      </c>
      <c r="H4">
        <f>(G4-D4)^2</f>
        <v>1.2243758534105964E-5</v>
      </c>
    </row>
    <row r="5" spans="1:8" x14ac:dyDescent="0.35">
      <c r="A5">
        <f t="shared" si="0"/>
        <v>236.85000000000002</v>
      </c>
      <c r="B5">
        <v>510</v>
      </c>
      <c r="C5">
        <v>0.104</v>
      </c>
      <c r="D5">
        <f t="shared" si="1"/>
        <v>-0.98296666070121963</v>
      </c>
      <c r="G5">
        <f t="shared" si="2"/>
        <v>-0.98035363162434308</v>
      </c>
      <c r="H5">
        <f>(G5-D5)^2</f>
        <v>6.8279209566023129E-6</v>
      </c>
    </row>
    <row r="6" spans="1:8" x14ac:dyDescent="0.35">
      <c r="A6">
        <f t="shared" si="0"/>
        <v>231.85000000000002</v>
      </c>
      <c r="B6">
        <v>505</v>
      </c>
      <c r="C6">
        <v>8.5999999999999993E-2</v>
      </c>
      <c r="D6">
        <f t="shared" si="1"/>
        <v>-1.0655015487564323</v>
      </c>
      <c r="G6">
        <f t="shared" si="2"/>
        <v>-1.0660827680743541</v>
      </c>
      <c r="H6">
        <f>(G6-D6)^2</f>
        <v>3.378158955254431E-7</v>
      </c>
    </row>
    <row r="7" spans="1:8" x14ac:dyDescent="0.35">
      <c r="G7" t="s">
        <v>21</v>
      </c>
      <c r="H7">
        <f>SUM(H3:H6)</f>
        <v>2.1562460978087592E-5</v>
      </c>
    </row>
    <row r="8" spans="1:8" x14ac:dyDescent="0.35">
      <c r="G8" t="s">
        <v>666</v>
      </c>
      <c r="H8">
        <f>SQRT(SUM(H3:H6)/(COUNT(H3:H6)-1))</f>
        <v>2.6809488978150747E-3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workbookViewId="0">
      <selection activeCell="H2" sqref="H2"/>
    </sheetView>
  </sheetViews>
  <sheetFormatPr defaultRowHeight="14.5" x14ac:dyDescent="0.35"/>
  <cols>
    <col min="2" max="2" width="21.6328125" bestFit="1" customWidth="1"/>
    <col min="3" max="3" width="13.1796875" customWidth="1"/>
    <col min="4" max="4" width="7.7265625" bestFit="1" customWidth="1"/>
    <col min="5" max="5" width="10.81640625" bestFit="1" customWidth="1"/>
    <col min="6" max="6" width="12.36328125" bestFit="1" customWidth="1"/>
    <col min="7" max="7" width="7.90625" bestFit="1" customWidth="1"/>
    <col min="10" max="10" width="11" customWidth="1"/>
    <col min="11" max="11" width="20.6328125" customWidth="1"/>
    <col min="12" max="12" width="18.08984375" bestFit="1" customWidth="1"/>
  </cols>
  <sheetData>
    <row r="1" spans="1:9" x14ac:dyDescent="0.35">
      <c r="A1" t="s">
        <v>45</v>
      </c>
      <c r="B1" t="s">
        <v>22</v>
      </c>
      <c r="C1" t="s">
        <v>42</v>
      </c>
      <c r="D1" t="s">
        <v>40</v>
      </c>
      <c r="E1" t="s">
        <v>41</v>
      </c>
      <c r="F1" t="s">
        <v>615</v>
      </c>
      <c r="G1" t="s">
        <v>614</v>
      </c>
      <c r="H1" t="s">
        <v>15</v>
      </c>
      <c r="I1" t="s">
        <v>609</v>
      </c>
    </row>
    <row r="2" spans="1:9" x14ac:dyDescent="0.35">
      <c r="A2" t="s">
        <v>35</v>
      </c>
      <c r="B2" t="s">
        <v>234</v>
      </c>
      <c r="C2">
        <v>354</v>
      </c>
      <c r="D2">
        <v>313</v>
      </c>
      <c r="E2">
        <v>338</v>
      </c>
      <c r="F2">
        <v>15.381</v>
      </c>
      <c r="G2">
        <v>12844</v>
      </c>
      <c r="H2">
        <f>(F2+LN(1.517*10^9)+LN(0.00000986923))/LN(10)</f>
        <v>10.855152277158814</v>
      </c>
      <c r="I2">
        <f>G2/LN(10)</f>
        <v>5578.078325565366</v>
      </c>
    </row>
    <row r="3" spans="1:9" x14ac:dyDescent="0.35">
      <c r="A3" t="s">
        <v>611</v>
      </c>
      <c r="B3" t="s">
        <v>183</v>
      </c>
      <c r="C3">
        <v>343</v>
      </c>
      <c r="D3">
        <v>318</v>
      </c>
      <c r="E3">
        <v>338</v>
      </c>
      <c r="F3">
        <v>13.914999999999999</v>
      </c>
      <c r="G3">
        <v>11449</v>
      </c>
      <c r="H3">
        <f t="shared" ref="H3:H4" si="0">(F3+LN(1.517*10^9)+LN(0.00000986923))/LN(10)</f>
        <v>10.218476566688649</v>
      </c>
      <c r="I3">
        <f t="shared" ref="I3:I5" si="1">G3/LN(10)</f>
        <v>4972.2375233103294</v>
      </c>
    </row>
    <row r="4" spans="1:9" x14ac:dyDescent="0.35">
      <c r="A4" t="s">
        <v>27</v>
      </c>
      <c r="B4" t="s">
        <v>613</v>
      </c>
      <c r="C4">
        <v>479</v>
      </c>
      <c r="D4">
        <v>348</v>
      </c>
      <c r="E4">
        <v>383</v>
      </c>
      <c r="F4">
        <v>7.8379000000000003</v>
      </c>
      <c r="G4">
        <v>11950</v>
      </c>
      <c r="H4">
        <f t="shared" si="0"/>
        <v>7.5792255707143967</v>
      </c>
      <c r="I4">
        <f t="shared" si="1"/>
        <v>5189.8190587438585</v>
      </c>
    </row>
    <row r="5" spans="1:9" x14ac:dyDescent="0.35">
      <c r="A5" t="s">
        <v>480</v>
      </c>
      <c r="B5" t="s">
        <v>612</v>
      </c>
      <c r="C5">
        <f>95+273.15</f>
        <v>368.15</v>
      </c>
      <c r="D5">
        <v>303</v>
      </c>
      <c r="E5">
        <v>338</v>
      </c>
      <c r="F5">
        <v>9.4303000000000008</v>
      </c>
      <c r="G5">
        <v>8677.2999999999993</v>
      </c>
      <c r="H5">
        <f>(F5+LN(1.517*10^9)+LN(0.00000986923))/LN(10)</f>
        <v>8.2707961036971334</v>
      </c>
      <c r="I5">
        <f t="shared" si="1"/>
        <v>3768.5035078190863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topLeftCell="A37" workbookViewId="0">
      <selection activeCell="A40" sqref="A40:H49"/>
    </sheetView>
  </sheetViews>
  <sheetFormatPr defaultRowHeight="14.5" x14ac:dyDescent="0.35"/>
  <sheetData>
    <row r="1" spans="1:8" x14ac:dyDescent="0.35">
      <c r="A1" t="s">
        <v>35</v>
      </c>
      <c r="B1" t="s">
        <v>49</v>
      </c>
      <c r="C1">
        <v>80.5</v>
      </c>
    </row>
    <row r="2" spans="1:8" x14ac:dyDescent="0.35">
      <c r="A2" t="s">
        <v>33</v>
      </c>
      <c r="B2" t="s">
        <v>30</v>
      </c>
      <c r="C2" t="s">
        <v>36</v>
      </c>
      <c r="D2" t="s">
        <v>20</v>
      </c>
      <c r="E2" t="s">
        <v>3</v>
      </c>
      <c r="F2" t="s">
        <v>4</v>
      </c>
      <c r="G2" t="s">
        <v>6</v>
      </c>
      <c r="H2" t="s">
        <v>7</v>
      </c>
    </row>
    <row r="3" spans="1:8" x14ac:dyDescent="0.35">
      <c r="A3">
        <v>50</v>
      </c>
      <c r="B3">
        <f>A3+273.15</f>
        <v>323.14999999999998</v>
      </c>
      <c r="C3">
        <v>2.4E-2</v>
      </c>
      <c r="D3">
        <f>LOG10(C3*0.00000986923)</f>
        <v>-6.6255054880702238</v>
      </c>
      <c r="E3">
        <v>14.12921976158737</v>
      </c>
      <c r="F3">
        <v>6722.7556498542417</v>
      </c>
      <c r="G3">
        <f>$E$3-($F$3/(B3))</f>
        <v>-6.6746040040144923</v>
      </c>
      <c r="H3">
        <f>(G3-D3)^2</f>
        <v>2.4106642679295885E-3</v>
      </c>
    </row>
    <row r="4" spans="1:8" x14ac:dyDescent="0.35">
      <c r="A4">
        <v>60</v>
      </c>
      <c r="B4">
        <f t="shared" ref="B4:B6" si="0">A4+273.15</f>
        <v>333.15</v>
      </c>
      <c r="C4">
        <v>8.3000000000000004E-2</v>
      </c>
      <c r="D4">
        <f>LOG10(C4*0.00000986923)</f>
        <v>-6.0866386374057564</v>
      </c>
      <c r="G4">
        <f t="shared" ref="G4:G6" si="1">$E$3-($F$3/(B4))</f>
        <v>-6.0501458390557108</v>
      </c>
      <c r="H4">
        <f>(G4-D4)^2</f>
        <v>1.3317243314170907E-3</v>
      </c>
    </row>
    <row r="5" spans="1:8" x14ac:dyDescent="0.35">
      <c r="A5">
        <v>70</v>
      </c>
      <c r="B5">
        <f t="shared" si="0"/>
        <v>343.15</v>
      </c>
      <c r="C5">
        <v>0.28999999999999998</v>
      </c>
      <c r="D5">
        <f>LOG10(C5*0.00000986923)</f>
        <v>-5.5433187318828745</v>
      </c>
      <c r="G5">
        <f t="shared" si="1"/>
        <v>-5.4620833124451007</v>
      </c>
      <c r="H5">
        <f>(G5-D5)^2</f>
        <v>6.5991933712310361E-3</v>
      </c>
    </row>
    <row r="6" spans="1:8" x14ac:dyDescent="0.35">
      <c r="A6">
        <v>80</v>
      </c>
      <c r="B6">
        <f t="shared" si="0"/>
        <v>353.15</v>
      </c>
      <c r="C6">
        <v>1.4690000000000001</v>
      </c>
      <c r="D6">
        <f>LOG10(C6*0.00000986923)</f>
        <v>-4.8386949339915732</v>
      </c>
      <c r="G6">
        <f t="shared" si="1"/>
        <v>-4.9073246242380346</v>
      </c>
      <c r="H6">
        <f>(G6-D6)^2</f>
        <v>4.7100343833252354E-3</v>
      </c>
    </row>
    <row r="7" spans="1:8" x14ac:dyDescent="0.35">
      <c r="G7" t="s">
        <v>21</v>
      </c>
      <c r="H7">
        <f>SUM(H3:H6)</f>
        <v>1.5051616353902949E-2</v>
      </c>
    </row>
    <row r="8" spans="1:8" x14ac:dyDescent="0.35">
      <c r="G8" t="s">
        <v>666</v>
      </c>
      <c r="H8">
        <f>SQRT(SUM(H3:H6)/(COUNT(H3:H6)-1))</f>
        <v>7.0832234549680725E-2</v>
      </c>
    </row>
    <row r="9" spans="1:8" x14ac:dyDescent="0.35">
      <c r="A9" t="s">
        <v>39</v>
      </c>
    </row>
    <row r="10" spans="1:8" x14ac:dyDescent="0.35">
      <c r="A10" t="s">
        <v>33</v>
      </c>
      <c r="B10" t="s">
        <v>30</v>
      </c>
      <c r="C10" t="s">
        <v>36</v>
      </c>
      <c r="D10" t="s">
        <v>20</v>
      </c>
      <c r="E10" t="s">
        <v>3</v>
      </c>
      <c r="F10" t="s">
        <v>4</v>
      </c>
      <c r="G10" t="s">
        <v>6</v>
      </c>
      <c r="H10" t="s">
        <v>7</v>
      </c>
    </row>
    <row r="11" spans="1:8" x14ac:dyDescent="0.35">
      <c r="A11">
        <v>90</v>
      </c>
      <c r="B11">
        <f>A11+273.15</f>
        <v>363.15</v>
      </c>
      <c r="C11">
        <v>3.3730000000000002</v>
      </c>
      <c r="D11">
        <f>LOG10(C11*0.00000986923)</f>
        <v>-4.4777003885926288</v>
      </c>
      <c r="E11">
        <v>7.9885623426440562</v>
      </c>
      <c r="F11">
        <v>4526.7365112396246</v>
      </c>
      <c r="G11">
        <f>$E$11-($F$11/(B11))</f>
        <v>-4.4766352650652239</v>
      </c>
      <c r="H11">
        <f t="shared" ref="H11:H17" si="2">(G11-D11)^2</f>
        <v>1.1344881286313356E-6</v>
      </c>
    </row>
    <row r="12" spans="1:8" x14ac:dyDescent="0.35">
      <c r="A12">
        <v>100</v>
      </c>
      <c r="B12">
        <f t="shared" ref="B12:B17" si="3">A12+273.15</f>
        <v>373.15</v>
      </c>
      <c r="C12">
        <v>7.649</v>
      </c>
      <c r="D12">
        <f t="shared" ref="D12:D17" si="4">LOG10(C12*0.00000986923)</f>
        <v>-4.1221120688595381</v>
      </c>
      <c r="G12">
        <f t="shared" ref="G12:G17" si="5">$E$11-($F$11/(B12))</f>
        <v>-4.1425819994157722</v>
      </c>
      <c r="H12">
        <f t="shared" si="2"/>
        <v>4.1901805697704809E-4</v>
      </c>
    </row>
    <row r="13" spans="1:8" x14ac:dyDescent="0.35">
      <c r="A13">
        <v>110</v>
      </c>
      <c r="B13">
        <f t="shared" si="3"/>
        <v>383.15</v>
      </c>
      <c r="C13">
        <v>14.927</v>
      </c>
      <c r="D13">
        <f t="shared" si="4"/>
        <v>-3.8317441969638679</v>
      </c>
      <c r="G13">
        <f t="shared" si="5"/>
        <v>-3.8259659393333019</v>
      </c>
      <c r="H13">
        <f t="shared" si="2"/>
        <v>3.3388261245194815E-5</v>
      </c>
    </row>
    <row r="14" spans="1:8" x14ac:dyDescent="0.35">
      <c r="A14">
        <v>120</v>
      </c>
      <c r="B14">
        <f t="shared" si="3"/>
        <v>393.15</v>
      </c>
      <c r="C14">
        <v>30.524000000000001</v>
      </c>
      <c r="D14">
        <f t="shared" si="4"/>
        <v>-3.5210752848994167</v>
      </c>
      <c r="G14">
        <f t="shared" si="5"/>
        <v>-3.5254565082770304</v>
      </c>
      <c r="H14">
        <f t="shared" si="2"/>
        <v>1.9195118284548865E-5</v>
      </c>
    </row>
    <row r="15" spans="1:8" x14ac:dyDescent="0.35">
      <c r="A15">
        <v>130</v>
      </c>
      <c r="B15">
        <f t="shared" si="3"/>
        <v>403.15</v>
      </c>
      <c r="C15">
        <v>49.386000000000003</v>
      </c>
      <c r="D15">
        <f t="shared" si="4"/>
        <v>-3.312112877709708</v>
      </c>
      <c r="G15">
        <f t="shared" si="5"/>
        <v>-3.2398551477184023</v>
      </c>
      <c r="H15">
        <f t="shared" si="2"/>
        <v>5.2211795434964304E-3</v>
      </c>
    </row>
    <row r="16" spans="1:8" x14ac:dyDescent="0.35">
      <c r="A16">
        <v>140</v>
      </c>
      <c r="B16">
        <f t="shared" si="3"/>
        <v>413.15</v>
      </c>
      <c r="C16">
        <v>123.253</v>
      </c>
      <c r="D16">
        <f t="shared" si="4"/>
        <v>-2.9149192308987746</v>
      </c>
      <c r="G16">
        <f t="shared" si="5"/>
        <v>-2.9680793401336869</v>
      </c>
      <c r="H16">
        <f t="shared" si="2"/>
        <v>2.8259972138678104E-3</v>
      </c>
    </row>
    <row r="17" spans="1:8" x14ac:dyDescent="0.35">
      <c r="A17">
        <v>150</v>
      </c>
      <c r="B17">
        <f t="shared" si="3"/>
        <v>423.15</v>
      </c>
      <c r="C17">
        <v>198.453</v>
      </c>
      <c r="D17">
        <f t="shared" si="4"/>
        <v>-2.7080590612899815</v>
      </c>
      <c r="G17">
        <f t="shared" si="5"/>
        <v>-2.7091488974354077</v>
      </c>
      <c r="H17">
        <f t="shared" si="2"/>
        <v>1.1877428238772766E-6</v>
      </c>
    </row>
    <row r="18" spans="1:8" x14ac:dyDescent="0.35">
      <c r="G18" t="s">
        <v>21</v>
      </c>
      <c r="H18">
        <f>SUM(H11:H17)</f>
        <v>8.5211004248235411E-3</v>
      </c>
    </row>
    <row r="19" spans="1:8" x14ac:dyDescent="0.35">
      <c r="G19" t="s">
        <v>666</v>
      </c>
      <c r="H19">
        <f>SQRT(SUM(H11:H17)/(COUNT(H11:H17)-1))</f>
        <v>3.7685320804489074E-2</v>
      </c>
    </row>
    <row r="20" spans="1:8" x14ac:dyDescent="0.35">
      <c r="A20" t="s">
        <v>37</v>
      </c>
      <c r="B20" t="s">
        <v>49</v>
      </c>
      <c r="C20">
        <f>367.65-273.15</f>
        <v>94.5</v>
      </c>
    </row>
    <row r="21" spans="1:8" x14ac:dyDescent="0.35">
      <c r="A21" t="s">
        <v>33</v>
      </c>
      <c r="B21" t="s">
        <v>30</v>
      </c>
      <c r="C21" t="s">
        <v>36</v>
      </c>
      <c r="D21" t="s">
        <v>20</v>
      </c>
      <c r="E21" t="s">
        <v>3</v>
      </c>
      <c r="F21" t="s">
        <v>4</v>
      </c>
      <c r="G21" t="s">
        <v>6</v>
      </c>
      <c r="H21" t="s">
        <v>7</v>
      </c>
    </row>
    <row r="22" spans="1:8" x14ac:dyDescent="0.35">
      <c r="A22">
        <v>50</v>
      </c>
      <c r="B22">
        <f>A22+273.15</f>
        <v>323.14999999999998</v>
      </c>
      <c r="C22">
        <v>1.9E-2</v>
      </c>
      <c r="D22">
        <f>LOG10(C22*0.00000986923)</f>
        <v>-6.7269631288290013</v>
      </c>
      <c r="E22">
        <v>11.144268448477098</v>
      </c>
      <c r="F22">
        <v>5764.9463991284256</v>
      </c>
      <c r="G22">
        <f>$E$22-($F$22/(B22))</f>
        <v>-6.6955780597340304</v>
      </c>
      <c r="H22">
        <f>(G22-D22)^2</f>
        <v>9.8502256209609461E-4</v>
      </c>
    </row>
    <row r="23" spans="1:8" x14ac:dyDescent="0.35">
      <c r="A23">
        <v>60</v>
      </c>
      <c r="B23">
        <f t="shared" ref="B23:B26" si="6">A23+273.15</f>
        <v>333.15</v>
      </c>
      <c r="C23">
        <v>7.0000000000000007E-2</v>
      </c>
      <c r="D23">
        <f>LOG10(C23*0.00000986923)</f>
        <v>-6.1606186897675732</v>
      </c>
      <c r="G23">
        <f t="shared" ref="G23:G26" si="7">$E$22-($F$22/(B23))</f>
        <v>-6.1600881450346119</v>
      </c>
      <c r="H23">
        <f>(G23-D23)^2</f>
        <v>2.8147771367300306E-7</v>
      </c>
    </row>
    <row r="24" spans="1:8" x14ac:dyDescent="0.35">
      <c r="A24">
        <v>70</v>
      </c>
      <c r="B24">
        <f t="shared" si="6"/>
        <v>343.15</v>
      </c>
      <c r="C24">
        <v>0.26</v>
      </c>
      <c r="D24">
        <f>LOG10(C24*0.00000986923)</f>
        <v>-5.5907433818110119</v>
      </c>
      <c r="G24">
        <f t="shared" si="7"/>
        <v>-5.6558084832682791</v>
      </c>
      <c r="H24">
        <f>(G24-D24)^2</f>
        <v>4.2334674276444722E-3</v>
      </c>
    </row>
    <row r="25" spans="1:8" x14ac:dyDescent="0.35">
      <c r="A25">
        <v>80</v>
      </c>
      <c r="B25">
        <f t="shared" si="6"/>
        <v>353.15</v>
      </c>
      <c r="C25">
        <v>0.67700000000000005</v>
      </c>
      <c r="D25">
        <f>LOG10(C25*0.00000986923)</f>
        <v>-5.1751280610966859</v>
      </c>
      <c r="G25">
        <f t="shared" si="7"/>
        <v>-5.1800877716232154</v>
      </c>
      <c r="H25">
        <f>(G25-D25)^2</f>
        <v>2.4598728506968008E-5</v>
      </c>
    </row>
    <row r="26" spans="1:8" x14ac:dyDescent="0.35">
      <c r="A26">
        <v>90</v>
      </c>
      <c r="B26">
        <f t="shared" si="6"/>
        <v>363.15</v>
      </c>
      <c r="C26">
        <v>1.726</v>
      </c>
      <c r="D26">
        <f>LOG10(C26*0.00000986923)</f>
        <v>-4.7686759384026391</v>
      </c>
      <c r="G26">
        <f t="shared" si="7"/>
        <v>-4.7305667411922574</v>
      </c>
      <c r="H26">
        <f>(G26-D26)^2</f>
        <v>1.4523109120197681E-3</v>
      </c>
    </row>
    <row r="27" spans="1:8" x14ac:dyDescent="0.35">
      <c r="G27" t="s">
        <v>21</v>
      </c>
      <c r="H27">
        <f>SUM(H22:H26)</f>
        <v>6.6956811079809759E-3</v>
      </c>
    </row>
    <row r="28" spans="1:8" x14ac:dyDescent="0.35">
      <c r="G28" t="s">
        <v>666</v>
      </c>
      <c r="H28">
        <f>SQRT(SUM(H22:H26)/(COUNT(H22:H26)-1))</f>
        <v>4.09135708169703E-2</v>
      </c>
    </row>
    <row r="29" spans="1:8" x14ac:dyDescent="0.35">
      <c r="A29" t="s">
        <v>39</v>
      </c>
    </row>
    <row r="30" spans="1:8" x14ac:dyDescent="0.35">
      <c r="A30" t="s">
        <v>33</v>
      </c>
      <c r="B30" t="s">
        <v>30</v>
      </c>
      <c r="C30" t="s">
        <v>36</v>
      </c>
      <c r="D30" t="s">
        <v>20</v>
      </c>
      <c r="E30" t="s">
        <v>3</v>
      </c>
      <c r="F30" t="s">
        <v>4</v>
      </c>
      <c r="G30" t="s">
        <v>6</v>
      </c>
      <c r="H30" t="s">
        <v>7</v>
      </c>
    </row>
    <row r="31" spans="1:8" x14ac:dyDescent="0.35">
      <c r="A31">
        <v>100</v>
      </c>
      <c r="B31">
        <f>A31+273.15</f>
        <v>373.15</v>
      </c>
      <c r="C31">
        <v>4.5819999999999999</v>
      </c>
      <c r="D31">
        <f t="shared" ref="D31:D36" si="8">LOG10(C31*0.00000986923)</f>
        <v>-4.3446616449284514</v>
      </c>
      <c r="E31">
        <v>8.30898771817421</v>
      </c>
      <c r="F31">
        <v>4726.5498381677944</v>
      </c>
      <c r="G31">
        <f>$E$31-($F$31/(B31))</f>
        <v>-4.3576338500096163</v>
      </c>
      <c r="H31">
        <f t="shared" ref="H31:H36" si="9">(G31-D31)^2</f>
        <v>1.6827810466780104E-4</v>
      </c>
    </row>
    <row r="32" spans="1:8" x14ac:dyDescent="0.35">
      <c r="A32">
        <v>110</v>
      </c>
      <c r="B32">
        <f t="shared" ref="B32:B36" si="10">A32+273.15</f>
        <v>383.15</v>
      </c>
      <c r="C32">
        <v>10.542999999999999</v>
      </c>
      <c r="D32">
        <f t="shared" si="8"/>
        <v>-3.9827525232638372</v>
      </c>
      <c r="G32">
        <f t="shared" ref="G32:G36" si="11">$E$31-($F$31/(B32))</f>
        <v>-4.0270421348018957</v>
      </c>
      <c r="H32">
        <f t="shared" si="9"/>
        <v>1.961569690192119E-3</v>
      </c>
    </row>
    <row r="33" spans="1:8" x14ac:dyDescent="0.35">
      <c r="A33">
        <v>120</v>
      </c>
      <c r="B33">
        <f t="shared" si="10"/>
        <v>393.15</v>
      </c>
      <c r="C33">
        <v>17.134</v>
      </c>
      <c r="D33">
        <f t="shared" si="8"/>
        <v>-3.7718579672170023</v>
      </c>
      <c r="G33">
        <f t="shared" si="11"/>
        <v>-3.7132680065308517</v>
      </c>
      <c r="H33">
        <f t="shared" si="9"/>
        <v>3.4327834932046768E-3</v>
      </c>
    </row>
    <row r="34" spans="1:8" x14ac:dyDescent="0.35">
      <c r="A34">
        <v>130</v>
      </c>
      <c r="B34">
        <f t="shared" si="10"/>
        <v>403.15</v>
      </c>
      <c r="C34">
        <v>35.034999999999997</v>
      </c>
      <c r="D34">
        <f t="shared" si="8"/>
        <v>-3.4612146079522361</v>
      </c>
      <c r="G34">
        <f t="shared" si="11"/>
        <v>-3.4150600014532113</v>
      </c>
      <c r="H34">
        <f t="shared" si="9"/>
        <v>2.1302477010798231E-3</v>
      </c>
    </row>
    <row r="35" spans="1:8" x14ac:dyDescent="0.35">
      <c r="A35">
        <v>140</v>
      </c>
      <c r="B35">
        <f t="shared" si="10"/>
        <v>413.15</v>
      </c>
      <c r="C35">
        <v>77.784999999999997</v>
      </c>
      <c r="D35">
        <f t="shared" si="8"/>
        <v>-3.1148208737343754</v>
      </c>
      <c r="G35">
        <f t="shared" si="11"/>
        <v>-3.1312878189619262</v>
      </c>
      <c r="H35">
        <f t="shared" si="9"/>
        <v>2.7116028512715696E-4</v>
      </c>
    </row>
    <row r="36" spans="1:8" x14ac:dyDescent="0.35">
      <c r="A36">
        <v>150</v>
      </c>
      <c r="B36">
        <f t="shared" si="10"/>
        <v>423.15</v>
      </c>
      <c r="C36">
        <v>149.90100000000001</v>
      </c>
      <c r="D36">
        <f t="shared" si="8"/>
        <v>-2.8299121997151833</v>
      </c>
      <c r="G36">
        <f t="shared" si="11"/>
        <v>-2.8609280047793391</v>
      </c>
      <c r="H36">
        <f t="shared" si="9"/>
        <v>9.619801637777125E-4</v>
      </c>
    </row>
    <row r="37" spans="1:8" x14ac:dyDescent="0.35">
      <c r="G37" t="s">
        <v>21</v>
      </c>
      <c r="H37">
        <f>SUM(H31:H36)</f>
        <v>8.9260194380492899E-3</v>
      </c>
    </row>
    <row r="38" spans="1:8" x14ac:dyDescent="0.35">
      <c r="G38" t="s">
        <v>666</v>
      </c>
      <c r="H38">
        <f>SQRT(SUM(H31:H36)/(COUNT(H31:H36)-1))</f>
        <v>4.2251673193021103E-2</v>
      </c>
    </row>
    <row r="39" spans="1:8" x14ac:dyDescent="0.35">
      <c r="A39" t="s">
        <v>38</v>
      </c>
      <c r="B39" t="s">
        <v>49</v>
      </c>
      <c r="C39">
        <f>383.15 - 273.15</f>
        <v>110</v>
      </c>
    </row>
    <row r="40" spans="1:8" x14ac:dyDescent="0.35">
      <c r="A40" t="s">
        <v>33</v>
      </c>
      <c r="B40" t="s">
        <v>30</v>
      </c>
      <c r="C40" t="s">
        <v>36</v>
      </c>
      <c r="D40" t="s">
        <v>20</v>
      </c>
      <c r="E40" t="s">
        <v>3</v>
      </c>
      <c r="F40" t="s">
        <v>4</v>
      </c>
      <c r="G40" t="s">
        <v>6</v>
      </c>
      <c r="H40" t="s">
        <v>7</v>
      </c>
    </row>
    <row r="41" spans="1:8" x14ac:dyDescent="0.35">
      <c r="A41">
        <v>50</v>
      </c>
      <c r="B41">
        <f>A41+273.15</f>
        <v>323.14999999999998</v>
      </c>
      <c r="C41">
        <v>1.2E-2</v>
      </c>
      <c r="D41">
        <f>LOG10(C41*0.00000986923)</f>
        <v>-6.926535483734205</v>
      </c>
      <c r="E41">
        <v>12.886846463373468</v>
      </c>
      <c r="F41">
        <v>6392.1592806641393</v>
      </c>
      <c r="G41">
        <f>$E$41-($F$41/(B41))</f>
        <v>-6.893934228763742</v>
      </c>
      <c r="H41">
        <f t="shared" ref="H41:H47" si="12">(G41-D41)^2</f>
        <v>1.0628418256491429E-3</v>
      </c>
    </row>
    <row r="42" spans="1:8" x14ac:dyDescent="0.35">
      <c r="A42">
        <v>60</v>
      </c>
      <c r="B42">
        <f t="shared" ref="B42:B47" si="13">A42+273.15</f>
        <v>333.15</v>
      </c>
      <c r="C42">
        <v>6.0999999999999999E-2</v>
      </c>
      <c r="D42">
        <f t="shared" ref="D42:D47" si="14">LOG10(C42*0.00000986923)</f>
        <v>-6.220386894771063</v>
      </c>
      <c r="G42">
        <f t="shared" ref="G42:G47" si="15">$E$41-($F$41/(B42))</f>
        <v>-6.3001842455088362</v>
      </c>
      <c r="H42">
        <f t="shared" si="12"/>
        <v>6.3676171847671876E-3</v>
      </c>
    </row>
    <row r="43" spans="1:8" x14ac:dyDescent="0.35">
      <c r="A43">
        <v>70</v>
      </c>
      <c r="B43">
        <f t="shared" si="13"/>
        <v>343.15</v>
      </c>
      <c r="C43">
        <v>0.17799999999999999</v>
      </c>
      <c r="D43">
        <f t="shared" si="14"/>
        <v>-5.7552967274729365</v>
      </c>
      <c r="G43">
        <f t="shared" si="15"/>
        <v>-5.7410401187746896</v>
      </c>
      <c r="H43">
        <f t="shared" si="12"/>
        <v>2.03250891574931E-4</v>
      </c>
    </row>
    <row r="44" spans="1:8" x14ac:dyDescent="0.35">
      <c r="A44">
        <v>80</v>
      </c>
      <c r="B44">
        <f t="shared" si="13"/>
        <v>353.15</v>
      </c>
      <c r="C44">
        <v>0.59099999999999997</v>
      </c>
      <c r="D44">
        <f t="shared" si="14"/>
        <v>-5.2341292489005751</v>
      </c>
      <c r="G44">
        <f t="shared" si="15"/>
        <v>-5.2135620901141149</v>
      </c>
      <c r="H44">
        <f t="shared" si="12"/>
        <v>4.2300802054746721E-4</v>
      </c>
    </row>
    <row r="45" spans="1:8" x14ac:dyDescent="0.35">
      <c r="A45">
        <v>90</v>
      </c>
      <c r="B45">
        <f t="shared" si="13"/>
        <v>363.15</v>
      </c>
      <c r="C45">
        <v>1.7929999999999999</v>
      </c>
      <c r="D45">
        <f t="shared" si="14"/>
        <v>-4.7521364402196475</v>
      </c>
      <c r="G45">
        <f t="shared" si="15"/>
        <v>-4.7151342076003449</v>
      </c>
      <c r="H45">
        <f t="shared" si="12"/>
        <v>1.3691652188129878E-3</v>
      </c>
    </row>
    <row r="46" spans="1:8" x14ac:dyDescent="0.35">
      <c r="A46">
        <v>100</v>
      </c>
      <c r="B46">
        <f t="shared" si="13"/>
        <v>373.15</v>
      </c>
      <c r="C46">
        <v>5.5529999999999999</v>
      </c>
      <c r="D46">
        <f t="shared" si="14"/>
        <v>-4.2611890563092638</v>
      </c>
      <c r="G46">
        <f t="shared" si="15"/>
        <v>-4.2434209375755874</v>
      </c>
      <c r="H46">
        <f t="shared" si="12"/>
        <v>3.157060433340241E-4</v>
      </c>
    </row>
    <row r="47" spans="1:8" x14ac:dyDescent="0.35">
      <c r="A47">
        <v>110</v>
      </c>
      <c r="B47">
        <f t="shared" si="13"/>
        <v>383.15</v>
      </c>
      <c r="C47">
        <v>17.856000000000002</v>
      </c>
      <c r="D47">
        <f t="shared" si="14"/>
        <v>-3.7539325525243452</v>
      </c>
      <c r="G47">
        <f t="shared" si="15"/>
        <v>-3.7963305708536996</v>
      </c>
      <c r="H47">
        <f t="shared" si="12"/>
        <v>1.7975919582562728E-3</v>
      </c>
    </row>
    <row r="48" spans="1:8" x14ac:dyDescent="0.35">
      <c r="G48" t="s">
        <v>21</v>
      </c>
      <c r="H48">
        <f>SUM(H41:H47)</f>
        <v>1.1539181142942013E-2</v>
      </c>
    </row>
    <row r="49" spans="1:8" x14ac:dyDescent="0.35">
      <c r="G49" t="s">
        <v>666</v>
      </c>
      <c r="H49">
        <f>SQRT(SUM(H41:H47)/(COUNT(H41:H47)-1))</f>
        <v>4.3854268402938865E-2</v>
      </c>
    </row>
    <row r="50" spans="1:8" x14ac:dyDescent="0.35">
      <c r="A50" t="s">
        <v>39</v>
      </c>
    </row>
    <row r="51" spans="1:8" x14ac:dyDescent="0.35">
      <c r="A51" t="s">
        <v>33</v>
      </c>
      <c r="B51" t="s">
        <v>30</v>
      </c>
      <c r="C51" t="s">
        <v>36</v>
      </c>
      <c r="D51" t="s">
        <v>20</v>
      </c>
      <c r="E51" t="s">
        <v>3</v>
      </c>
      <c r="F51" t="s">
        <v>4</v>
      </c>
      <c r="G51" t="s">
        <v>6</v>
      </c>
      <c r="H51" t="s">
        <v>7</v>
      </c>
    </row>
    <row r="52" spans="1:8" x14ac:dyDescent="0.35">
      <c r="A52">
        <v>110</v>
      </c>
      <c r="B52">
        <f>A52+273.15</f>
        <v>383.15</v>
      </c>
      <c r="C52">
        <v>17.856000000000002</v>
      </c>
      <c r="D52">
        <f>LOG10(C52*0.00000986923)</f>
        <v>-3.7539325525243452</v>
      </c>
      <c r="E52">
        <v>8.5212748481470779</v>
      </c>
      <c r="F52">
        <v>4697.4627444927173</v>
      </c>
      <c r="G52">
        <f>$E$52-($F$52/(B52))</f>
        <v>-3.738839322524246</v>
      </c>
      <c r="H52">
        <f>(G52-D52)^2</f>
        <v>2.2780559183589483E-4</v>
      </c>
    </row>
    <row r="53" spans="1:8" x14ac:dyDescent="0.35">
      <c r="A53">
        <v>120</v>
      </c>
      <c r="B53">
        <f t="shared" ref="B53:B56" si="16">A53+273.15</f>
        <v>393.15</v>
      </c>
      <c r="C53">
        <v>40.567999999999998</v>
      </c>
      <c r="D53">
        <f t="shared" ref="D53:D56" si="17">LOG10(C53*0.00000986923)</f>
        <v>-3.3975331322420135</v>
      </c>
      <c r="G53">
        <f t="shared" ref="G53:G56" si="18">$E$52-($F$52/(B53))</f>
        <v>-3.4269961539964235</v>
      </c>
      <c r="H53">
        <f>(G53-D53)^2</f>
        <v>8.6806965090084089E-4</v>
      </c>
    </row>
    <row r="54" spans="1:8" x14ac:dyDescent="0.35">
      <c r="A54">
        <v>130</v>
      </c>
      <c r="B54">
        <f t="shared" si="16"/>
        <v>403.15</v>
      </c>
      <c r="C54">
        <v>74.227000000000004</v>
      </c>
      <c r="D54">
        <f t="shared" si="17"/>
        <v>-3.1351548215634359</v>
      </c>
      <c r="G54">
        <f t="shared" si="18"/>
        <v>-3.1306233150495419</v>
      </c>
      <c r="H54">
        <f>(G54-D54)^2</f>
        <v>2.0534551285463765E-5</v>
      </c>
    </row>
    <row r="55" spans="1:8" x14ac:dyDescent="0.35">
      <c r="A55">
        <v>140</v>
      </c>
      <c r="B55">
        <f t="shared" si="16"/>
        <v>413.15</v>
      </c>
      <c r="C55">
        <v>137.601</v>
      </c>
      <c r="D55">
        <f t="shared" si="17"/>
        <v>-2.8670951396839088</v>
      </c>
      <c r="G55">
        <f t="shared" si="18"/>
        <v>-2.8485974609240046</v>
      </c>
      <c r="H55">
        <f>(G55-D55)^2</f>
        <v>3.4216411950461351E-4</v>
      </c>
    </row>
    <row r="56" spans="1:8" x14ac:dyDescent="0.35">
      <c r="A56">
        <v>150</v>
      </c>
      <c r="B56">
        <f t="shared" si="16"/>
        <v>423.15</v>
      </c>
      <c r="C56">
        <v>271.94099999999997</v>
      </c>
      <c r="D56">
        <f t="shared" si="17"/>
        <v>-2.5712420395485136</v>
      </c>
      <c r="G56">
        <f t="shared" si="18"/>
        <v>-2.5799014356594157</v>
      </c>
      <c r="H56">
        <f>(G56-D56)^2</f>
        <v>7.4985141005505572E-5</v>
      </c>
    </row>
    <row r="57" spans="1:8" x14ac:dyDescent="0.35">
      <c r="G57" t="s">
        <v>21</v>
      </c>
      <c r="H57">
        <f>SUM(H52:H56)</f>
        <v>1.5335590545323184E-3</v>
      </c>
    </row>
    <row r="58" spans="1:8" x14ac:dyDescent="0.35">
      <c r="G58" t="s">
        <v>666</v>
      </c>
      <c r="H58">
        <f>SQRT(SUM(H52:H56)/(COUNT(H52:H56)-1))</f>
        <v>1.9580341254254983E-2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opLeftCell="A39" workbookViewId="0">
      <selection activeCell="C41" sqref="C41"/>
    </sheetView>
  </sheetViews>
  <sheetFormatPr defaultRowHeight="14.5" x14ac:dyDescent="0.35"/>
  <sheetData>
    <row r="1" spans="1:9" x14ac:dyDescent="0.35">
      <c r="A1" t="s">
        <v>35</v>
      </c>
      <c r="B1" t="s">
        <v>49</v>
      </c>
      <c r="C1">
        <f>353.55 - 273.15</f>
        <v>80.400000000000034</v>
      </c>
    </row>
    <row r="2" spans="1:9" x14ac:dyDescent="0.35">
      <c r="A2" t="s">
        <v>33</v>
      </c>
      <c r="B2" t="s">
        <v>30</v>
      </c>
      <c r="C2" t="s">
        <v>36</v>
      </c>
      <c r="D2" t="s">
        <v>20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5">
      <c r="A3">
        <f>B3-273.15</f>
        <v>51.140000000000043</v>
      </c>
      <c r="B3">
        <v>324.29000000000002</v>
      </c>
      <c r="C3">
        <v>2.4E-2</v>
      </c>
      <c r="D3">
        <f>LOG10(C3*0.00000986923)</f>
        <v>-6.6255054880702238</v>
      </c>
      <c r="E3">
        <v>16.352337916533802</v>
      </c>
      <c r="F3">
        <v>7466.8589863709385</v>
      </c>
      <c r="H3">
        <f>$E$3-($F$3/(B3-$G$3))</f>
        <v>-6.6729141306182456</v>
      </c>
      <c r="I3">
        <f>(H3-D3)^2</f>
        <v>2.2475793882461024E-3</v>
      </c>
    </row>
    <row r="4" spans="1:9" x14ac:dyDescent="0.35">
      <c r="A4">
        <f t="shared" ref="A4:A36" si="0">B4-273.15</f>
        <v>60.230000000000018</v>
      </c>
      <c r="B4">
        <v>333.38</v>
      </c>
      <c r="C4">
        <v>8.3000000000000004E-2</v>
      </c>
      <c r="D4">
        <f>LOG10(C4*0.00000986923)</f>
        <v>-6.0866386374057564</v>
      </c>
      <c r="H4">
        <f t="shared" ref="H4:H6" si="1">$E$3-($F$3/(B4-$G$3))</f>
        <v>-6.0451034007945879</v>
      </c>
      <c r="I4">
        <f>(H4-D4)^2</f>
        <v>1.7251758803457551E-3</v>
      </c>
    </row>
    <row r="5" spans="1:9" x14ac:dyDescent="0.35">
      <c r="A5">
        <f t="shared" si="0"/>
        <v>68.850000000000023</v>
      </c>
      <c r="B5">
        <v>342</v>
      </c>
      <c r="C5">
        <v>0.28999999999999998</v>
      </c>
      <c r="D5">
        <f>LOG10(C5*0.00000986923)</f>
        <v>-5.5433187318828745</v>
      </c>
      <c r="H5">
        <f t="shared" si="1"/>
        <v>-5.4805830962467184</v>
      </c>
      <c r="I5">
        <f>(H5-D5)^2</f>
        <v>3.9357599786725445E-3</v>
      </c>
    </row>
    <row r="6" spans="1:9" x14ac:dyDescent="0.35">
      <c r="A6">
        <f t="shared" si="0"/>
        <v>78.270000000000039</v>
      </c>
      <c r="B6">
        <v>351.42</v>
      </c>
      <c r="C6">
        <v>1.4690000000000001</v>
      </c>
      <c r="D6">
        <f>LOG10(C6*0.00000986923)</f>
        <v>-4.8386949339915732</v>
      </c>
      <c r="H6">
        <f t="shared" si="1"/>
        <v>-4.8953400368295199</v>
      </c>
      <c r="I6">
        <f>(H6-D6)^2</f>
        <v>3.2086676755215529E-3</v>
      </c>
    </row>
    <row r="7" spans="1:9" x14ac:dyDescent="0.35">
      <c r="H7" t="s">
        <v>21</v>
      </c>
      <c r="I7">
        <f>SUM(I3:I6)</f>
        <v>1.1117182922785955E-2</v>
      </c>
    </row>
    <row r="8" spans="1:9" x14ac:dyDescent="0.35">
      <c r="H8" t="s">
        <v>666</v>
      </c>
      <c r="I8">
        <f>SQRT(SUM(I3:I6)/(COUNT(I3:I6)-1))</f>
        <v>6.0874688015041617E-2</v>
      </c>
    </row>
    <row r="9" spans="1:9" x14ac:dyDescent="0.35">
      <c r="A9" t="s">
        <v>39</v>
      </c>
    </row>
    <row r="10" spans="1:9" x14ac:dyDescent="0.35">
      <c r="A10" t="s">
        <v>33</v>
      </c>
      <c r="B10" t="s">
        <v>30</v>
      </c>
      <c r="C10" t="s">
        <v>36</v>
      </c>
      <c r="D10" t="s">
        <v>20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9" x14ac:dyDescent="0.35">
      <c r="A11">
        <f t="shared" si="0"/>
        <v>87.31</v>
      </c>
      <c r="B11">
        <v>360.46</v>
      </c>
      <c r="C11">
        <v>3.3730000000000002</v>
      </c>
      <c r="D11">
        <f>LOG10(C11*0.00000986923)</f>
        <v>-4.4777003885926288</v>
      </c>
      <c r="E11">
        <v>8.4557406345756121</v>
      </c>
      <c r="F11">
        <v>4656.7607747350594</v>
      </c>
      <c r="H11">
        <f>$E$11-($F$11/(B11+$G$11))</f>
        <v>-4.4631984286631923</v>
      </c>
      <c r="I11">
        <f>(H11-D11)^2</f>
        <v>2.1030684179498135E-4</v>
      </c>
    </row>
    <row r="12" spans="1:9" x14ac:dyDescent="0.35">
      <c r="A12">
        <f t="shared" si="0"/>
        <v>96.57000000000005</v>
      </c>
      <c r="B12">
        <v>369.72</v>
      </c>
      <c r="C12">
        <v>7.649</v>
      </c>
      <c r="D12">
        <f t="shared" ref="D12:D17" si="2">LOG10(C12*0.00000986923)</f>
        <v>-4.1221120688595381</v>
      </c>
      <c r="H12">
        <f t="shared" ref="H12:H17" si="3">$E$11-($F$11/(B12+$G$11))</f>
        <v>-4.1396309296758727</v>
      </c>
      <c r="I12">
        <f t="shared" ref="I12:I17" si="4">(H12-D12)^2</f>
        <v>3.0691048430210311E-4</v>
      </c>
    </row>
    <row r="13" spans="1:9" x14ac:dyDescent="0.35">
      <c r="A13">
        <f t="shared" si="0"/>
        <v>105.72000000000003</v>
      </c>
      <c r="B13">
        <v>378.87</v>
      </c>
      <c r="C13">
        <v>14.927</v>
      </c>
      <c r="D13">
        <f t="shared" si="2"/>
        <v>-3.8317441969638679</v>
      </c>
      <c r="H13">
        <f t="shared" si="3"/>
        <v>-3.8354430820951695</v>
      </c>
      <c r="I13">
        <f t="shared" si="4"/>
        <v>1.3681751214563802E-5</v>
      </c>
    </row>
    <row r="14" spans="1:9" x14ac:dyDescent="0.35">
      <c r="A14">
        <f t="shared" si="0"/>
        <v>115</v>
      </c>
      <c r="B14">
        <v>388.15</v>
      </c>
      <c r="C14">
        <v>30.524000000000001</v>
      </c>
      <c r="D14">
        <f t="shared" si="2"/>
        <v>-3.5210752848994167</v>
      </c>
      <c r="H14">
        <f t="shared" si="3"/>
        <v>-3.5415819848629031</v>
      </c>
      <c r="I14">
        <f t="shared" si="4"/>
        <v>4.2052474339245391E-4</v>
      </c>
    </row>
    <row r="15" spans="1:9" x14ac:dyDescent="0.35">
      <c r="A15">
        <f t="shared" si="0"/>
        <v>124.37</v>
      </c>
      <c r="B15">
        <v>397.52</v>
      </c>
      <c r="C15">
        <v>49.386000000000003</v>
      </c>
      <c r="D15">
        <f t="shared" si="2"/>
        <v>-3.312112877709708</v>
      </c>
      <c r="H15">
        <f t="shared" si="3"/>
        <v>-3.2587914008818739</v>
      </c>
      <c r="I15">
        <f t="shared" si="4"/>
        <v>2.8431798911012444E-3</v>
      </c>
    </row>
    <row r="16" spans="1:9" x14ac:dyDescent="0.35">
      <c r="A16">
        <f t="shared" si="0"/>
        <v>135.15000000000003</v>
      </c>
      <c r="B16">
        <v>408.3</v>
      </c>
      <c r="C16">
        <v>123.253</v>
      </c>
      <c r="D16">
        <f t="shared" si="2"/>
        <v>-2.9149192308987746</v>
      </c>
      <c r="H16">
        <f t="shared" si="3"/>
        <v>-2.9495025070728307</v>
      </c>
      <c r="I16">
        <f t="shared" si="4"/>
        <v>1.1960029909310363E-3</v>
      </c>
    </row>
    <row r="17" spans="1:9" x14ac:dyDescent="0.35">
      <c r="A17">
        <f t="shared" si="0"/>
        <v>144.30000000000001</v>
      </c>
      <c r="B17">
        <v>417.45</v>
      </c>
      <c r="C17">
        <v>198.453</v>
      </c>
      <c r="D17">
        <f t="shared" si="2"/>
        <v>-2.7080590612899815</v>
      </c>
      <c r="H17">
        <f t="shared" si="3"/>
        <v>-2.6995133473026005</v>
      </c>
      <c r="I17">
        <f t="shared" si="4"/>
        <v>7.3029227554119626E-5</v>
      </c>
    </row>
    <row r="18" spans="1:9" x14ac:dyDescent="0.35">
      <c r="H18" t="s">
        <v>21</v>
      </c>
      <c r="I18">
        <f>SUM(I11:I17)</f>
        <v>5.0636359302905021E-3</v>
      </c>
    </row>
    <row r="19" spans="1:9" x14ac:dyDescent="0.35">
      <c r="H19" t="s">
        <v>666</v>
      </c>
      <c r="I19">
        <f>SQRT(SUM(I11:I17)/(COUNT(I11:I17)-1))</f>
        <v>2.9050633757546213E-2</v>
      </c>
    </row>
    <row r="20" spans="1:9" x14ac:dyDescent="0.35">
      <c r="A20" t="s">
        <v>37</v>
      </c>
      <c r="B20" t="s">
        <v>49</v>
      </c>
      <c r="C20">
        <f>367.65-273.15</f>
        <v>94.5</v>
      </c>
    </row>
    <row r="21" spans="1:9" x14ac:dyDescent="0.35">
      <c r="A21" t="s">
        <v>33</v>
      </c>
      <c r="B21" t="s">
        <v>30</v>
      </c>
      <c r="C21" t="s">
        <v>36</v>
      </c>
      <c r="D21" t="s">
        <v>20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</row>
    <row r="22" spans="1:9" x14ac:dyDescent="0.35">
      <c r="A22">
        <f t="shared" si="0"/>
        <v>50.879999999999995</v>
      </c>
      <c r="B22">
        <v>324.02999999999997</v>
      </c>
      <c r="C22">
        <v>1.9E-2</v>
      </c>
      <c r="D22">
        <f>LOG10(C22*0.00000986923)</f>
        <v>-6.7269631288290013</v>
      </c>
      <c r="E22">
        <v>12.442318836169704</v>
      </c>
      <c r="F22">
        <v>6196.8945080502099</v>
      </c>
      <c r="H22">
        <f>$E$22-($F$22/(B22+$G$22))</f>
        <v>-6.682127999154833</v>
      </c>
      <c r="I22">
        <f>(H22-D22)^2</f>
        <v>2.0101888528994824E-3</v>
      </c>
    </row>
    <row r="23" spans="1:9" x14ac:dyDescent="0.35">
      <c r="A23">
        <f t="shared" si="0"/>
        <v>59.680000000000007</v>
      </c>
      <c r="B23">
        <v>332.83</v>
      </c>
      <c r="C23">
        <v>7.0000000000000007E-2</v>
      </c>
      <c r="D23">
        <f>LOG10(C23*0.00000986923)</f>
        <v>-6.1606186897675732</v>
      </c>
      <c r="H23">
        <f>$E$22-($F$22/(B23+$G$22))</f>
        <v>-6.1764790728235042</v>
      </c>
      <c r="I23">
        <f>(H23-D23)^2</f>
        <v>2.515517506808619E-4</v>
      </c>
    </row>
    <row r="24" spans="1:9" x14ac:dyDescent="0.35">
      <c r="A24">
        <f t="shared" si="0"/>
        <v>69.38</v>
      </c>
      <c r="B24">
        <v>342.53</v>
      </c>
      <c r="C24">
        <v>0.26</v>
      </c>
      <c r="D24">
        <f>LOG10(C24*0.00000986923)</f>
        <v>-5.5907433818110119</v>
      </c>
      <c r="H24">
        <f>$E$22-($F$22/(B24+$G$22))</f>
        <v>-5.6492191548098027</v>
      </c>
      <c r="I24">
        <f>(H24-D24)^2</f>
        <v>3.4194160278061122E-3</v>
      </c>
    </row>
    <row r="25" spans="1:9" x14ac:dyDescent="0.35">
      <c r="A25">
        <f t="shared" si="0"/>
        <v>78.210000000000036</v>
      </c>
      <c r="B25">
        <v>351.36</v>
      </c>
      <c r="C25">
        <v>0.67700000000000005</v>
      </c>
      <c r="D25">
        <f>LOG10(C25*0.00000986923)</f>
        <v>-5.1751280610966859</v>
      </c>
      <c r="H25">
        <f>$E$22-($F$22/(B25+$G$22))</f>
        <v>-5.1945621635178227</v>
      </c>
      <c r="I25">
        <f>(H25-D25)^2</f>
        <v>3.7768433691523739E-4</v>
      </c>
    </row>
    <row r="26" spans="1:9" x14ac:dyDescent="0.35">
      <c r="A26">
        <f t="shared" si="0"/>
        <v>87.93</v>
      </c>
      <c r="B26">
        <v>361.08</v>
      </c>
      <c r="C26">
        <v>1.726</v>
      </c>
      <c r="D26">
        <f>LOG10(C26*0.00000986923)</f>
        <v>-4.7686759384026391</v>
      </c>
      <c r="H26">
        <f>$E$22-($F$22/(B26+$G$22))</f>
        <v>-4.7197906909439844</v>
      </c>
      <c r="I26">
        <f>(H26-D26)^2</f>
        <v>2.3897674190939103E-3</v>
      </c>
    </row>
    <row r="27" spans="1:9" x14ac:dyDescent="0.35">
      <c r="H27" t="s">
        <v>21</v>
      </c>
      <c r="I27">
        <f>SUM(I22:I26)</f>
        <v>8.448608387395605E-3</v>
      </c>
    </row>
    <row r="28" spans="1:9" x14ac:dyDescent="0.35">
      <c r="H28" t="s">
        <v>666</v>
      </c>
      <c r="I28">
        <f>SQRT(SUM(I22:I26)/(COUNT(I22:I26)-1))</f>
        <v>4.595815593394606E-2</v>
      </c>
    </row>
    <row r="29" spans="1:9" x14ac:dyDescent="0.35">
      <c r="A29" t="s">
        <v>39</v>
      </c>
    </row>
    <row r="30" spans="1:9" x14ac:dyDescent="0.35">
      <c r="A30" t="s">
        <v>33</v>
      </c>
      <c r="B30" t="s">
        <v>30</v>
      </c>
      <c r="C30" t="s">
        <v>36</v>
      </c>
      <c r="D30" t="s">
        <v>20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</row>
    <row r="31" spans="1:9" x14ac:dyDescent="0.35">
      <c r="A31">
        <f t="shared" si="0"/>
        <v>97.54000000000002</v>
      </c>
      <c r="B31">
        <v>370.69</v>
      </c>
      <c r="C31">
        <v>4.5819999999999999</v>
      </c>
      <c r="D31">
        <f t="shared" ref="D31:D36" si="5">LOG10(C31*0.00000986923)</f>
        <v>-4.3446616449284514</v>
      </c>
      <c r="E31">
        <v>9.1606175046568179</v>
      </c>
      <c r="F31">
        <v>5008.360690317324</v>
      </c>
      <c r="H31">
        <f t="shared" ref="H31:H36" si="6">$E$31-($F$31/(B31+$G$31))</f>
        <v>-4.3502964404653159</v>
      </c>
      <c r="I31">
        <f t="shared" ref="I31:I36" si="7">(H31-D31)^2</f>
        <v>3.1750920742268351E-5</v>
      </c>
    </row>
    <row r="32" spans="1:9" x14ac:dyDescent="0.35">
      <c r="A32">
        <f t="shared" si="0"/>
        <v>106.72000000000003</v>
      </c>
      <c r="B32">
        <v>379.87</v>
      </c>
      <c r="C32">
        <v>10.542999999999999</v>
      </c>
      <c r="D32">
        <f t="shared" si="5"/>
        <v>-3.9827525232638372</v>
      </c>
      <c r="H32">
        <f t="shared" si="6"/>
        <v>-4.0237895038390459</v>
      </c>
      <c r="I32">
        <f t="shared" si="7"/>
        <v>1.6840337747300528E-3</v>
      </c>
    </row>
    <row r="33" spans="1:9" x14ac:dyDescent="0.35">
      <c r="A33">
        <f t="shared" si="0"/>
        <v>115.65000000000003</v>
      </c>
      <c r="B33">
        <v>388.8</v>
      </c>
      <c r="C33">
        <v>17.134</v>
      </c>
      <c r="D33">
        <f t="shared" si="5"/>
        <v>-3.7718579672170023</v>
      </c>
      <c r="H33">
        <f t="shared" si="6"/>
        <v>-3.7209686329906209</v>
      </c>
      <c r="I33">
        <f t="shared" si="7"/>
        <v>2.5897243380043557E-3</v>
      </c>
    </row>
    <row r="34" spans="1:9" x14ac:dyDescent="0.35">
      <c r="A34">
        <f t="shared" si="0"/>
        <v>124.43</v>
      </c>
      <c r="B34">
        <v>397.58</v>
      </c>
      <c r="C34">
        <v>35.034999999999997</v>
      </c>
      <c r="D34">
        <f t="shared" si="5"/>
        <v>-3.4612146079522361</v>
      </c>
      <c r="H34">
        <f t="shared" si="6"/>
        <v>-3.4364967624525047</v>
      </c>
      <c r="I34">
        <f t="shared" si="7"/>
        <v>6.1097188614859372E-4</v>
      </c>
    </row>
    <row r="35" spans="1:9" x14ac:dyDescent="0.35">
      <c r="A35">
        <f t="shared" si="0"/>
        <v>134.59000000000003</v>
      </c>
      <c r="B35">
        <v>407.74</v>
      </c>
      <c r="C35">
        <v>77.784999999999997</v>
      </c>
      <c r="D35">
        <f t="shared" si="5"/>
        <v>-3.1148208737343754</v>
      </c>
      <c r="H35">
        <f t="shared" si="6"/>
        <v>-3.1226038872039847</v>
      </c>
      <c r="I35">
        <f t="shared" si="7"/>
        <v>6.0575298668119813E-5</v>
      </c>
    </row>
    <row r="36" spans="1:9" x14ac:dyDescent="0.35">
      <c r="A36">
        <f t="shared" si="0"/>
        <v>143.81</v>
      </c>
      <c r="B36">
        <v>416.96</v>
      </c>
      <c r="C36">
        <v>149.90100000000001</v>
      </c>
      <c r="D36">
        <f t="shared" si="5"/>
        <v>-2.8299121997151833</v>
      </c>
      <c r="H36">
        <f t="shared" si="6"/>
        <v>-2.8509919790282456</v>
      </c>
      <c r="I36">
        <f t="shared" si="7"/>
        <v>4.4435709588741242E-4</v>
      </c>
    </row>
    <row r="37" spans="1:9" x14ac:dyDescent="0.35">
      <c r="H37" t="s">
        <v>21</v>
      </c>
      <c r="I37">
        <f>SUM(I31:I36)</f>
        <v>5.4214133141808028E-3</v>
      </c>
    </row>
    <row r="38" spans="1:9" x14ac:dyDescent="0.35">
      <c r="H38" t="s">
        <v>666</v>
      </c>
      <c r="I38">
        <f>SQRT(SUM(I31:I36)/(COUNT(I31:I36)-1))</f>
        <v>3.2928447622628074E-2</v>
      </c>
    </row>
    <row r="39" spans="1:9" x14ac:dyDescent="0.35">
      <c r="A39" t="s">
        <v>38</v>
      </c>
      <c r="B39" t="s">
        <v>49</v>
      </c>
      <c r="C39">
        <f>383.15 - 273.15</f>
        <v>110</v>
      </c>
    </row>
    <row r="40" spans="1:9" x14ac:dyDescent="0.35">
      <c r="A40" t="s">
        <v>33</v>
      </c>
      <c r="B40" t="s">
        <v>30</v>
      </c>
      <c r="C40" t="s">
        <v>36</v>
      </c>
      <c r="D40" t="s">
        <v>20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</row>
    <row r="41" spans="1:9" x14ac:dyDescent="0.35">
      <c r="A41">
        <f t="shared" ref="A41:A47" si="8">B41-273.15</f>
        <v>51.020000000000039</v>
      </c>
      <c r="B41">
        <v>324.17</v>
      </c>
      <c r="C41">
        <v>1.2E-2</v>
      </c>
      <c r="D41">
        <f>LOG10(C41*0.00000986923)</f>
        <v>-6.926535483734205</v>
      </c>
      <c r="E41">
        <v>14.638934942079198</v>
      </c>
      <c r="F41">
        <v>6989.0556925684541</v>
      </c>
      <c r="H41">
        <f>$E$41-($F$41/(B41+$G$41))</f>
        <v>-6.9209123373373256</v>
      </c>
      <c r="I41">
        <f>(H41-D41)^2</f>
        <v>3.1619775400738243E-5</v>
      </c>
    </row>
    <row r="42" spans="1:9" x14ac:dyDescent="0.35">
      <c r="A42">
        <f t="shared" si="8"/>
        <v>61.850000000000023</v>
      </c>
      <c r="B42">
        <v>335</v>
      </c>
      <c r="C42">
        <v>6.0999999999999999E-2</v>
      </c>
      <c r="D42">
        <f t="shared" ref="D42:D47" si="9">LOG10(C42*0.00000986923)</f>
        <v>-6.220386894771063</v>
      </c>
      <c r="H42">
        <f t="shared" ref="H42:H47" si="10">$E$41-($F$41/(B42+$G$41))</f>
        <v>-6.2239178715579779</v>
      </c>
      <c r="I42">
        <f t="shared" ref="I42:I47" si="11">(H42-D42)^2</f>
        <v>1.2467797069732161E-5</v>
      </c>
    </row>
    <row r="43" spans="1:9" x14ac:dyDescent="0.35">
      <c r="A43">
        <f t="shared" si="8"/>
        <v>69.140000000000043</v>
      </c>
      <c r="B43">
        <v>342.29</v>
      </c>
      <c r="C43">
        <v>0.17799999999999999</v>
      </c>
      <c r="D43">
        <f t="shared" si="9"/>
        <v>-5.7552967274729365</v>
      </c>
      <c r="H43">
        <f t="shared" si="10"/>
        <v>-5.779586465407009</v>
      </c>
      <c r="I43">
        <f t="shared" si="11"/>
        <v>5.8999136890592154E-4</v>
      </c>
    </row>
    <row r="44" spans="1:9" x14ac:dyDescent="0.35">
      <c r="A44">
        <f t="shared" si="8"/>
        <v>78.28000000000003</v>
      </c>
      <c r="B44">
        <v>351.43</v>
      </c>
      <c r="C44">
        <v>0.59099999999999997</v>
      </c>
      <c r="D44">
        <f t="shared" si="9"/>
        <v>-5.2341292489005751</v>
      </c>
      <c r="H44">
        <f t="shared" si="10"/>
        <v>-5.2485410632944305</v>
      </c>
      <c r="I44">
        <f t="shared" si="11"/>
        <v>2.0770039412293815E-4</v>
      </c>
    </row>
    <row r="45" spans="1:9" x14ac:dyDescent="0.35">
      <c r="A45">
        <f t="shared" si="8"/>
        <v>88.32000000000005</v>
      </c>
      <c r="B45">
        <v>361.47</v>
      </c>
      <c r="C45">
        <v>1.7929999999999999</v>
      </c>
      <c r="D45">
        <f t="shared" si="9"/>
        <v>-4.7521364402196475</v>
      </c>
      <c r="H45">
        <f t="shared" si="10"/>
        <v>-4.6961570228652061</v>
      </c>
      <c r="I45">
        <f t="shared" si="11"/>
        <v>3.1336951673427409E-3</v>
      </c>
    </row>
    <row r="46" spans="1:9" x14ac:dyDescent="0.35">
      <c r="A46">
        <f t="shared" si="8"/>
        <v>97.140000000000043</v>
      </c>
      <c r="B46">
        <v>370.29</v>
      </c>
      <c r="C46">
        <v>5.5529999999999999</v>
      </c>
      <c r="D46">
        <f t="shared" si="9"/>
        <v>-4.2611890563092638</v>
      </c>
      <c r="H46">
        <f t="shared" si="10"/>
        <v>-4.2356112043694072</v>
      </c>
      <c r="I46">
        <f t="shared" si="11"/>
        <v>6.5422650985722712E-4</v>
      </c>
    </row>
    <row r="47" spans="1:9" x14ac:dyDescent="0.35">
      <c r="A47">
        <f t="shared" si="8"/>
        <v>105.91000000000003</v>
      </c>
      <c r="B47">
        <v>379.06</v>
      </c>
      <c r="C47">
        <v>17.856000000000002</v>
      </c>
      <c r="D47">
        <f t="shared" si="9"/>
        <v>-3.7539325525243452</v>
      </c>
      <c r="H47">
        <f t="shared" si="10"/>
        <v>-3.7989263267659812</v>
      </c>
      <c r="I47">
        <f t="shared" si="11"/>
        <v>2.0244397205073051E-3</v>
      </c>
    </row>
    <row r="48" spans="1:9" x14ac:dyDescent="0.35">
      <c r="H48" t="s">
        <v>21</v>
      </c>
      <c r="I48">
        <f>SUM(I41:I47)</f>
        <v>6.6541407332066033E-3</v>
      </c>
    </row>
    <row r="49" spans="1:9" x14ac:dyDescent="0.35">
      <c r="H49" t="s">
        <v>666</v>
      </c>
      <c r="I49">
        <f>SQRT(SUM(I41:I47)/(COUNT(I41:I47)-1))</f>
        <v>3.3302003776566266E-2</v>
      </c>
    </row>
    <row r="50" spans="1:9" x14ac:dyDescent="0.35">
      <c r="A50" t="s">
        <v>39</v>
      </c>
    </row>
    <row r="51" spans="1:9" x14ac:dyDescent="0.35">
      <c r="A51" t="s">
        <v>33</v>
      </c>
      <c r="B51" t="s">
        <v>30</v>
      </c>
      <c r="C51" t="s">
        <v>36</v>
      </c>
      <c r="D51" t="s">
        <v>20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</row>
    <row r="52" spans="1:9" x14ac:dyDescent="0.35">
      <c r="A52">
        <f>B52-273.15</f>
        <v>115.49000000000001</v>
      </c>
      <c r="B52">
        <v>388.64</v>
      </c>
      <c r="C52">
        <v>40.567999999999998</v>
      </c>
      <c r="D52">
        <f>LOG10(C52*0.00000986923)</f>
        <v>-3.3975331322420135</v>
      </c>
      <c r="E52">
        <v>8.8079518647764559</v>
      </c>
      <c r="F52">
        <v>4748.9871944303959</v>
      </c>
      <c r="H52">
        <f>$E$52-($F$52/(B52+$G$52))</f>
        <v>-3.4115499735067782</v>
      </c>
      <c r="I52">
        <f>(H52-D52)^2</f>
        <v>1.9647183904161238E-4</v>
      </c>
    </row>
    <row r="53" spans="1:9" x14ac:dyDescent="0.35">
      <c r="A53">
        <f>B53-273.15</f>
        <v>125.21000000000004</v>
      </c>
      <c r="B53">
        <v>398.36</v>
      </c>
      <c r="C53">
        <v>74.227000000000004</v>
      </c>
      <c r="D53">
        <f>LOG10(C53*0.00000986923)</f>
        <v>-3.1351548215634359</v>
      </c>
      <c r="H53">
        <f>$E$52-($F$52/(B53+$G$52))</f>
        <v>-3.1133936378603444</v>
      </c>
      <c r="I53">
        <f>(H53-D53)^2</f>
        <v>4.7354911615969712E-4</v>
      </c>
    </row>
    <row r="54" spans="1:9" x14ac:dyDescent="0.35">
      <c r="A54">
        <f>B54-273.15</f>
        <v>133.62</v>
      </c>
      <c r="B54">
        <v>406.77</v>
      </c>
      <c r="C54">
        <v>137.601</v>
      </c>
      <c r="D54">
        <f>LOG10(C54*0.00000986923)</f>
        <v>-2.8670951396839088</v>
      </c>
      <c r="H54">
        <f>$E$52-($F$52/(B54+$G$52))</f>
        <v>-2.8669189330463833</v>
      </c>
      <c r="I54">
        <f>(H54-D54)^2</f>
        <v>3.1048779108039041E-8</v>
      </c>
    </row>
    <row r="55" spans="1:9" x14ac:dyDescent="0.35">
      <c r="A55">
        <f>B55-273.15</f>
        <v>143.90000000000003</v>
      </c>
      <c r="B55">
        <v>417.05</v>
      </c>
      <c r="C55">
        <v>271.94099999999997</v>
      </c>
      <c r="D55">
        <f>LOG10(C55*0.00000986923)</f>
        <v>-2.5712420395485136</v>
      </c>
      <c r="H55">
        <f>$E$52-($F$52/(B55+$G$52))</f>
        <v>-2.5791412761668262</v>
      </c>
      <c r="I55">
        <f>(H55-D55)^2</f>
        <v>6.2397939152090669E-5</v>
      </c>
    </row>
    <row r="56" spans="1:9" x14ac:dyDescent="0.35">
      <c r="H56" t="s">
        <v>21</v>
      </c>
      <c r="I56">
        <f>SUM(I52:I55)</f>
        <v>7.3244994313250821E-4</v>
      </c>
    </row>
    <row r="57" spans="1:9" x14ac:dyDescent="0.35">
      <c r="H57" t="s">
        <v>666</v>
      </c>
      <c r="I57">
        <f>SQRT(SUM(I52:I55)/(COUNT(I52:I55)-1))</f>
        <v>1.5625299390545109E-2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Widegreen 2010</vt:lpstr>
      <vt:lpstr>Morrison 2021</vt:lpstr>
      <vt:lpstr>Aernecke 2015</vt:lpstr>
      <vt:lpstr>Cuddy 2014</vt:lpstr>
      <vt:lpstr>Gorn 2020</vt:lpstr>
      <vt:lpstr>Rogers 1973</vt:lpstr>
      <vt:lpstr>Rivera 2011</vt:lpstr>
      <vt:lpstr>Liu 2013</vt:lpstr>
      <vt:lpstr>Zhang 2014</vt:lpstr>
      <vt:lpstr>Brady 2012</vt:lpstr>
      <vt:lpstr>Stejfa 2021</vt:lpstr>
      <vt:lpstr>Ruzika 2015</vt:lpstr>
      <vt:lpstr>Rauch 2007</vt:lpstr>
      <vt:lpstr>Sucesca 2010</vt:lpstr>
      <vt:lpstr>Hikal 2011</vt:lpstr>
      <vt:lpstr>Hikal 2014</vt:lpstr>
      <vt:lpstr>Egorshev 2013</vt:lpstr>
      <vt:lpstr>Hartel 2017</vt:lpstr>
      <vt:lpstr>NMP</vt:lpstr>
      <vt:lpstr>Tunnell 2015</vt:lpstr>
      <vt:lpstr>Bikelytė 2020</vt:lpstr>
      <vt:lpstr>Fettaka 2016</vt:lpstr>
      <vt:lpstr>Aniline</vt:lpstr>
      <vt:lpstr>Menzies 1920</vt:lpstr>
      <vt:lpstr>Brandner 1962</vt:lpstr>
      <vt:lpstr>Aim 1994</vt:lpstr>
      <vt:lpstr>llnl website data</vt:lpstr>
      <vt:lpstr>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2022-07-11T23:25:55Z</dcterms:modified>
</cp:coreProperties>
</file>