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7"/>
  <workbookPr/>
  <mc:AlternateContent xmlns:mc="http://schemas.openxmlformats.org/markup-compatibility/2006">
    <mc:Choice Requires="x15">
      <x15ac:absPath xmlns:x15ac="http://schemas.microsoft.com/office/spreadsheetml/2010/11/ac" url="https://seai.sharepoint.com/sites/HeatProject/Shared Documents/WS 1 - Data, demand scenarios and mapping/1. Deliverables/1. Approved/Final Launch Deliverables/"/>
    </mc:Choice>
  </mc:AlternateContent>
  <xr:revisionPtr revIDLastSave="0" documentId="8_{B6D94231-AC1B-47D0-9F05-F20D36335746}" xr6:coauthVersionLast="47" xr6:coauthVersionMax="47" xr10:uidLastSave="{00000000-0000-0000-0000-000000000000}"/>
  <bookViews>
    <workbookView xWindow="-120" yWindow="-120" windowWidth="29040" windowHeight="15840" tabRatio="712" xr2:uid="{00000000-000D-0000-FFFF-FFFF00000000}"/>
  </bookViews>
  <sheets>
    <sheet name="Cover Sheet" sheetId="14" r:id="rId1"/>
    <sheet name="Summary tables" sheetId="7" r:id="rId2"/>
    <sheet name="Archetype Data" sheetId="9" r:id="rId3"/>
    <sheet name="Waste &amp; Geothermal Heat Sources" sheetId="10" r:id="rId4"/>
    <sheet name="Data Centre Cooling Demand" sheetId="12" r:id="rId5"/>
  </sheets>
  <definedNames>
    <definedName name="_xlnm._FilterDatabase" localSheetId="2" hidden="1">'Archetype Data'!#REF!</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B694" i="9" l="1" a="1"/>
  <c r="AB694" i="9" s="1"/>
  <c r="AB692" i="9" a="1"/>
  <c r="AB692" i="9" s="1"/>
  <c r="AB691" i="9" a="1"/>
  <c r="AB691" i="9" s="1"/>
  <c r="AB690" i="9" a="1"/>
  <c r="AB690" i="9" s="1"/>
  <c r="AB689" i="9" a="1"/>
  <c r="AB689" i="9" s="1"/>
  <c r="S6" i="9"/>
  <c r="O661" i="9" l="1"/>
  <c r="I116" i="7" l="1" a="1"/>
  <c r="I116" i="7" s="1"/>
  <c r="I115" i="7" a="1"/>
  <c r="I115" i="7" s="1"/>
  <c r="I114" i="7" a="1"/>
  <c r="I114" i="7" s="1"/>
  <c r="I113" i="7" a="1"/>
  <c r="I113" i="7" s="1"/>
  <c r="I112" i="7" a="1"/>
  <c r="I112" i="7" s="1"/>
  <c r="I111" i="7" a="1"/>
  <c r="I111" i="7" s="1"/>
  <c r="I110" i="7" a="1"/>
  <c r="I110" i="7" s="1"/>
  <c r="O8" i="9"/>
  <c r="O9" i="9"/>
  <c r="O10" i="9"/>
  <c r="O11" i="9"/>
  <c r="O12" i="9"/>
  <c r="O13" i="9"/>
  <c r="O14" i="9"/>
  <c r="O15" i="9"/>
  <c r="O16" i="9"/>
  <c r="O17" i="9"/>
  <c r="O18" i="9"/>
  <c r="O19" i="9"/>
  <c r="O20" i="9"/>
  <c r="O21" i="9"/>
  <c r="O22" i="9"/>
  <c r="O23" i="9"/>
  <c r="O24" i="9"/>
  <c r="O25" i="9"/>
  <c r="O26" i="9"/>
  <c r="O27" i="9"/>
  <c r="O28" i="9"/>
  <c r="O29" i="9"/>
  <c r="O30" i="9"/>
  <c r="O31" i="9"/>
  <c r="O32" i="9"/>
  <c r="O33" i="9"/>
  <c r="O34"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8" i="9"/>
  <c r="O149" i="9"/>
  <c r="O150" i="9"/>
  <c r="O151" i="9"/>
  <c r="O152" i="9"/>
  <c r="O153" i="9"/>
  <c r="O154" i="9"/>
  <c r="O155" i="9"/>
  <c r="O156" i="9"/>
  <c r="O157" i="9"/>
  <c r="O158" i="9"/>
  <c r="O159" i="9"/>
  <c r="O160" i="9"/>
  <c r="O161" i="9"/>
  <c r="O162" i="9"/>
  <c r="O163" i="9"/>
  <c r="O164" i="9"/>
  <c r="O165" i="9"/>
  <c r="O166" i="9"/>
  <c r="O167" i="9"/>
  <c r="O168" i="9"/>
  <c r="O169" i="9"/>
  <c r="O170" i="9"/>
  <c r="O171" i="9"/>
  <c r="O172" i="9"/>
  <c r="O173" i="9"/>
  <c r="O174" i="9"/>
  <c r="O175" i="9"/>
  <c r="O176" i="9"/>
  <c r="O177" i="9"/>
  <c r="O178" i="9"/>
  <c r="O179" i="9"/>
  <c r="O180" i="9"/>
  <c r="O181" i="9"/>
  <c r="O182" i="9"/>
  <c r="O183" i="9"/>
  <c r="O184" i="9"/>
  <c r="O185" i="9"/>
  <c r="O186" i="9"/>
  <c r="O187" i="9"/>
  <c r="O188" i="9"/>
  <c r="O189" i="9"/>
  <c r="O190" i="9"/>
  <c r="O191" i="9"/>
  <c r="O192" i="9"/>
  <c r="O193" i="9"/>
  <c r="O194" i="9"/>
  <c r="O195" i="9"/>
  <c r="O196" i="9"/>
  <c r="O197" i="9"/>
  <c r="O198" i="9"/>
  <c r="O199" i="9"/>
  <c r="O200" i="9"/>
  <c r="O201" i="9"/>
  <c r="O202" i="9"/>
  <c r="O203" i="9"/>
  <c r="O204" i="9"/>
  <c r="O205" i="9"/>
  <c r="O206" i="9"/>
  <c r="O207" i="9"/>
  <c r="O208" i="9"/>
  <c r="O209" i="9"/>
  <c r="O210" i="9"/>
  <c r="O211" i="9"/>
  <c r="O212" i="9"/>
  <c r="O213" i="9"/>
  <c r="O214" i="9"/>
  <c r="O215" i="9"/>
  <c r="O216" i="9"/>
  <c r="O217" i="9"/>
  <c r="O218" i="9"/>
  <c r="O219" i="9"/>
  <c r="O220" i="9"/>
  <c r="O221" i="9"/>
  <c r="O222" i="9"/>
  <c r="O223" i="9"/>
  <c r="O224" i="9"/>
  <c r="O225" i="9"/>
  <c r="O226" i="9"/>
  <c r="O227" i="9"/>
  <c r="O228" i="9"/>
  <c r="O229" i="9"/>
  <c r="O230" i="9"/>
  <c r="O231" i="9"/>
  <c r="O232" i="9"/>
  <c r="O233" i="9"/>
  <c r="O234" i="9"/>
  <c r="O235" i="9"/>
  <c r="O236" i="9"/>
  <c r="O237" i="9"/>
  <c r="O238" i="9"/>
  <c r="O239" i="9"/>
  <c r="O240" i="9"/>
  <c r="O241" i="9"/>
  <c r="O242" i="9"/>
  <c r="O243" i="9"/>
  <c r="O244" i="9"/>
  <c r="O245" i="9"/>
  <c r="O246" i="9"/>
  <c r="O247" i="9"/>
  <c r="O248" i="9"/>
  <c r="O249" i="9"/>
  <c r="O250" i="9"/>
  <c r="O251" i="9"/>
  <c r="O252" i="9"/>
  <c r="O253" i="9"/>
  <c r="O254" i="9"/>
  <c r="O255" i="9"/>
  <c r="O256" i="9"/>
  <c r="O257" i="9"/>
  <c r="O258" i="9"/>
  <c r="O259" i="9"/>
  <c r="O260" i="9"/>
  <c r="O261" i="9"/>
  <c r="O262" i="9"/>
  <c r="O263" i="9"/>
  <c r="O264" i="9"/>
  <c r="O265" i="9"/>
  <c r="O266" i="9"/>
  <c r="O267" i="9"/>
  <c r="O268" i="9"/>
  <c r="O269" i="9"/>
  <c r="O270" i="9"/>
  <c r="O271" i="9"/>
  <c r="O272" i="9"/>
  <c r="O273" i="9"/>
  <c r="O274" i="9"/>
  <c r="O275" i="9"/>
  <c r="O276" i="9"/>
  <c r="O277" i="9"/>
  <c r="O278" i="9"/>
  <c r="O279" i="9"/>
  <c r="O280" i="9"/>
  <c r="O281" i="9"/>
  <c r="O282" i="9"/>
  <c r="O283" i="9"/>
  <c r="O284" i="9"/>
  <c r="O285" i="9"/>
  <c r="O286" i="9"/>
  <c r="O287" i="9"/>
  <c r="O288" i="9"/>
  <c r="O289" i="9"/>
  <c r="O290" i="9"/>
  <c r="O291" i="9"/>
  <c r="O292" i="9"/>
  <c r="O293" i="9"/>
  <c r="O294" i="9"/>
  <c r="O295" i="9"/>
  <c r="O296" i="9"/>
  <c r="O297" i="9"/>
  <c r="O298" i="9"/>
  <c r="O299" i="9"/>
  <c r="O300" i="9"/>
  <c r="O301" i="9"/>
  <c r="O302" i="9"/>
  <c r="O303" i="9"/>
  <c r="O304" i="9"/>
  <c r="O305" i="9"/>
  <c r="O306" i="9"/>
  <c r="O307" i="9"/>
  <c r="O308" i="9"/>
  <c r="O309" i="9"/>
  <c r="O310" i="9"/>
  <c r="O311" i="9"/>
  <c r="O312" i="9"/>
  <c r="O313" i="9"/>
  <c r="O314" i="9"/>
  <c r="O315" i="9"/>
  <c r="O316" i="9"/>
  <c r="O317" i="9"/>
  <c r="O318" i="9"/>
  <c r="O319" i="9"/>
  <c r="O320" i="9"/>
  <c r="O321" i="9"/>
  <c r="O322" i="9"/>
  <c r="O323" i="9"/>
  <c r="O324" i="9"/>
  <c r="O325" i="9"/>
  <c r="O326" i="9"/>
  <c r="O327" i="9"/>
  <c r="O328" i="9"/>
  <c r="O329" i="9"/>
  <c r="O330" i="9"/>
  <c r="O331" i="9"/>
  <c r="O332" i="9"/>
  <c r="O333" i="9"/>
  <c r="O334" i="9"/>
  <c r="O335" i="9"/>
  <c r="O336" i="9"/>
  <c r="O337" i="9"/>
  <c r="O338" i="9"/>
  <c r="O339" i="9"/>
  <c r="O340" i="9"/>
  <c r="O341" i="9"/>
  <c r="O342" i="9"/>
  <c r="O343" i="9"/>
  <c r="O344" i="9"/>
  <c r="O345" i="9"/>
  <c r="O346" i="9"/>
  <c r="O347" i="9"/>
  <c r="O348" i="9"/>
  <c r="O349" i="9"/>
  <c r="O350" i="9"/>
  <c r="O351" i="9"/>
  <c r="O352" i="9"/>
  <c r="O353" i="9"/>
  <c r="O354" i="9"/>
  <c r="O355" i="9"/>
  <c r="O356" i="9"/>
  <c r="O357" i="9"/>
  <c r="O358" i="9"/>
  <c r="O359" i="9"/>
  <c r="O360" i="9"/>
  <c r="O361" i="9"/>
  <c r="O362" i="9"/>
  <c r="O363" i="9"/>
  <c r="O364" i="9"/>
  <c r="O365" i="9"/>
  <c r="O366" i="9"/>
  <c r="O367" i="9"/>
  <c r="O368" i="9"/>
  <c r="O369" i="9"/>
  <c r="O370" i="9"/>
  <c r="O371" i="9"/>
  <c r="O372" i="9"/>
  <c r="O373" i="9"/>
  <c r="O374" i="9"/>
  <c r="O375" i="9"/>
  <c r="O376" i="9"/>
  <c r="O377" i="9"/>
  <c r="O378" i="9"/>
  <c r="O379" i="9"/>
  <c r="O380" i="9"/>
  <c r="O381" i="9"/>
  <c r="O382" i="9"/>
  <c r="O383" i="9"/>
  <c r="O384" i="9"/>
  <c r="O385" i="9"/>
  <c r="O386" i="9"/>
  <c r="O387" i="9"/>
  <c r="O388" i="9"/>
  <c r="O389" i="9"/>
  <c r="O390" i="9"/>
  <c r="O391" i="9"/>
  <c r="O392" i="9"/>
  <c r="O393" i="9"/>
  <c r="O394" i="9"/>
  <c r="O395" i="9"/>
  <c r="O396" i="9"/>
  <c r="O397" i="9"/>
  <c r="O398" i="9"/>
  <c r="O399" i="9"/>
  <c r="O400" i="9"/>
  <c r="O401" i="9"/>
  <c r="O402" i="9"/>
  <c r="O403" i="9"/>
  <c r="O404" i="9"/>
  <c r="O405" i="9"/>
  <c r="O406" i="9"/>
  <c r="O407" i="9"/>
  <c r="O408" i="9"/>
  <c r="O409" i="9"/>
  <c r="O410" i="9"/>
  <c r="O411" i="9"/>
  <c r="O412" i="9"/>
  <c r="O413" i="9"/>
  <c r="O414" i="9"/>
  <c r="O415" i="9"/>
  <c r="O416" i="9"/>
  <c r="O417" i="9"/>
  <c r="O418" i="9"/>
  <c r="O419" i="9"/>
  <c r="O420" i="9"/>
  <c r="O421" i="9"/>
  <c r="O422" i="9"/>
  <c r="O423" i="9"/>
  <c r="O424" i="9"/>
  <c r="O425" i="9"/>
  <c r="O426" i="9"/>
  <c r="O427" i="9"/>
  <c r="O428" i="9"/>
  <c r="O429" i="9"/>
  <c r="O430" i="9"/>
  <c r="O431" i="9"/>
  <c r="O432" i="9"/>
  <c r="O433" i="9"/>
  <c r="O434" i="9"/>
  <c r="O435" i="9"/>
  <c r="O436" i="9"/>
  <c r="O437" i="9"/>
  <c r="O438" i="9"/>
  <c r="O439" i="9"/>
  <c r="O440" i="9"/>
  <c r="O441" i="9"/>
  <c r="O442" i="9"/>
  <c r="O443" i="9"/>
  <c r="O444" i="9"/>
  <c r="O445" i="9"/>
  <c r="O446" i="9"/>
  <c r="O447" i="9"/>
  <c r="O448" i="9"/>
  <c r="O449" i="9"/>
  <c r="O450" i="9"/>
  <c r="O451" i="9"/>
  <c r="O452" i="9"/>
  <c r="O453" i="9"/>
  <c r="O454" i="9"/>
  <c r="O455" i="9"/>
  <c r="O456" i="9"/>
  <c r="O457" i="9"/>
  <c r="O458" i="9"/>
  <c r="O459" i="9"/>
  <c r="O460" i="9"/>
  <c r="O461" i="9"/>
  <c r="O462" i="9"/>
  <c r="O463" i="9"/>
  <c r="O464" i="9"/>
  <c r="O465" i="9"/>
  <c r="O466" i="9"/>
  <c r="O467" i="9"/>
  <c r="O468" i="9"/>
  <c r="O469" i="9"/>
  <c r="O470" i="9"/>
  <c r="O471" i="9"/>
  <c r="O472" i="9"/>
  <c r="O473" i="9"/>
  <c r="O474" i="9"/>
  <c r="O475" i="9"/>
  <c r="O476" i="9"/>
  <c r="O477" i="9"/>
  <c r="O478" i="9"/>
  <c r="O479" i="9"/>
  <c r="O480" i="9"/>
  <c r="O481" i="9"/>
  <c r="O482" i="9"/>
  <c r="O483" i="9"/>
  <c r="O484" i="9"/>
  <c r="O485" i="9"/>
  <c r="O486" i="9"/>
  <c r="O487" i="9"/>
  <c r="O488" i="9"/>
  <c r="O489" i="9"/>
  <c r="O490" i="9"/>
  <c r="O491" i="9"/>
  <c r="O492" i="9"/>
  <c r="O493" i="9"/>
  <c r="O494" i="9"/>
  <c r="O495" i="9"/>
  <c r="O496" i="9"/>
  <c r="O497" i="9"/>
  <c r="O498" i="9"/>
  <c r="O499" i="9"/>
  <c r="O500" i="9"/>
  <c r="O501" i="9"/>
  <c r="O502" i="9"/>
  <c r="O503" i="9"/>
  <c r="O504" i="9"/>
  <c r="O505" i="9"/>
  <c r="O506" i="9"/>
  <c r="O507" i="9"/>
  <c r="O508" i="9"/>
  <c r="O509" i="9"/>
  <c r="O510" i="9"/>
  <c r="O511" i="9"/>
  <c r="O512" i="9"/>
  <c r="O513" i="9"/>
  <c r="O514" i="9"/>
  <c r="O515" i="9"/>
  <c r="O516" i="9"/>
  <c r="O517" i="9"/>
  <c r="O518" i="9"/>
  <c r="O519" i="9"/>
  <c r="O520" i="9"/>
  <c r="O521" i="9"/>
  <c r="O522" i="9"/>
  <c r="O523" i="9"/>
  <c r="O524" i="9"/>
  <c r="O525" i="9"/>
  <c r="O526" i="9"/>
  <c r="O527" i="9"/>
  <c r="O528" i="9"/>
  <c r="O529" i="9"/>
  <c r="O530" i="9"/>
  <c r="O531" i="9"/>
  <c r="O532" i="9"/>
  <c r="O533" i="9"/>
  <c r="O534" i="9"/>
  <c r="O535" i="9"/>
  <c r="O536" i="9"/>
  <c r="O537" i="9"/>
  <c r="O538" i="9"/>
  <c r="O539" i="9"/>
  <c r="O540" i="9"/>
  <c r="O541" i="9"/>
  <c r="O542" i="9"/>
  <c r="O543" i="9"/>
  <c r="O544" i="9"/>
  <c r="O545" i="9"/>
  <c r="O546" i="9"/>
  <c r="O547" i="9"/>
  <c r="O548" i="9"/>
  <c r="O549" i="9"/>
  <c r="O550" i="9"/>
  <c r="O551" i="9"/>
  <c r="O552" i="9"/>
  <c r="O553" i="9"/>
  <c r="O554" i="9"/>
  <c r="O555" i="9"/>
  <c r="O556" i="9"/>
  <c r="O557" i="9"/>
  <c r="O558" i="9"/>
  <c r="O559" i="9"/>
  <c r="O560" i="9"/>
  <c r="O561" i="9"/>
  <c r="O562" i="9"/>
  <c r="O563" i="9"/>
  <c r="O564" i="9"/>
  <c r="O565" i="9"/>
  <c r="O566" i="9"/>
  <c r="O567" i="9"/>
  <c r="O568" i="9"/>
  <c r="O569" i="9"/>
  <c r="O570" i="9"/>
  <c r="O571" i="9"/>
  <c r="O572" i="9"/>
  <c r="O573" i="9"/>
  <c r="O574" i="9"/>
  <c r="O575" i="9"/>
  <c r="O576" i="9"/>
  <c r="O577" i="9"/>
  <c r="O578" i="9"/>
  <c r="O579" i="9"/>
  <c r="O580" i="9"/>
  <c r="O581" i="9"/>
  <c r="O582" i="9"/>
  <c r="O583" i="9"/>
  <c r="O584" i="9"/>
  <c r="O585" i="9"/>
  <c r="O586" i="9"/>
  <c r="O587" i="9"/>
  <c r="O588" i="9"/>
  <c r="O589" i="9"/>
  <c r="O590" i="9"/>
  <c r="O591" i="9"/>
  <c r="O592" i="9"/>
  <c r="O593" i="9"/>
  <c r="O594" i="9"/>
  <c r="O595" i="9"/>
  <c r="O596" i="9"/>
  <c r="O597" i="9"/>
  <c r="O598" i="9"/>
  <c r="O599" i="9"/>
  <c r="O600" i="9"/>
  <c r="O601" i="9"/>
  <c r="O602" i="9"/>
  <c r="O603" i="9"/>
  <c r="O604" i="9"/>
  <c r="O605" i="9"/>
  <c r="O606" i="9"/>
  <c r="O607" i="9"/>
  <c r="O608" i="9"/>
  <c r="O609" i="9"/>
  <c r="O610" i="9"/>
  <c r="O611" i="9"/>
  <c r="O612" i="9"/>
  <c r="O613" i="9"/>
  <c r="O614" i="9"/>
  <c r="O615" i="9"/>
  <c r="O616" i="9"/>
  <c r="O617" i="9"/>
  <c r="O618" i="9"/>
  <c r="O619" i="9"/>
  <c r="O620" i="9"/>
  <c r="O621" i="9"/>
  <c r="O622" i="9"/>
  <c r="O623" i="9"/>
  <c r="O624" i="9"/>
  <c r="O625" i="9"/>
  <c r="O626" i="9"/>
  <c r="O627" i="9"/>
  <c r="O628" i="9"/>
  <c r="O629" i="9"/>
  <c r="O630" i="9"/>
  <c r="O631" i="9"/>
  <c r="O632" i="9"/>
  <c r="O633" i="9"/>
  <c r="O634" i="9"/>
  <c r="O635" i="9"/>
  <c r="O636" i="9"/>
  <c r="O637" i="9"/>
  <c r="O638" i="9"/>
  <c r="O639" i="9"/>
  <c r="O640" i="9"/>
  <c r="O641" i="9"/>
  <c r="O642" i="9"/>
  <c r="O643" i="9"/>
  <c r="O644" i="9"/>
  <c r="O645" i="9"/>
  <c r="O646" i="9"/>
  <c r="O647" i="9"/>
  <c r="O648" i="9"/>
  <c r="O649" i="9"/>
  <c r="O650" i="9"/>
  <c r="O651" i="9"/>
  <c r="O652" i="9"/>
  <c r="O653" i="9"/>
  <c r="O654" i="9"/>
  <c r="O655" i="9"/>
  <c r="O656" i="9"/>
  <c r="O657" i="9"/>
  <c r="O658" i="9"/>
  <c r="O659" i="9"/>
  <c r="O660" i="9"/>
  <c r="O662" i="9"/>
  <c r="O663" i="9"/>
  <c r="O664" i="9"/>
  <c r="O665" i="9"/>
  <c r="O666" i="9"/>
  <c r="O667" i="9"/>
  <c r="O668" i="9"/>
  <c r="O669" i="9"/>
  <c r="O670" i="9"/>
  <c r="O671" i="9"/>
  <c r="O672" i="9"/>
  <c r="O673" i="9"/>
  <c r="O674" i="9"/>
  <c r="O675" i="9"/>
  <c r="O676" i="9"/>
  <c r="O677" i="9"/>
  <c r="O678" i="9"/>
  <c r="O679" i="9"/>
  <c r="O680" i="9"/>
  <c r="O681" i="9"/>
  <c r="O682" i="9"/>
  <c r="O683" i="9"/>
  <c r="O684" i="9"/>
  <c r="O685" i="9"/>
  <c r="O686" i="9"/>
  <c r="O687" i="9"/>
  <c r="C691" i="9" a="1"/>
  <c r="D695" i="9" s="1" a="1"/>
  <c r="D695" i="9" s="1"/>
  <c r="D692" i="9" l="1" a="1"/>
  <c r="D692" i="9" s="1"/>
  <c r="C691" i="9"/>
  <c r="D691" i="9" s="1" a="1"/>
  <c r="D691" i="9" s="1"/>
  <c r="D693" i="9" a="1"/>
  <c r="D693" i="9" s="1"/>
  <c r="D694" i="9" a="1"/>
  <c r="D694" i="9" s="1"/>
  <c r="AE4" i="9"/>
  <c r="G416" i="7"/>
  <c r="H416" i="7"/>
  <c r="G417" i="7"/>
  <c r="H417" i="7"/>
  <c r="G418" i="7"/>
  <c r="H418" i="7"/>
  <c r="H415" i="7"/>
  <c r="G415" i="7"/>
  <c r="E415" i="7"/>
  <c r="F415" i="7" s="1" a="1"/>
  <c r="F415" i="7" s="1"/>
  <c r="E416" i="7"/>
  <c r="F416" i="7" s="1" a="1"/>
  <c r="F416" i="7" s="1"/>
  <c r="E417" i="7"/>
  <c r="F417" i="7" s="1" a="1"/>
  <c r="F417" i="7" s="1"/>
  <c r="E418" i="7"/>
  <c r="F418" i="7" s="1" a="1"/>
  <c r="F418" i="7" s="1"/>
  <c r="G420" i="7"/>
  <c r="H420" i="7"/>
  <c r="G421" i="7"/>
  <c r="H421" i="7"/>
  <c r="G422" i="7"/>
  <c r="H422" i="7"/>
  <c r="G423" i="7"/>
  <c r="H423" i="7"/>
  <c r="G424" i="7"/>
  <c r="H424" i="7"/>
  <c r="G425" i="7"/>
  <c r="H425" i="7"/>
  <c r="G426" i="7"/>
  <c r="H426" i="7"/>
  <c r="H419" i="7"/>
  <c r="G419" i="7"/>
  <c r="E419" i="7"/>
  <c r="F419" i="7" s="1" a="1"/>
  <c r="F419" i="7" s="1"/>
  <c r="E420" i="7"/>
  <c r="F420" i="7" s="1" a="1"/>
  <c r="F420" i="7" s="1"/>
  <c r="E421" i="7"/>
  <c r="F421" i="7" s="1" a="1"/>
  <c r="F421" i="7" s="1"/>
  <c r="E422" i="7"/>
  <c r="F422" i="7" s="1" a="1"/>
  <c r="F422" i="7" s="1"/>
  <c r="E423" i="7"/>
  <c r="F423" i="7" s="1" a="1"/>
  <c r="F423" i="7" s="1"/>
  <c r="E424" i="7"/>
  <c r="F424" i="7" s="1" a="1"/>
  <c r="F424" i="7" s="1"/>
  <c r="E425" i="7"/>
  <c r="F425" i="7" s="1" a="1"/>
  <c r="F425" i="7" s="1"/>
  <c r="E426" i="7"/>
  <c r="F426" i="7" s="1" a="1"/>
  <c r="F426" i="7" s="1"/>
  <c r="H410" i="7"/>
  <c r="G410" i="7"/>
  <c r="H409" i="7"/>
  <c r="G409" i="7"/>
  <c r="H408" i="7"/>
  <c r="G408" i="7"/>
  <c r="H407" i="7"/>
  <c r="G407" i="7"/>
  <c r="H406" i="7"/>
  <c r="G406" i="7"/>
  <c r="H405" i="7"/>
  <c r="G405" i="7"/>
  <c r="H404" i="7"/>
  <c r="G404" i="7"/>
  <c r="H403" i="7"/>
  <c r="G403" i="7"/>
  <c r="H402" i="7"/>
  <c r="G402" i="7"/>
  <c r="H401" i="7"/>
  <c r="G401" i="7"/>
  <c r="H400" i="7"/>
  <c r="G400" i="7"/>
  <c r="H399" i="7"/>
  <c r="G399" i="7"/>
  <c r="H394" i="7"/>
  <c r="G394" i="7"/>
  <c r="H393" i="7"/>
  <c r="G393" i="7"/>
  <c r="H392" i="7"/>
  <c r="G392" i="7"/>
  <c r="H391" i="7"/>
  <c r="G391" i="7"/>
  <c r="H390" i="7"/>
  <c r="G390" i="7"/>
  <c r="H389" i="7"/>
  <c r="G389" i="7"/>
  <c r="H388" i="7"/>
  <c r="G388" i="7"/>
  <c r="H387" i="7"/>
  <c r="G387" i="7"/>
  <c r="H386" i="7"/>
  <c r="G386" i="7"/>
  <c r="H385" i="7"/>
  <c r="G385" i="7"/>
  <c r="H384" i="7"/>
  <c r="G384" i="7"/>
  <c r="H383" i="7"/>
  <c r="G383" i="7"/>
  <c r="E410" i="7"/>
  <c r="F410" i="7" s="1" a="1"/>
  <c r="F410" i="7" s="1"/>
  <c r="E409" i="7"/>
  <c r="F409" i="7" s="1" a="1"/>
  <c r="F409" i="7" s="1"/>
  <c r="E408" i="7"/>
  <c r="F408" i="7" s="1" a="1"/>
  <c r="F408" i="7" s="1"/>
  <c r="E407" i="7"/>
  <c r="F407" i="7" s="1" a="1"/>
  <c r="F407" i="7" s="1"/>
  <c r="E406" i="7"/>
  <c r="F406" i="7" s="1" a="1"/>
  <c r="F406" i="7" s="1"/>
  <c r="E405" i="7"/>
  <c r="F405" i="7" s="1" a="1"/>
  <c r="F405" i="7" s="1"/>
  <c r="E404" i="7"/>
  <c r="F404" i="7" s="1" a="1"/>
  <c r="F404" i="7" s="1"/>
  <c r="E403" i="7"/>
  <c r="F403" i="7" s="1" a="1"/>
  <c r="F403" i="7" s="1"/>
  <c r="E402" i="7"/>
  <c r="F402" i="7" s="1" a="1"/>
  <c r="F402" i="7" s="1"/>
  <c r="E401" i="7"/>
  <c r="F401" i="7" s="1" a="1"/>
  <c r="F401" i="7" s="1"/>
  <c r="E400" i="7"/>
  <c r="F400" i="7" s="1" a="1"/>
  <c r="F400" i="7" s="1"/>
  <c r="E399" i="7"/>
  <c r="F399" i="7" s="1" a="1"/>
  <c r="F399" i="7" s="1"/>
  <c r="E394" i="7"/>
  <c r="F394" i="7" s="1" a="1"/>
  <c r="F394" i="7" s="1"/>
  <c r="E393" i="7"/>
  <c r="F393" i="7" s="1" a="1"/>
  <c r="F393" i="7" s="1"/>
  <c r="E392" i="7"/>
  <c r="F392" i="7" s="1" a="1"/>
  <c r="F392" i="7" s="1"/>
  <c r="E391" i="7"/>
  <c r="F391" i="7" s="1" a="1"/>
  <c r="F391" i="7" s="1"/>
  <c r="E390" i="7"/>
  <c r="F390" i="7" s="1" a="1"/>
  <c r="F390" i="7" s="1"/>
  <c r="E389" i="7"/>
  <c r="F389" i="7" s="1" a="1"/>
  <c r="F389" i="7" s="1"/>
  <c r="E388" i="7"/>
  <c r="F388" i="7" s="1" a="1"/>
  <c r="F388" i="7" s="1"/>
  <c r="E387" i="7"/>
  <c r="F387" i="7" s="1" a="1"/>
  <c r="F387" i="7" s="1"/>
  <c r="E386" i="7"/>
  <c r="F386" i="7" s="1" a="1"/>
  <c r="F386" i="7" s="1"/>
  <c r="E385" i="7"/>
  <c r="F385" i="7" s="1" a="1"/>
  <c r="F385" i="7" s="1"/>
  <c r="E384" i="7"/>
  <c r="F384" i="7" s="1" a="1"/>
  <c r="F384" i="7" s="1"/>
  <c r="E383" i="7"/>
  <c r="F383" i="7" s="1" a="1"/>
  <c r="F383" i="7" s="1"/>
  <c r="H378" i="7"/>
  <c r="G378" i="7"/>
  <c r="H377" i="7"/>
  <c r="G377" i="7"/>
  <c r="H376" i="7"/>
  <c r="G376" i="7"/>
  <c r="H375" i="7"/>
  <c r="G375" i="7"/>
  <c r="H374" i="7"/>
  <c r="G374" i="7"/>
  <c r="H373" i="7"/>
  <c r="G373" i="7"/>
  <c r="H372" i="7"/>
  <c r="G372" i="7"/>
  <c r="H371" i="7"/>
  <c r="G371" i="7"/>
  <c r="H370" i="7"/>
  <c r="G370" i="7"/>
  <c r="H369" i="7"/>
  <c r="G369" i="7"/>
  <c r="H368" i="7"/>
  <c r="G368" i="7"/>
  <c r="H367" i="7"/>
  <c r="G367" i="7"/>
  <c r="E378" i="7"/>
  <c r="F378" i="7" s="1" a="1"/>
  <c r="F378" i="7" s="1"/>
  <c r="E377" i="7"/>
  <c r="F377" i="7" s="1" a="1"/>
  <c r="F377" i="7" s="1"/>
  <c r="E376" i="7"/>
  <c r="F376" i="7" s="1" a="1"/>
  <c r="F376" i="7" s="1"/>
  <c r="E375" i="7"/>
  <c r="F375" i="7" s="1" a="1"/>
  <c r="F375" i="7" s="1"/>
  <c r="E374" i="7"/>
  <c r="F374" i="7" s="1" a="1"/>
  <c r="F374" i="7" s="1"/>
  <c r="E373" i="7"/>
  <c r="F373" i="7" s="1" a="1"/>
  <c r="F373" i="7" s="1"/>
  <c r="E372" i="7"/>
  <c r="F372" i="7" s="1" a="1"/>
  <c r="F372" i="7" s="1"/>
  <c r="E371" i="7"/>
  <c r="F371" i="7" s="1" a="1"/>
  <c r="F371" i="7" s="1"/>
  <c r="E370" i="7"/>
  <c r="F370" i="7" s="1" a="1"/>
  <c r="F370" i="7" s="1"/>
  <c r="E369" i="7"/>
  <c r="F369" i="7" s="1" a="1"/>
  <c r="F369" i="7" s="1"/>
  <c r="E368" i="7"/>
  <c r="F368" i="7" s="1" a="1"/>
  <c r="F368" i="7" s="1"/>
  <c r="E367" i="7"/>
  <c r="F367" i="7" s="1" a="1"/>
  <c r="F367" i="7" s="1"/>
  <c r="G356" i="7"/>
  <c r="H356" i="7"/>
  <c r="G357" i="7"/>
  <c r="H357" i="7"/>
  <c r="G358" i="7"/>
  <c r="H358" i="7"/>
  <c r="G359" i="7"/>
  <c r="H359" i="7"/>
  <c r="G360" i="7"/>
  <c r="H360" i="7"/>
  <c r="G361" i="7"/>
  <c r="H361" i="7"/>
  <c r="G362" i="7"/>
  <c r="H362" i="7"/>
  <c r="H355" i="7"/>
  <c r="G355" i="7"/>
  <c r="E356" i="7"/>
  <c r="F356" i="7" s="1" a="1"/>
  <c r="F356" i="7" s="1"/>
  <c r="E357" i="7"/>
  <c r="F357" i="7" s="1" a="1"/>
  <c r="F357" i="7" s="1"/>
  <c r="E358" i="7"/>
  <c r="F358" i="7" s="1" a="1"/>
  <c r="F358" i="7" s="1"/>
  <c r="E359" i="7"/>
  <c r="F359" i="7" s="1" a="1"/>
  <c r="F359" i="7" s="1"/>
  <c r="E360" i="7"/>
  <c r="F360" i="7" s="1" a="1"/>
  <c r="F360" i="7" s="1"/>
  <c r="E361" i="7"/>
  <c r="F361" i="7" s="1" a="1"/>
  <c r="F361" i="7" s="1"/>
  <c r="E362" i="7"/>
  <c r="F362" i="7" s="1" a="1"/>
  <c r="F362" i="7" s="1"/>
  <c r="E355" i="7"/>
  <c r="F355" i="7" s="1" a="1"/>
  <c r="F355" i="7" s="1"/>
  <c r="H352" i="7"/>
  <c r="H353" i="7"/>
  <c r="H354" i="7"/>
  <c r="H351" i="7"/>
  <c r="G352" i="7"/>
  <c r="G353" i="7"/>
  <c r="G354" i="7"/>
  <c r="G351" i="7"/>
  <c r="E351" i="7"/>
  <c r="F351" i="7" s="1" a="1"/>
  <c r="F351" i="7" s="1"/>
  <c r="E354" i="7"/>
  <c r="F354" i="7" s="1" a="1"/>
  <c r="F354" i="7" s="1"/>
  <c r="E353" i="7"/>
  <c r="E352" i="7"/>
  <c r="F352" i="7" s="1" a="1"/>
  <c r="F352" i="7" s="1"/>
  <c r="F280" i="7" a="1"/>
  <c r="F280" i="7" s="1"/>
  <c r="D52" i="7" a="1"/>
  <c r="D52" i="7" s="1"/>
  <c r="G19" i="7" a="1"/>
  <c r="G19" i="7" s="1"/>
  <c r="G18" i="7" a="1"/>
  <c r="G18" i="7" s="1"/>
  <c r="F19" i="7" a="1"/>
  <c r="F19" i="7" s="1"/>
  <c r="F18" i="7" a="1"/>
  <c r="F18" i="7" s="1"/>
  <c r="E19" i="7" a="1"/>
  <c r="E19" i="7" s="1"/>
  <c r="E18" i="7" a="1"/>
  <c r="E18" i="7" s="1"/>
  <c r="D25" i="7" a="1"/>
  <c r="D25" i="7" s="1"/>
  <c r="D24" i="7" a="1"/>
  <c r="D24" i="7" s="1"/>
  <c r="D23" i="7" a="1"/>
  <c r="D23" i="7" s="1"/>
  <c r="D22" i="7" a="1"/>
  <c r="D22" i="7" s="1"/>
  <c r="D21" i="7" a="1"/>
  <c r="D21" i="7" s="1"/>
  <c r="D20" i="7" a="1"/>
  <c r="D20" i="7" s="1"/>
  <c r="D19" i="7" a="1"/>
  <c r="D19" i="7" s="1"/>
  <c r="D18" i="7" a="1"/>
  <c r="D18" i="7" s="1"/>
  <c r="F135" i="7" a="1"/>
  <c r="F135" i="7" s="1"/>
  <c r="G135" i="7" a="1"/>
  <c r="G135" i="7" s="1"/>
  <c r="H135" i="7" a="1"/>
  <c r="H135" i="7" s="1"/>
  <c r="I135" i="7" a="1"/>
  <c r="I135" i="7" s="1"/>
  <c r="J135" i="7" a="1"/>
  <c r="J135" i="7" s="1"/>
  <c r="F136" i="7" a="1"/>
  <c r="F136" i="7" s="1"/>
  <c r="G136" i="7" a="1"/>
  <c r="G136" i="7" s="1"/>
  <c r="H136" i="7" a="1"/>
  <c r="H136" i="7" s="1"/>
  <c r="I136" i="7" a="1"/>
  <c r="I136" i="7" s="1"/>
  <c r="J136" i="7" a="1"/>
  <c r="J136" i="7" s="1"/>
  <c r="F137" i="7" a="1"/>
  <c r="F137" i="7" s="1"/>
  <c r="G137" i="7" a="1"/>
  <c r="G137" i="7" s="1"/>
  <c r="H137" i="7" a="1"/>
  <c r="H137" i="7" s="1"/>
  <c r="I137" i="7" a="1"/>
  <c r="I137" i="7" s="1"/>
  <c r="J137" i="7" a="1"/>
  <c r="J137" i="7" s="1"/>
  <c r="F138" i="7" a="1"/>
  <c r="F138" i="7" s="1"/>
  <c r="G138" i="7" a="1"/>
  <c r="G138" i="7" s="1"/>
  <c r="H138" i="7" a="1"/>
  <c r="H138" i="7" s="1"/>
  <c r="I138" i="7" a="1"/>
  <c r="I138" i="7" s="1"/>
  <c r="J138" i="7" a="1"/>
  <c r="J138" i="7" s="1"/>
  <c r="F139" i="7" a="1"/>
  <c r="F139" i="7" s="1"/>
  <c r="G139" i="7" a="1"/>
  <c r="G139" i="7" s="1"/>
  <c r="H139" i="7" a="1"/>
  <c r="H139" i="7" s="1"/>
  <c r="I139" i="7" a="1"/>
  <c r="I139" i="7" s="1"/>
  <c r="J139" i="7" a="1"/>
  <c r="J139" i="7" s="1"/>
  <c r="F140" i="7" a="1"/>
  <c r="F140" i="7" s="1"/>
  <c r="G140" i="7" a="1"/>
  <c r="G140" i="7" s="1"/>
  <c r="H140" i="7" a="1"/>
  <c r="H140" i="7" s="1"/>
  <c r="I140" i="7" a="1"/>
  <c r="I140" i="7" s="1"/>
  <c r="J140" i="7" a="1"/>
  <c r="J140" i="7" s="1"/>
  <c r="F141" i="7" a="1"/>
  <c r="F141" i="7" s="1"/>
  <c r="G141" i="7" a="1"/>
  <c r="G141" i="7" s="1"/>
  <c r="H141" i="7" a="1"/>
  <c r="H141" i="7" s="1"/>
  <c r="I141" i="7" a="1"/>
  <c r="I141" i="7" s="1"/>
  <c r="J141" i="7" a="1"/>
  <c r="J141" i="7" s="1"/>
  <c r="F142" i="7" a="1"/>
  <c r="F142" i="7" s="1"/>
  <c r="G142" i="7" a="1"/>
  <c r="G142" i="7" s="1"/>
  <c r="H142" i="7" a="1"/>
  <c r="H142" i="7" s="1"/>
  <c r="I142" i="7" a="1"/>
  <c r="I142" i="7" s="1"/>
  <c r="J142" i="7" a="1"/>
  <c r="J142" i="7" s="1"/>
  <c r="F143" i="7" a="1"/>
  <c r="F143" i="7" s="1"/>
  <c r="G143" i="7" a="1"/>
  <c r="G143" i="7" s="1"/>
  <c r="H143" i="7" a="1"/>
  <c r="H143" i="7" s="1"/>
  <c r="I143" i="7" a="1"/>
  <c r="I143" i="7" s="1"/>
  <c r="J143" i="7" a="1"/>
  <c r="J143" i="7" s="1"/>
  <c r="F144" i="7" a="1"/>
  <c r="F144" i="7" s="1"/>
  <c r="G144" i="7" a="1"/>
  <c r="G144" i="7" s="1"/>
  <c r="H144" i="7" a="1"/>
  <c r="H144" i="7" s="1"/>
  <c r="I144" i="7" a="1"/>
  <c r="I144" i="7" s="1"/>
  <c r="J144" i="7" a="1"/>
  <c r="J144" i="7" s="1"/>
  <c r="F145" i="7" a="1"/>
  <c r="F145" i="7" s="1"/>
  <c r="G145" i="7" a="1"/>
  <c r="G145" i="7" s="1"/>
  <c r="H145" i="7" a="1"/>
  <c r="H145" i="7" s="1"/>
  <c r="I145" i="7" a="1"/>
  <c r="I145" i="7" s="1"/>
  <c r="J145" i="7" a="1"/>
  <c r="J145" i="7" s="1"/>
  <c r="F146" i="7" a="1"/>
  <c r="F146" i="7" s="1"/>
  <c r="G146" i="7" a="1"/>
  <c r="G146" i="7" s="1"/>
  <c r="H146" i="7" a="1"/>
  <c r="H146" i="7" s="1"/>
  <c r="I146" i="7" a="1"/>
  <c r="I146" i="7" s="1"/>
  <c r="J146" i="7" a="1"/>
  <c r="J146" i="7" s="1"/>
  <c r="F147" i="7" a="1"/>
  <c r="F147" i="7" s="1"/>
  <c r="G147" i="7" a="1"/>
  <c r="G147" i="7" s="1"/>
  <c r="H147" i="7" a="1"/>
  <c r="H147" i="7" s="1"/>
  <c r="I147" i="7" a="1"/>
  <c r="I147" i="7" s="1"/>
  <c r="J147" i="7" a="1"/>
  <c r="J147" i="7" s="1"/>
  <c r="F148" i="7" a="1"/>
  <c r="F148" i="7" s="1"/>
  <c r="G148" i="7" a="1"/>
  <c r="G148" i="7" s="1"/>
  <c r="H148" i="7" a="1"/>
  <c r="H148" i="7" s="1"/>
  <c r="I148" i="7" a="1"/>
  <c r="I148" i="7" s="1"/>
  <c r="J148" i="7" a="1"/>
  <c r="J148" i="7" s="1"/>
  <c r="F149" i="7" a="1"/>
  <c r="F149" i="7" s="1"/>
  <c r="G149" i="7" a="1"/>
  <c r="G149" i="7" s="1"/>
  <c r="H149" i="7" a="1"/>
  <c r="H149" i="7" s="1"/>
  <c r="I149" i="7" a="1"/>
  <c r="I149" i="7" s="1"/>
  <c r="J149" i="7" a="1"/>
  <c r="J149" i="7" s="1"/>
  <c r="F150" i="7" a="1"/>
  <c r="F150" i="7" s="1"/>
  <c r="G150" i="7" a="1"/>
  <c r="G150" i="7" s="1"/>
  <c r="H150" i="7" a="1"/>
  <c r="H150" i="7" s="1"/>
  <c r="I150" i="7" a="1"/>
  <c r="I150" i="7" s="1"/>
  <c r="J150" i="7" a="1"/>
  <c r="J150" i="7" s="1"/>
  <c r="F151" i="7" a="1"/>
  <c r="F151" i="7" s="1"/>
  <c r="G151" i="7" a="1"/>
  <c r="G151" i="7" s="1"/>
  <c r="H151" i="7" a="1"/>
  <c r="H151" i="7" s="1"/>
  <c r="I151" i="7" a="1"/>
  <c r="I151" i="7" s="1"/>
  <c r="J151" i="7" a="1"/>
  <c r="J151" i="7" s="1"/>
  <c r="F152" i="7" a="1"/>
  <c r="F152" i="7" s="1"/>
  <c r="G152" i="7" a="1"/>
  <c r="G152" i="7" s="1"/>
  <c r="H152" i="7" a="1"/>
  <c r="H152" i="7" s="1"/>
  <c r="I152" i="7" a="1"/>
  <c r="I152" i="7" s="1"/>
  <c r="J152" i="7" a="1"/>
  <c r="J152" i="7" s="1"/>
  <c r="F153" i="7" a="1"/>
  <c r="F153" i="7" s="1"/>
  <c r="G153" i="7" a="1"/>
  <c r="G153" i="7" s="1"/>
  <c r="H153" i="7" a="1"/>
  <c r="H153" i="7" s="1"/>
  <c r="I153" i="7" a="1"/>
  <c r="I153" i="7" s="1"/>
  <c r="J153" i="7" a="1"/>
  <c r="J153" i="7" s="1"/>
  <c r="F154" i="7" a="1"/>
  <c r="F154" i="7" s="1"/>
  <c r="G154" i="7" a="1"/>
  <c r="G154" i="7" s="1"/>
  <c r="H154" i="7" a="1"/>
  <c r="H154" i="7" s="1"/>
  <c r="I154" i="7" a="1"/>
  <c r="I154" i="7" s="1"/>
  <c r="J154" i="7" a="1"/>
  <c r="J154" i="7" s="1"/>
  <c r="F155" i="7" a="1"/>
  <c r="F155" i="7" s="1"/>
  <c r="G155" i="7" a="1"/>
  <c r="G155" i="7" s="1"/>
  <c r="H155" i="7" a="1"/>
  <c r="H155" i="7" s="1"/>
  <c r="I155" i="7" a="1"/>
  <c r="I155" i="7" s="1"/>
  <c r="J155" i="7" a="1"/>
  <c r="J155" i="7" s="1"/>
  <c r="F156" i="7" a="1"/>
  <c r="F156" i="7" s="1"/>
  <c r="G156" i="7" a="1"/>
  <c r="G156" i="7" s="1"/>
  <c r="H156" i="7" a="1"/>
  <c r="H156" i="7" s="1"/>
  <c r="I156" i="7" a="1"/>
  <c r="I156" i="7" s="1"/>
  <c r="J156" i="7" a="1"/>
  <c r="J156" i="7" s="1"/>
  <c r="F157" i="7" a="1"/>
  <c r="F157" i="7" s="1"/>
  <c r="G157" i="7" a="1"/>
  <c r="G157" i="7" s="1"/>
  <c r="H157" i="7" a="1"/>
  <c r="H157" i="7" s="1"/>
  <c r="I157" i="7" a="1"/>
  <c r="I157" i="7" s="1"/>
  <c r="J157" i="7" a="1"/>
  <c r="J157" i="7" s="1"/>
  <c r="F158" i="7" a="1"/>
  <c r="F158" i="7" s="1"/>
  <c r="G158" i="7" a="1"/>
  <c r="G158" i="7" s="1"/>
  <c r="H158" i="7" a="1"/>
  <c r="H158" i="7" s="1"/>
  <c r="I158" i="7" a="1"/>
  <c r="I158" i="7" s="1"/>
  <c r="J158" i="7" a="1"/>
  <c r="J158" i="7" s="1"/>
  <c r="F159" i="7" a="1"/>
  <c r="F159" i="7" s="1"/>
  <c r="G159" i="7" a="1"/>
  <c r="G159" i="7" s="1"/>
  <c r="H159" i="7" a="1"/>
  <c r="H159" i="7" s="1"/>
  <c r="I159" i="7" a="1"/>
  <c r="I159" i="7" s="1"/>
  <c r="J159" i="7" a="1"/>
  <c r="J159" i="7" s="1"/>
  <c r="F160" i="7" a="1"/>
  <c r="F160" i="7" s="1"/>
  <c r="G160" i="7" a="1"/>
  <c r="G160" i="7" s="1"/>
  <c r="H160" i="7" a="1"/>
  <c r="H160" i="7" s="1"/>
  <c r="I160" i="7" a="1"/>
  <c r="I160" i="7" s="1"/>
  <c r="J160" i="7" a="1"/>
  <c r="J160" i="7" s="1"/>
  <c r="F161" i="7" a="1"/>
  <c r="F161" i="7" s="1"/>
  <c r="G161" i="7" a="1"/>
  <c r="G161" i="7" s="1"/>
  <c r="H161" i="7" a="1"/>
  <c r="H161" i="7" s="1"/>
  <c r="I161" i="7" a="1"/>
  <c r="I161" i="7" s="1"/>
  <c r="J161" i="7" a="1"/>
  <c r="J161" i="7" s="1"/>
  <c r="F162" i="7" a="1"/>
  <c r="F162" i="7" s="1"/>
  <c r="G162" i="7" a="1"/>
  <c r="G162" i="7" s="1"/>
  <c r="H162" i="7" a="1"/>
  <c r="H162" i="7" s="1"/>
  <c r="I162" i="7" a="1"/>
  <c r="I162" i="7" s="1"/>
  <c r="J162" i="7" a="1"/>
  <c r="J162" i="7" s="1"/>
  <c r="F163" i="7" a="1"/>
  <c r="F163" i="7" s="1"/>
  <c r="G163" i="7" a="1"/>
  <c r="G163" i="7" s="1"/>
  <c r="H163" i="7" a="1"/>
  <c r="H163" i="7" s="1"/>
  <c r="I163" i="7" a="1"/>
  <c r="I163" i="7" s="1"/>
  <c r="J163" i="7" a="1"/>
  <c r="J163" i="7" s="1"/>
  <c r="F164" i="7" a="1"/>
  <c r="F164" i="7" s="1"/>
  <c r="G164" i="7" a="1"/>
  <c r="G164" i="7" s="1"/>
  <c r="H164" i="7" a="1"/>
  <c r="H164" i="7" s="1"/>
  <c r="I164" i="7" a="1"/>
  <c r="I164" i="7" s="1"/>
  <c r="J164" i="7" a="1"/>
  <c r="J164" i="7" s="1"/>
  <c r="F165" i="7" a="1"/>
  <c r="F165" i="7" s="1"/>
  <c r="G165" i="7" a="1"/>
  <c r="G165" i="7" s="1"/>
  <c r="H165" i="7" a="1"/>
  <c r="H165" i="7" s="1"/>
  <c r="I165" i="7" a="1"/>
  <c r="I165" i="7" s="1"/>
  <c r="J165" i="7" a="1"/>
  <c r="J165" i="7" s="1"/>
  <c r="F166" i="7" a="1"/>
  <c r="F166" i="7" s="1"/>
  <c r="G166" i="7" a="1"/>
  <c r="G166" i="7" s="1"/>
  <c r="H166" i="7" a="1"/>
  <c r="H166" i="7" s="1"/>
  <c r="I166" i="7" a="1"/>
  <c r="I166" i="7" s="1"/>
  <c r="J166" i="7" a="1"/>
  <c r="J166" i="7" s="1"/>
  <c r="F167" i="7" a="1"/>
  <c r="F167" i="7" s="1"/>
  <c r="G167" i="7" a="1"/>
  <c r="G167" i="7" s="1"/>
  <c r="H167" i="7" a="1"/>
  <c r="H167" i="7" s="1"/>
  <c r="I167" i="7" a="1"/>
  <c r="I167" i="7" s="1"/>
  <c r="J167" i="7" a="1"/>
  <c r="J167" i="7" s="1"/>
  <c r="F168" i="7" a="1"/>
  <c r="F168" i="7" s="1"/>
  <c r="G168" i="7" a="1"/>
  <c r="G168" i="7" s="1"/>
  <c r="H168" i="7" a="1"/>
  <c r="H168" i="7" s="1"/>
  <c r="I168" i="7" a="1"/>
  <c r="I168" i="7" s="1"/>
  <c r="J168" i="7" a="1"/>
  <c r="J168" i="7" s="1"/>
  <c r="F169" i="7" a="1"/>
  <c r="F169" i="7" s="1"/>
  <c r="G169" i="7" a="1"/>
  <c r="G169" i="7" s="1"/>
  <c r="H169" i="7" a="1"/>
  <c r="H169" i="7" s="1"/>
  <c r="I169" i="7" a="1"/>
  <c r="I169" i="7" s="1"/>
  <c r="J169" i="7" a="1"/>
  <c r="J169" i="7" s="1"/>
  <c r="F170" i="7" a="1"/>
  <c r="F170" i="7" s="1"/>
  <c r="G170" i="7" a="1"/>
  <c r="G170" i="7" s="1"/>
  <c r="H170" i="7" a="1"/>
  <c r="H170" i="7" s="1"/>
  <c r="I170" i="7" a="1"/>
  <c r="I170" i="7" s="1"/>
  <c r="J170" i="7" a="1"/>
  <c r="J170" i="7" s="1"/>
  <c r="F171" i="7" a="1"/>
  <c r="F171" i="7" s="1"/>
  <c r="G171" i="7" a="1"/>
  <c r="G171" i="7" s="1"/>
  <c r="H171" i="7" a="1"/>
  <c r="H171" i="7" s="1"/>
  <c r="I171" i="7" a="1"/>
  <c r="I171" i="7" s="1"/>
  <c r="J171" i="7" a="1"/>
  <c r="J171" i="7" s="1"/>
  <c r="F172" i="7" a="1"/>
  <c r="F172" i="7" s="1"/>
  <c r="G172" i="7" a="1"/>
  <c r="G172" i="7" s="1"/>
  <c r="H172" i="7" a="1"/>
  <c r="H172" i="7" s="1"/>
  <c r="I172" i="7" a="1"/>
  <c r="I172" i="7" s="1"/>
  <c r="J172" i="7" a="1"/>
  <c r="J172" i="7" s="1"/>
  <c r="F173" i="7" a="1"/>
  <c r="F173" i="7" s="1"/>
  <c r="G173" i="7" a="1"/>
  <c r="G173" i="7" s="1"/>
  <c r="H173" i="7" a="1"/>
  <c r="H173" i="7" s="1"/>
  <c r="I173" i="7" a="1"/>
  <c r="I173" i="7" s="1"/>
  <c r="J173" i="7" a="1"/>
  <c r="J173" i="7" s="1"/>
  <c r="F174" i="7" a="1"/>
  <c r="F174" i="7" s="1"/>
  <c r="G174" i="7" a="1"/>
  <c r="G174" i="7" s="1"/>
  <c r="H174" i="7" a="1"/>
  <c r="H174" i="7" s="1"/>
  <c r="I174" i="7" a="1"/>
  <c r="I174" i="7" s="1"/>
  <c r="J174" i="7" a="1"/>
  <c r="J174" i="7" s="1"/>
  <c r="F175" i="7" a="1"/>
  <c r="F175" i="7" s="1"/>
  <c r="G175" i="7" a="1"/>
  <c r="G175" i="7" s="1"/>
  <c r="H175" i="7" a="1"/>
  <c r="H175" i="7" s="1"/>
  <c r="I175" i="7" a="1"/>
  <c r="I175" i="7" s="1"/>
  <c r="J175" i="7" a="1"/>
  <c r="J175" i="7" s="1"/>
  <c r="F176" i="7" a="1"/>
  <c r="F176" i="7" s="1"/>
  <c r="G176" i="7" a="1"/>
  <c r="G176" i="7" s="1"/>
  <c r="H176" i="7" a="1"/>
  <c r="H176" i="7" s="1"/>
  <c r="I176" i="7" a="1"/>
  <c r="I176" i="7" s="1"/>
  <c r="J176" i="7" a="1"/>
  <c r="J176" i="7" s="1"/>
  <c r="F177" i="7" a="1"/>
  <c r="F177" i="7" s="1"/>
  <c r="G177" i="7" a="1"/>
  <c r="G177" i="7" s="1"/>
  <c r="H177" i="7" a="1"/>
  <c r="H177" i="7" s="1"/>
  <c r="I177" i="7" a="1"/>
  <c r="I177" i="7" s="1"/>
  <c r="J177" i="7" a="1"/>
  <c r="J177" i="7" s="1"/>
  <c r="F178" i="7" a="1"/>
  <c r="F178" i="7" s="1"/>
  <c r="G178" i="7" a="1"/>
  <c r="G178" i="7" s="1"/>
  <c r="H178" i="7" a="1"/>
  <c r="H178" i="7" s="1"/>
  <c r="I178" i="7" a="1"/>
  <c r="I178" i="7" s="1"/>
  <c r="J178" i="7" a="1"/>
  <c r="J178" i="7" s="1"/>
  <c r="F179" i="7" a="1"/>
  <c r="F179" i="7" s="1"/>
  <c r="G179" i="7" a="1"/>
  <c r="G179" i="7" s="1"/>
  <c r="H179" i="7" a="1"/>
  <c r="H179" i="7" s="1"/>
  <c r="I179" i="7" a="1"/>
  <c r="I179" i="7" s="1"/>
  <c r="J179" i="7" a="1"/>
  <c r="J179" i="7" s="1"/>
  <c r="F180" i="7" a="1"/>
  <c r="F180" i="7" s="1"/>
  <c r="G180" i="7" a="1"/>
  <c r="G180" i="7" s="1"/>
  <c r="H180" i="7" a="1"/>
  <c r="H180" i="7" s="1"/>
  <c r="I180" i="7" a="1"/>
  <c r="I180" i="7" s="1"/>
  <c r="J180" i="7" a="1"/>
  <c r="J180" i="7" s="1"/>
  <c r="F181" i="7" a="1"/>
  <c r="F181" i="7" s="1"/>
  <c r="G181" i="7" a="1"/>
  <c r="G181" i="7" s="1"/>
  <c r="H181" i="7" a="1"/>
  <c r="H181" i="7" s="1"/>
  <c r="I181" i="7" a="1"/>
  <c r="I181" i="7" s="1"/>
  <c r="J181" i="7" a="1"/>
  <c r="J181" i="7" s="1"/>
  <c r="F182" i="7" a="1"/>
  <c r="F182" i="7" s="1"/>
  <c r="G182" i="7" a="1"/>
  <c r="G182" i="7" s="1"/>
  <c r="H182" i="7" a="1"/>
  <c r="H182" i="7" s="1"/>
  <c r="I182" i="7" a="1"/>
  <c r="I182" i="7" s="1"/>
  <c r="J182" i="7" a="1"/>
  <c r="J182" i="7" s="1"/>
  <c r="F183" i="7" a="1"/>
  <c r="F183" i="7" s="1"/>
  <c r="G183" i="7" a="1"/>
  <c r="G183" i="7" s="1"/>
  <c r="H183" i="7" a="1"/>
  <c r="H183" i="7" s="1"/>
  <c r="I183" i="7" a="1"/>
  <c r="I183" i="7" s="1"/>
  <c r="J183" i="7" a="1"/>
  <c r="J183" i="7" s="1"/>
  <c r="F184" i="7" a="1"/>
  <c r="F184" i="7" s="1"/>
  <c r="G184" i="7" a="1"/>
  <c r="G184" i="7" s="1"/>
  <c r="H184" i="7" a="1"/>
  <c r="H184" i="7" s="1"/>
  <c r="I184" i="7" a="1"/>
  <c r="I184" i="7" s="1"/>
  <c r="J184" i="7" a="1"/>
  <c r="J184" i="7" s="1"/>
  <c r="F185" i="7" a="1"/>
  <c r="F185" i="7" s="1"/>
  <c r="G185" i="7" a="1"/>
  <c r="G185" i="7" s="1"/>
  <c r="H185" i="7" a="1"/>
  <c r="H185" i="7" s="1"/>
  <c r="I185" i="7" a="1"/>
  <c r="I185" i="7" s="1"/>
  <c r="J185" i="7" a="1"/>
  <c r="J185" i="7" s="1"/>
  <c r="F186" i="7" a="1"/>
  <c r="F186" i="7" s="1"/>
  <c r="G186" i="7" a="1"/>
  <c r="G186" i="7" s="1"/>
  <c r="H186" i="7" a="1"/>
  <c r="H186" i="7" s="1"/>
  <c r="I186" i="7" a="1"/>
  <c r="I186" i="7" s="1"/>
  <c r="J186" i="7" a="1"/>
  <c r="J186" i="7" s="1"/>
  <c r="F187" i="7" a="1"/>
  <c r="F187" i="7" s="1"/>
  <c r="G187" i="7" a="1"/>
  <c r="G187" i="7" s="1"/>
  <c r="H187" i="7" a="1"/>
  <c r="H187" i="7" s="1"/>
  <c r="I187" i="7" a="1"/>
  <c r="I187" i="7" s="1"/>
  <c r="J187" i="7" a="1"/>
  <c r="J187" i="7" s="1"/>
  <c r="F188" i="7" a="1"/>
  <c r="F188" i="7" s="1"/>
  <c r="G188" i="7" a="1"/>
  <c r="G188" i="7" s="1"/>
  <c r="H188" i="7" a="1"/>
  <c r="H188" i="7" s="1"/>
  <c r="I188" i="7" a="1"/>
  <c r="I188" i="7" s="1"/>
  <c r="J188" i="7" a="1"/>
  <c r="J188" i="7" s="1"/>
  <c r="F189" i="7" a="1"/>
  <c r="F189" i="7" s="1"/>
  <c r="G189" i="7" a="1"/>
  <c r="G189" i="7" s="1"/>
  <c r="H189" i="7" a="1"/>
  <c r="H189" i="7" s="1"/>
  <c r="I189" i="7" a="1"/>
  <c r="I189" i="7" s="1"/>
  <c r="J189" i="7" a="1"/>
  <c r="J189" i="7" s="1"/>
  <c r="F190" i="7" a="1"/>
  <c r="F190" i="7" s="1"/>
  <c r="G190" i="7" a="1"/>
  <c r="G190" i="7" s="1"/>
  <c r="H190" i="7" a="1"/>
  <c r="H190" i="7" s="1"/>
  <c r="I190" i="7" a="1"/>
  <c r="I190" i="7" s="1"/>
  <c r="J190" i="7" a="1"/>
  <c r="J190" i="7" s="1"/>
  <c r="F191" i="7" a="1"/>
  <c r="F191" i="7" s="1"/>
  <c r="G191" i="7" a="1"/>
  <c r="G191" i="7" s="1"/>
  <c r="H191" i="7" a="1"/>
  <c r="H191" i="7" s="1"/>
  <c r="I191" i="7" a="1"/>
  <c r="I191" i="7" s="1"/>
  <c r="J191" i="7" a="1"/>
  <c r="J191" i="7" s="1"/>
  <c r="F192" i="7" a="1"/>
  <c r="F192" i="7" s="1"/>
  <c r="G192" i="7" a="1"/>
  <c r="G192" i="7" s="1"/>
  <c r="H192" i="7" a="1"/>
  <c r="H192" i="7" s="1"/>
  <c r="I192" i="7" a="1"/>
  <c r="I192" i="7" s="1"/>
  <c r="J192" i="7" a="1"/>
  <c r="J192" i="7" s="1"/>
  <c r="F193" i="7" a="1"/>
  <c r="F193" i="7" s="1"/>
  <c r="G193" i="7" a="1"/>
  <c r="G193" i="7" s="1"/>
  <c r="H193" i="7" a="1"/>
  <c r="H193" i="7" s="1"/>
  <c r="I193" i="7" a="1"/>
  <c r="I193" i="7" s="1"/>
  <c r="J193" i="7" a="1"/>
  <c r="J193" i="7" s="1"/>
  <c r="F194" i="7" a="1"/>
  <c r="F194" i="7" s="1"/>
  <c r="G194" i="7" a="1"/>
  <c r="G194" i="7" s="1"/>
  <c r="H194" i="7" a="1"/>
  <c r="H194" i="7" s="1"/>
  <c r="I194" i="7" a="1"/>
  <c r="I194" i="7" s="1"/>
  <c r="J194" i="7" a="1"/>
  <c r="J194" i="7" s="1"/>
  <c r="F195" i="7" a="1"/>
  <c r="F195" i="7" s="1"/>
  <c r="G195" i="7" a="1"/>
  <c r="G195" i="7" s="1"/>
  <c r="H195" i="7" a="1"/>
  <c r="H195" i="7" s="1"/>
  <c r="I195" i="7" a="1"/>
  <c r="I195" i="7" s="1"/>
  <c r="J195" i="7" a="1"/>
  <c r="J195" i="7" s="1"/>
  <c r="F196" i="7" a="1"/>
  <c r="F196" i="7" s="1"/>
  <c r="G196" i="7" a="1"/>
  <c r="G196" i="7" s="1"/>
  <c r="H196" i="7" a="1"/>
  <c r="H196" i="7" s="1"/>
  <c r="I196" i="7" a="1"/>
  <c r="I196" i="7" s="1"/>
  <c r="J196" i="7" a="1"/>
  <c r="J196" i="7" s="1"/>
  <c r="F197" i="7" a="1"/>
  <c r="F197" i="7" s="1"/>
  <c r="G197" i="7" a="1"/>
  <c r="G197" i="7" s="1"/>
  <c r="H197" i="7" a="1"/>
  <c r="H197" i="7" s="1"/>
  <c r="I197" i="7" a="1"/>
  <c r="I197" i="7" s="1"/>
  <c r="J197" i="7" a="1"/>
  <c r="J197" i="7" s="1"/>
  <c r="F198" i="7" a="1"/>
  <c r="F198" i="7" s="1"/>
  <c r="G198" i="7" a="1"/>
  <c r="G198" i="7" s="1"/>
  <c r="H198" i="7" a="1"/>
  <c r="H198" i="7" s="1"/>
  <c r="I198" i="7" a="1"/>
  <c r="I198" i="7" s="1"/>
  <c r="J198" i="7" a="1"/>
  <c r="J198" i="7" s="1"/>
  <c r="F199" i="7" a="1"/>
  <c r="F199" i="7" s="1"/>
  <c r="G199" i="7" a="1"/>
  <c r="G199" i="7" s="1"/>
  <c r="H199" i="7" a="1"/>
  <c r="H199" i="7" s="1"/>
  <c r="I199" i="7" a="1"/>
  <c r="I199" i="7" s="1"/>
  <c r="J199" i="7" a="1"/>
  <c r="J199" i="7" s="1"/>
  <c r="F200" i="7" a="1"/>
  <c r="F200" i="7" s="1"/>
  <c r="G200" i="7" a="1"/>
  <c r="G200" i="7" s="1"/>
  <c r="H200" i="7" a="1"/>
  <c r="H200" i="7" s="1"/>
  <c r="I200" i="7" a="1"/>
  <c r="I200" i="7" s="1"/>
  <c r="J200" i="7" a="1"/>
  <c r="J200" i="7" s="1"/>
  <c r="F201" i="7" a="1"/>
  <c r="F201" i="7" s="1"/>
  <c r="G201" i="7" a="1"/>
  <c r="G201" i="7" s="1"/>
  <c r="H201" i="7" a="1"/>
  <c r="H201" i="7" s="1"/>
  <c r="I201" i="7" a="1"/>
  <c r="I201" i="7" s="1"/>
  <c r="J201" i="7" a="1"/>
  <c r="J201" i="7" s="1"/>
  <c r="F202" i="7" a="1"/>
  <c r="F202" i="7" s="1"/>
  <c r="G202" i="7" a="1"/>
  <c r="G202" i="7" s="1"/>
  <c r="H202" i="7" a="1"/>
  <c r="H202" i="7" s="1"/>
  <c r="I202" i="7" a="1"/>
  <c r="I202" i="7" s="1"/>
  <c r="J202" i="7" a="1"/>
  <c r="J202" i="7" s="1"/>
  <c r="F203" i="7" a="1"/>
  <c r="F203" i="7" s="1"/>
  <c r="G203" i="7" a="1"/>
  <c r="G203" i="7" s="1"/>
  <c r="H203" i="7" a="1"/>
  <c r="H203" i="7" s="1"/>
  <c r="I203" i="7" a="1"/>
  <c r="I203" i="7" s="1"/>
  <c r="J203" i="7" a="1"/>
  <c r="J203" i="7" s="1"/>
  <c r="F204" i="7" a="1"/>
  <c r="F204" i="7" s="1"/>
  <c r="G204" i="7" a="1"/>
  <c r="G204" i="7" s="1"/>
  <c r="H204" i="7" a="1"/>
  <c r="H204" i="7" s="1"/>
  <c r="I204" i="7" a="1"/>
  <c r="I204" i="7" s="1"/>
  <c r="J204" i="7" a="1"/>
  <c r="J204" i="7" s="1"/>
  <c r="F205" i="7" a="1"/>
  <c r="F205" i="7" s="1"/>
  <c r="G205" i="7" a="1"/>
  <c r="G205" i="7" s="1"/>
  <c r="H205" i="7" a="1"/>
  <c r="H205" i="7" s="1"/>
  <c r="I205" i="7" a="1"/>
  <c r="I205" i="7" s="1"/>
  <c r="J205" i="7" a="1"/>
  <c r="J205" i="7" s="1"/>
  <c r="F206" i="7" a="1"/>
  <c r="F206" i="7" s="1"/>
  <c r="G206" i="7" a="1"/>
  <c r="G206" i="7" s="1"/>
  <c r="H206" i="7" a="1"/>
  <c r="H206" i="7" s="1"/>
  <c r="I206" i="7" a="1"/>
  <c r="I206" i="7" s="1"/>
  <c r="J206" i="7" a="1"/>
  <c r="J206" i="7" s="1"/>
  <c r="F207" i="7" a="1"/>
  <c r="F207" i="7" s="1"/>
  <c r="G207" i="7" a="1"/>
  <c r="G207" i="7" s="1"/>
  <c r="H207" i="7" a="1"/>
  <c r="H207" i="7" s="1"/>
  <c r="I207" i="7" a="1"/>
  <c r="I207" i="7" s="1"/>
  <c r="J207" i="7" a="1"/>
  <c r="J207" i="7" s="1"/>
  <c r="F208" i="7" a="1"/>
  <c r="F208" i="7" s="1"/>
  <c r="G208" i="7" a="1"/>
  <c r="G208" i="7" s="1"/>
  <c r="H208" i="7" a="1"/>
  <c r="H208" i="7" s="1"/>
  <c r="I208" i="7" a="1"/>
  <c r="I208" i="7" s="1"/>
  <c r="J208" i="7" a="1"/>
  <c r="J208" i="7" s="1"/>
  <c r="F209" i="7" a="1"/>
  <c r="F209" i="7" s="1"/>
  <c r="G209" i="7" a="1"/>
  <c r="G209" i="7" s="1"/>
  <c r="H209" i="7" a="1"/>
  <c r="H209" i="7" s="1"/>
  <c r="I209" i="7" a="1"/>
  <c r="I209" i="7" s="1"/>
  <c r="J209" i="7" a="1"/>
  <c r="J209" i="7" s="1"/>
  <c r="F210" i="7" a="1"/>
  <c r="F210" i="7" s="1"/>
  <c r="G210" i="7" a="1"/>
  <c r="G210" i="7" s="1"/>
  <c r="H210" i="7" a="1"/>
  <c r="H210" i="7" s="1"/>
  <c r="I210" i="7" a="1"/>
  <c r="I210" i="7" s="1"/>
  <c r="J210" i="7" a="1"/>
  <c r="J210" i="7" s="1"/>
  <c r="F211" i="7" a="1"/>
  <c r="F211" i="7" s="1"/>
  <c r="G211" i="7" a="1"/>
  <c r="G211" i="7" s="1"/>
  <c r="H211" i="7" a="1"/>
  <c r="H211" i="7" s="1"/>
  <c r="I211" i="7" a="1"/>
  <c r="I211" i="7" s="1"/>
  <c r="J211" i="7" a="1"/>
  <c r="J211" i="7" s="1"/>
  <c r="F212" i="7" a="1"/>
  <c r="F212" i="7" s="1"/>
  <c r="G212" i="7" a="1"/>
  <c r="G212" i="7" s="1"/>
  <c r="H212" i="7" a="1"/>
  <c r="H212" i="7" s="1"/>
  <c r="I212" i="7" a="1"/>
  <c r="I212" i="7" s="1"/>
  <c r="J212" i="7" a="1"/>
  <c r="J212" i="7" s="1"/>
  <c r="F213" i="7" a="1"/>
  <c r="F213" i="7" s="1"/>
  <c r="G213" i="7" a="1"/>
  <c r="G213" i="7" s="1"/>
  <c r="H213" i="7" a="1"/>
  <c r="H213" i="7" s="1"/>
  <c r="I213" i="7" a="1"/>
  <c r="I213" i="7" s="1"/>
  <c r="J213" i="7" a="1"/>
  <c r="J213" i="7" s="1"/>
  <c r="F214" i="7" a="1"/>
  <c r="F214" i="7" s="1"/>
  <c r="G214" i="7" a="1"/>
  <c r="G214" i="7" s="1"/>
  <c r="H214" i="7" a="1"/>
  <c r="H214" i="7" s="1"/>
  <c r="I214" i="7" a="1"/>
  <c r="I214" i="7" s="1"/>
  <c r="J214" i="7" a="1"/>
  <c r="J214" i="7" s="1"/>
  <c r="F215" i="7" a="1"/>
  <c r="F215" i="7" s="1"/>
  <c r="G215" i="7" a="1"/>
  <c r="G215" i="7" s="1"/>
  <c r="H215" i="7" a="1"/>
  <c r="H215" i="7" s="1"/>
  <c r="I215" i="7" a="1"/>
  <c r="I215" i="7" s="1"/>
  <c r="J215" i="7" a="1"/>
  <c r="J215" i="7" s="1"/>
  <c r="F216" i="7" a="1"/>
  <c r="F216" i="7" s="1"/>
  <c r="G216" i="7" a="1"/>
  <c r="G216" i="7" s="1"/>
  <c r="H216" i="7" a="1"/>
  <c r="H216" i="7" s="1"/>
  <c r="I216" i="7" a="1"/>
  <c r="I216" i="7" s="1"/>
  <c r="J216" i="7" a="1"/>
  <c r="J216" i="7" s="1"/>
  <c r="F217" i="7" a="1"/>
  <c r="F217" i="7" s="1"/>
  <c r="G217" i="7" a="1"/>
  <c r="G217" i="7" s="1"/>
  <c r="H217" i="7" a="1"/>
  <c r="H217" i="7" s="1"/>
  <c r="I217" i="7" a="1"/>
  <c r="I217" i="7" s="1"/>
  <c r="J217" i="7" a="1"/>
  <c r="J217" i="7" s="1"/>
  <c r="F218" i="7" a="1"/>
  <c r="F218" i="7" s="1"/>
  <c r="G218" i="7" a="1"/>
  <c r="G218" i="7" s="1"/>
  <c r="H218" i="7" a="1"/>
  <c r="H218" i="7" s="1"/>
  <c r="I218" i="7" a="1"/>
  <c r="I218" i="7" s="1"/>
  <c r="J218" i="7" a="1"/>
  <c r="J218" i="7" s="1"/>
  <c r="F219" i="7" a="1"/>
  <c r="F219" i="7" s="1"/>
  <c r="G219" i="7" a="1"/>
  <c r="G219" i="7" s="1"/>
  <c r="H219" i="7" a="1"/>
  <c r="H219" i="7" s="1"/>
  <c r="I219" i="7" a="1"/>
  <c r="I219" i="7" s="1"/>
  <c r="J219" i="7" a="1"/>
  <c r="J219" i="7" s="1"/>
  <c r="F220" i="7" a="1"/>
  <c r="F220" i="7" s="1"/>
  <c r="G220" i="7" a="1"/>
  <c r="G220" i="7" s="1"/>
  <c r="H220" i="7" a="1"/>
  <c r="H220" i="7" s="1"/>
  <c r="I220" i="7" a="1"/>
  <c r="I220" i="7" s="1"/>
  <c r="J220" i="7" a="1"/>
  <c r="J220" i="7" s="1"/>
  <c r="F221" i="7" a="1"/>
  <c r="F221" i="7" s="1"/>
  <c r="G221" i="7" a="1"/>
  <c r="G221" i="7" s="1"/>
  <c r="H221" i="7" a="1"/>
  <c r="H221" i="7" s="1"/>
  <c r="I221" i="7" a="1"/>
  <c r="I221" i="7" s="1"/>
  <c r="J221" i="7" a="1"/>
  <c r="J221" i="7" s="1"/>
  <c r="F222" i="7" a="1"/>
  <c r="F222" i="7" s="1"/>
  <c r="G222" i="7" a="1"/>
  <c r="G222" i="7" s="1"/>
  <c r="H222" i="7" a="1"/>
  <c r="H222" i="7" s="1"/>
  <c r="I222" i="7" a="1"/>
  <c r="I222" i="7" s="1"/>
  <c r="J222" i="7" a="1"/>
  <c r="J222" i="7" s="1"/>
  <c r="F223" i="7" a="1"/>
  <c r="F223" i="7" s="1"/>
  <c r="G223" i="7" a="1"/>
  <c r="G223" i="7" s="1"/>
  <c r="H223" i="7" a="1"/>
  <c r="H223" i="7" s="1"/>
  <c r="I223" i="7" a="1"/>
  <c r="I223" i="7" s="1"/>
  <c r="J223" i="7" a="1"/>
  <c r="J223" i="7" s="1"/>
  <c r="F224" i="7" a="1"/>
  <c r="F224" i="7" s="1"/>
  <c r="G224" i="7" a="1"/>
  <c r="G224" i="7" s="1"/>
  <c r="H224" i="7" a="1"/>
  <c r="H224" i="7" s="1"/>
  <c r="I224" i="7" a="1"/>
  <c r="I224" i="7" s="1"/>
  <c r="J224" i="7" a="1"/>
  <c r="J224" i="7" s="1"/>
  <c r="F225" i="7" a="1"/>
  <c r="F225" i="7" s="1"/>
  <c r="G225" i="7" a="1"/>
  <c r="G225" i="7" s="1"/>
  <c r="H225" i="7" a="1"/>
  <c r="H225" i="7" s="1"/>
  <c r="I225" i="7" a="1"/>
  <c r="I225" i="7" s="1"/>
  <c r="J225" i="7" a="1"/>
  <c r="J225" i="7" s="1"/>
  <c r="F226" i="7" a="1"/>
  <c r="F226" i="7" s="1"/>
  <c r="G226" i="7" a="1"/>
  <c r="G226" i="7" s="1"/>
  <c r="H226" i="7" a="1"/>
  <c r="H226" i="7" s="1"/>
  <c r="I226" i="7" a="1"/>
  <c r="I226" i="7" s="1"/>
  <c r="J226" i="7" a="1"/>
  <c r="J226" i="7" s="1"/>
  <c r="F227" i="7" a="1"/>
  <c r="F227" i="7" s="1"/>
  <c r="G227" i="7" a="1"/>
  <c r="G227" i="7" s="1"/>
  <c r="H227" i="7" a="1"/>
  <c r="H227" i="7" s="1"/>
  <c r="I227" i="7" a="1"/>
  <c r="I227" i="7" s="1"/>
  <c r="J227" i="7" a="1"/>
  <c r="J227" i="7" s="1"/>
  <c r="F228" i="7" a="1"/>
  <c r="F228" i="7" s="1"/>
  <c r="G228" i="7" a="1"/>
  <c r="G228" i="7" s="1"/>
  <c r="H228" i="7" a="1"/>
  <c r="H228" i="7" s="1"/>
  <c r="I228" i="7" a="1"/>
  <c r="I228" i="7" s="1"/>
  <c r="J228" i="7" a="1"/>
  <c r="J228" i="7" s="1"/>
  <c r="F229" i="7" a="1"/>
  <c r="F229" i="7" s="1"/>
  <c r="G229" i="7" a="1"/>
  <c r="G229" i="7" s="1"/>
  <c r="H229" i="7" a="1"/>
  <c r="H229" i="7" s="1"/>
  <c r="I229" i="7" a="1"/>
  <c r="I229" i="7" s="1"/>
  <c r="J229" i="7" a="1"/>
  <c r="J229" i="7" s="1"/>
  <c r="F230" i="7" a="1"/>
  <c r="F230" i="7" s="1"/>
  <c r="G230" i="7" a="1"/>
  <c r="G230" i="7" s="1"/>
  <c r="H230" i="7" a="1"/>
  <c r="H230" i="7" s="1"/>
  <c r="I230" i="7" a="1"/>
  <c r="I230" i="7" s="1"/>
  <c r="J230" i="7" a="1"/>
  <c r="J230" i="7" s="1"/>
  <c r="F231" i="7" a="1"/>
  <c r="F231" i="7" s="1"/>
  <c r="G231" i="7" a="1"/>
  <c r="G231" i="7" s="1"/>
  <c r="H231" i="7" a="1"/>
  <c r="H231" i="7" s="1"/>
  <c r="I231" i="7" a="1"/>
  <c r="I231" i="7" s="1"/>
  <c r="J231" i="7" a="1"/>
  <c r="J231" i="7" s="1"/>
  <c r="F232" i="7" a="1"/>
  <c r="F232" i="7" s="1"/>
  <c r="G232" i="7" a="1"/>
  <c r="G232" i="7" s="1"/>
  <c r="H232" i="7" a="1"/>
  <c r="H232" i="7" s="1"/>
  <c r="I232" i="7" a="1"/>
  <c r="I232" i="7" s="1"/>
  <c r="J232" i="7" a="1"/>
  <c r="J232" i="7" s="1"/>
  <c r="F233" i="7" a="1"/>
  <c r="F233" i="7" s="1"/>
  <c r="G233" i="7" a="1"/>
  <c r="G233" i="7" s="1"/>
  <c r="H233" i="7" a="1"/>
  <c r="H233" i="7" s="1"/>
  <c r="I233" i="7" a="1"/>
  <c r="I233" i="7" s="1"/>
  <c r="J233" i="7" a="1"/>
  <c r="J233" i="7" s="1"/>
  <c r="F234" i="7" a="1"/>
  <c r="F234" i="7" s="1"/>
  <c r="G234" i="7" a="1"/>
  <c r="G234" i="7" s="1"/>
  <c r="H234" i="7" a="1"/>
  <c r="H234" i="7" s="1"/>
  <c r="I234" i="7" a="1"/>
  <c r="I234" i="7" s="1"/>
  <c r="J234" i="7" a="1"/>
  <c r="J234" i="7" s="1"/>
  <c r="F235" i="7" a="1"/>
  <c r="F235" i="7" s="1"/>
  <c r="G235" i="7" a="1"/>
  <c r="G235" i="7" s="1"/>
  <c r="H235" i="7" a="1"/>
  <c r="H235" i="7" s="1"/>
  <c r="I235" i="7" a="1"/>
  <c r="I235" i="7" s="1"/>
  <c r="J235" i="7" a="1"/>
  <c r="J235" i="7" s="1"/>
  <c r="F236" i="7" a="1"/>
  <c r="F236" i="7" s="1"/>
  <c r="G236" i="7" a="1"/>
  <c r="G236" i="7" s="1"/>
  <c r="H236" i="7" a="1"/>
  <c r="H236" i="7" s="1"/>
  <c r="I236" i="7" a="1"/>
  <c r="I236" i="7" s="1"/>
  <c r="J236" i="7" a="1"/>
  <c r="J236" i="7" s="1"/>
  <c r="F237" i="7" a="1"/>
  <c r="F237" i="7" s="1"/>
  <c r="G237" i="7" a="1"/>
  <c r="G237" i="7" s="1"/>
  <c r="H237" i="7" a="1"/>
  <c r="H237" i="7" s="1"/>
  <c r="I237" i="7" a="1"/>
  <c r="I237" i="7" s="1"/>
  <c r="J237" i="7" a="1"/>
  <c r="J237" i="7" s="1"/>
  <c r="F238" i="7" a="1"/>
  <c r="F238" i="7" s="1"/>
  <c r="G238" i="7" a="1"/>
  <c r="G238" i="7" s="1"/>
  <c r="H238" i="7" a="1"/>
  <c r="H238" i="7" s="1"/>
  <c r="I238" i="7" a="1"/>
  <c r="I238" i="7" s="1"/>
  <c r="J238" i="7" a="1"/>
  <c r="J238" i="7" s="1"/>
  <c r="F239" i="7" a="1"/>
  <c r="F239" i="7" s="1"/>
  <c r="G239" i="7" a="1"/>
  <c r="G239" i="7" s="1"/>
  <c r="H239" i="7" a="1"/>
  <c r="H239" i="7" s="1"/>
  <c r="I239" i="7" a="1"/>
  <c r="I239" i="7" s="1"/>
  <c r="J239" i="7" a="1"/>
  <c r="J239" i="7" s="1"/>
  <c r="F240" i="7" a="1"/>
  <c r="F240" i="7" s="1"/>
  <c r="G240" i="7" a="1"/>
  <c r="G240" i="7" s="1"/>
  <c r="H240" i="7" a="1"/>
  <c r="H240" i="7" s="1"/>
  <c r="I240" i="7" a="1"/>
  <c r="I240" i="7" s="1"/>
  <c r="J240" i="7" a="1"/>
  <c r="J240" i="7" s="1"/>
  <c r="F241" i="7" a="1"/>
  <c r="F241" i="7" s="1"/>
  <c r="G241" i="7" a="1"/>
  <c r="G241" i="7" s="1"/>
  <c r="H241" i="7" a="1"/>
  <c r="H241" i="7" s="1"/>
  <c r="I241" i="7" a="1"/>
  <c r="I241" i="7" s="1"/>
  <c r="J241" i="7" a="1"/>
  <c r="J241" i="7" s="1"/>
  <c r="F242" i="7" a="1"/>
  <c r="F242" i="7" s="1"/>
  <c r="G242" i="7" a="1"/>
  <c r="G242" i="7" s="1"/>
  <c r="H242" i="7" a="1"/>
  <c r="H242" i="7" s="1"/>
  <c r="I242" i="7" a="1"/>
  <c r="I242" i="7" s="1"/>
  <c r="J242" i="7" a="1"/>
  <c r="J242" i="7" s="1"/>
  <c r="F243" i="7" a="1"/>
  <c r="F243" i="7" s="1"/>
  <c r="G243" i="7" a="1"/>
  <c r="G243" i="7" s="1"/>
  <c r="H243" i="7" a="1"/>
  <c r="H243" i="7" s="1"/>
  <c r="I243" i="7" a="1"/>
  <c r="I243" i="7" s="1"/>
  <c r="J243" i="7" a="1"/>
  <c r="J243" i="7" s="1"/>
  <c r="F244" i="7" a="1"/>
  <c r="F244" i="7" s="1"/>
  <c r="G244" i="7" a="1"/>
  <c r="G244" i="7" s="1"/>
  <c r="H244" i="7" a="1"/>
  <c r="H244" i="7" s="1"/>
  <c r="I244" i="7" a="1"/>
  <c r="I244" i="7" s="1"/>
  <c r="J244" i="7" a="1"/>
  <c r="J244" i="7" s="1"/>
  <c r="F245" i="7" a="1"/>
  <c r="F245" i="7" s="1"/>
  <c r="G245" i="7" a="1"/>
  <c r="G245" i="7" s="1"/>
  <c r="H245" i="7" a="1"/>
  <c r="H245" i="7" s="1"/>
  <c r="I245" i="7" a="1"/>
  <c r="I245" i="7" s="1"/>
  <c r="J245" i="7" a="1"/>
  <c r="J245" i="7" s="1"/>
  <c r="F246" i="7" a="1"/>
  <c r="F246" i="7" s="1"/>
  <c r="G246" i="7" a="1"/>
  <c r="G246" i="7" s="1"/>
  <c r="H246" i="7" a="1"/>
  <c r="H246" i="7" s="1"/>
  <c r="I246" i="7" a="1"/>
  <c r="I246" i="7" s="1"/>
  <c r="J246" i="7" a="1"/>
  <c r="J246" i="7" s="1"/>
  <c r="F247" i="7" a="1"/>
  <c r="F247" i="7" s="1"/>
  <c r="G247" i="7" a="1"/>
  <c r="G247" i="7" s="1"/>
  <c r="H247" i="7" a="1"/>
  <c r="H247" i="7" s="1"/>
  <c r="I247" i="7" a="1"/>
  <c r="I247" i="7" s="1"/>
  <c r="J247" i="7" a="1"/>
  <c r="J247" i="7" s="1"/>
  <c r="F248" i="7" a="1"/>
  <c r="F248" i="7" s="1"/>
  <c r="G248" i="7" a="1"/>
  <c r="G248" i="7" s="1"/>
  <c r="H248" i="7" a="1"/>
  <c r="H248" i="7" s="1"/>
  <c r="I248" i="7" a="1"/>
  <c r="I248" i="7" s="1"/>
  <c r="J248" i="7" a="1"/>
  <c r="J248" i="7" s="1"/>
  <c r="F249" i="7" a="1"/>
  <c r="F249" i="7" s="1"/>
  <c r="G249" i="7" a="1"/>
  <c r="G249" i="7" s="1"/>
  <c r="H249" i="7" a="1"/>
  <c r="H249" i="7" s="1"/>
  <c r="I249" i="7" a="1"/>
  <c r="I249" i="7" s="1"/>
  <c r="J249" i="7" a="1"/>
  <c r="J249" i="7" s="1"/>
  <c r="F250" i="7" a="1"/>
  <c r="F250" i="7" s="1"/>
  <c r="G250" i="7" a="1"/>
  <c r="G250" i="7" s="1"/>
  <c r="H250" i="7" a="1"/>
  <c r="H250" i="7" s="1"/>
  <c r="I250" i="7" a="1"/>
  <c r="I250" i="7" s="1"/>
  <c r="J250" i="7" a="1"/>
  <c r="J250" i="7" s="1"/>
  <c r="F251" i="7" a="1"/>
  <c r="F251" i="7" s="1"/>
  <c r="G251" i="7" a="1"/>
  <c r="G251" i="7" s="1"/>
  <c r="H251" i="7" a="1"/>
  <c r="H251" i="7" s="1"/>
  <c r="I251" i="7" a="1"/>
  <c r="I251" i="7" s="1"/>
  <c r="J251" i="7" a="1"/>
  <c r="J251" i="7" s="1"/>
  <c r="F252" i="7" a="1"/>
  <c r="F252" i="7" s="1"/>
  <c r="G252" i="7" a="1"/>
  <c r="G252" i="7" s="1"/>
  <c r="H252" i="7" a="1"/>
  <c r="H252" i="7" s="1"/>
  <c r="I252" i="7" a="1"/>
  <c r="I252" i="7" s="1"/>
  <c r="J252" i="7" a="1"/>
  <c r="J252" i="7" s="1"/>
  <c r="F253" i="7" a="1"/>
  <c r="F253" i="7" s="1"/>
  <c r="G253" i="7" a="1"/>
  <c r="G253" i="7" s="1"/>
  <c r="H253" i="7" a="1"/>
  <c r="H253" i="7" s="1"/>
  <c r="I253" i="7" a="1"/>
  <c r="I253" i="7" s="1"/>
  <c r="J253" i="7" a="1"/>
  <c r="J253" i="7" s="1"/>
  <c r="F254" i="7" a="1"/>
  <c r="F254" i="7" s="1"/>
  <c r="G254" i="7" a="1"/>
  <c r="G254" i="7" s="1"/>
  <c r="H254" i="7" a="1"/>
  <c r="H254" i="7" s="1"/>
  <c r="I254" i="7" a="1"/>
  <c r="I254" i="7" s="1"/>
  <c r="J254" i="7" a="1"/>
  <c r="J254" i="7" s="1"/>
  <c r="F255" i="7" a="1"/>
  <c r="F255" i="7" s="1"/>
  <c r="G255" i="7" a="1"/>
  <c r="G255" i="7" s="1"/>
  <c r="H255" i="7" a="1"/>
  <c r="H255" i="7" s="1"/>
  <c r="I255" i="7" a="1"/>
  <c r="I255" i="7" s="1"/>
  <c r="J255" i="7" a="1"/>
  <c r="J255" i="7" s="1"/>
  <c r="F256" i="7" a="1"/>
  <c r="F256" i="7" s="1"/>
  <c r="G256" i="7" a="1"/>
  <c r="G256" i="7" s="1"/>
  <c r="H256" i="7" a="1"/>
  <c r="H256" i="7" s="1"/>
  <c r="I256" i="7" a="1"/>
  <c r="I256" i="7" s="1"/>
  <c r="J256" i="7" a="1"/>
  <c r="J256" i="7" s="1"/>
  <c r="F257" i="7" a="1"/>
  <c r="F257" i="7" s="1"/>
  <c r="G257" i="7" a="1"/>
  <c r="G257" i="7" s="1"/>
  <c r="H257" i="7" a="1"/>
  <c r="H257" i="7" s="1"/>
  <c r="I257" i="7" a="1"/>
  <c r="I257" i="7" s="1"/>
  <c r="J257" i="7" a="1"/>
  <c r="J257" i="7" s="1"/>
  <c r="F258" i="7" a="1"/>
  <c r="F258" i="7" s="1"/>
  <c r="G258" i="7" a="1"/>
  <c r="G258" i="7" s="1"/>
  <c r="H258" i="7" a="1"/>
  <c r="H258" i="7" s="1"/>
  <c r="I258" i="7" a="1"/>
  <c r="I258" i="7" s="1"/>
  <c r="J258" i="7" a="1"/>
  <c r="J258" i="7" s="1"/>
  <c r="F259" i="7" a="1"/>
  <c r="F259" i="7" s="1"/>
  <c r="G259" i="7" a="1"/>
  <c r="G259" i="7" s="1"/>
  <c r="H259" i="7" a="1"/>
  <c r="H259" i="7" s="1"/>
  <c r="I259" i="7" a="1"/>
  <c r="I259" i="7" s="1"/>
  <c r="J259" i="7" a="1"/>
  <c r="J259" i="7" s="1"/>
  <c r="F260" i="7" a="1"/>
  <c r="F260" i="7" s="1"/>
  <c r="G260" i="7" a="1"/>
  <c r="G260" i="7" s="1"/>
  <c r="H260" i="7" a="1"/>
  <c r="H260" i="7" s="1"/>
  <c r="I260" i="7" a="1"/>
  <c r="I260" i="7" s="1"/>
  <c r="J260" i="7" a="1"/>
  <c r="J260" i="7" s="1"/>
  <c r="F261" i="7" a="1"/>
  <c r="F261" i="7" s="1"/>
  <c r="G261" i="7" a="1"/>
  <c r="G261" i="7" s="1"/>
  <c r="H261" i="7" a="1"/>
  <c r="H261" i="7" s="1"/>
  <c r="I261" i="7" a="1"/>
  <c r="I261" i="7" s="1"/>
  <c r="J261" i="7" a="1"/>
  <c r="J261" i="7" s="1"/>
  <c r="F262" i="7" a="1"/>
  <c r="F262" i="7" s="1"/>
  <c r="G262" i="7" a="1"/>
  <c r="G262" i="7" s="1"/>
  <c r="H262" i="7" a="1"/>
  <c r="H262" i="7" s="1"/>
  <c r="I262" i="7" a="1"/>
  <c r="I262" i="7" s="1"/>
  <c r="J262" i="7" a="1"/>
  <c r="J262" i="7" s="1"/>
  <c r="F263" i="7" a="1"/>
  <c r="F263" i="7" s="1"/>
  <c r="G263" i="7" a="1"/>
  <c r="G263" i="7" s="1"/>
  <c r="H263" i="7" a="1"/>
  <c r="H263" i="7" s="1"/>
  <c r="I263" i="7" a="1"/>
  <c r="I263" i="7" s="1"/>
  <c r="J263" i="7" a="1"/>
  <c r="J263" i="7" s="1"/>
  <c r="F264" i="7" a="1"/>
  <c r="F264" i="7" s="1"/>
  <c r="G264" i="7" a="1"/>
  <c r="G264" i="7" s="1"/>
  <c r="H264" i="7" a="1"/>
  <c r="H264" i="7" s="1"/>
  <c r="I264" i="7" a="1"/>
  <c r="I264" i="7" s="1"/>
  <c r="J264" i="7" a="1"/>
  <c r="J264" i="7" s="1"/>
  <c r="F265" i="7" a="1"/>
  <c r="F265" i="7" s="1"/>
  <c r="G265" i="7" a="1"/>
  <c r="G265" i="7" s="1"/>
  <c r="H265" i="7" a="1"/>
  <c r="H265" i="7" s="1"/>
  <c r="I265" i="7" a="1"/>
  <c r="I265" i="7" s="1"/>
  <c r="J265" i="7" a="1"/>
  <c r="J265" i="7" s="1"/>
  <c r="F266" i="7" a="1"/>
  <c r="F266" i="7" s="1"/>
  <c r="G266" i="7" a="1"/>
  <c r="G266" i="7" s="1"/>
  <c r="H266" i="7" a="1"/>
  <c r="H266" i="7" s="1"/>
  <c r="I266" i="7" a="1"/>
  <c r="I266" i="7" s="1"/>
  <c r="J266" i="7" a="1"/>
  <c r="J266" i="7" s="1"/>
  <c r="F267" i="7" a="1"/>
  <c r="F267" i="7" s="1"/>
  <c r="G267" i="7" a="1"/>
  <c r="G267" i="7" s="1"/>
  <c r="H267" i="7" a="1"/>
  <c r="H267" i="7" s="1"/>
  <c r="I267" i="7" a="1"/>
  <c r="I267" i="7" s="1"/>
  <c r="J267" i="7" a="1"/>
  <c r="J267" i="7" s="1"/>
  <c r="F268" i="7" a="1"/>
  <c r="F268" i="7" s="1"/>
  <c r="G268" i="7" a="1"/>
  <c r="G268" i="7" s="1"/>
  <c r="H268" i="7" a="1"/>
  <c r="H268" i="7" s="1"/>
  <c r="I268" i="7" a="1"/>
  <c r="I268" i="7" s="1"/>
  <c r="J268" i="7" a="1"/>
  <c r="J268" i="7" s="1"/>
  <c r="F269" i="7" a="1"/>
  <c r="F269" i="7" s="1"/>
  <c r="G269" i="7" a="1"/>
  <c r="G269" i="7" s="1"/>
  <c r="H269" i="7" a="1"/>
  <c r="H269" i="7" s="1"/>
  <c r="I269" i="7" a="1"/>
  <c r="I269" i="7" s="1"/>
  <c r="J269" i="7" a="1"/>
  <c r="J269" i="7" s="1"/>
  <c r="F270" i="7" a="1"/>
  <c r="F270" i="7" s="1"/>
  <c r="G270" i="7" a="1"/>
  <c r="G270" i="7" s="1"/>
  <c r="H270" i="7" a="1"/>
  <c r="H270" i="7" s="1"/>
  <c r="I270" i="7" a="1"/>
  <c r="I270" i="7" s="1"/>
  <c r="J270" i="7" a="1"/>
  <c r="J270" i="7" s="1"/>
  <c r="F271" i="7" a="1"/>
  <c r="F271" i="7" s="1"/>
  <c r="G271" i="7" a="1"/>
  <c r="G271" i="7" s="1"/>
  <c r="H271" i="7" a="1"/>
  <c r="H271" i="7" s="1"/>
  <c r="I271" i="7" a="1"/>
  <c r="I271" i="7" s="1"/>
  <c r="J271" i="7" a="1"/>
  <c r="J271" i="7" s="1"/>
  <c r="F272" i="7" a="1"/>
  <c r="F272" i="7" s="1"/>
  <c r="G272" i="7" a="1"/>
  <c r="G272" i="7" s="1"/>
  <c r="H272" i="7" a="1"/>
  <c r="H272" i="7" s="1"/>
  <c r="I272" i="7" a="1"/>
  <c r="I272" i="7" s="1"/>
  <c r="J272" i="7" a="1"/>
  <c r="J272" i="7" s="1"/>
  <c r="F273" i="7" a="1"/>
  <c r="F273" i="7" s="1"/>
  <c r="G273" i="7" a="1"/>
  <c r="G273" i="7" s="1"/>
  <c r="H273" i="7" a="1"/>
  <c r="H273" i="7" s="1"/>
  <c r="I273" i="7" a="1"/>
  <c r="I273" i="7" s="1"/>
  <c r="J273" i="7" a="1"/>
  <c r="J273" i="7" s="1"/>
  <c r="F274" i="7" a="1"/>
  <c r="F274" i="7" s="1"/>
  <c r="G274" i="7" a="1"/>
  <c r="G274" i="7" s="1"/>
  <c r="H274" i="7" a="1"/>
  <c r="H274" i="7" s="1"/>
  <c r="I274" i="7" a="1"/>
  <c r="I274" i="7" s="1"/>
  <c r="J274" i="7" a="1"/>
  <c r="J274" i="7" s="1"/>
  <c r="F275" i="7" a="1"/>
  <c r="F275" i="7" s="1"/>
  <c r="G275" i="7" a="1"/>
  <c r="G275" i="7" s="1"/>
  <c r="H275" i="7" a="1"/>
  <c r="H275" i="7" s="1"/>
  <c r="I275" i="7" a="1"/>
  <c r="I275" i="7" s="1"/>
  <c r="J275" i="7" a="1"/>
  <c r="J275" i="7" s="1"/>
  <c r="F276" i="7" a="1"/>
  <c r="F276" i="7" s="1"/>
  <c r="G276" i="7" a="1"/>
  <c r="G276" i="7" s="1"/>
  <c r="H276" i="7" a="1"/>
  <c r="H276" i="7" s="1"/>
  <c r="I276" i="7" a="1"/>
  <c r="I276" i="7" s="1"/>
  <c r="J276" i="7" a="1"/>
  <c r="J276" i="7" s="1"/>
  <c r="F277" i="7" a="1"/>
  <c r="F277" i="7" s="1"/>
  <c r="G277" i="7" a="1"/>
  <c r="G277" i="7" s="1"/>
  <c r="H277" i="7" a="1"/>
  <c r="H277" i="7" s="1"/>
  <c r="I277" i="7" a="1"/>
  <c r="I277" i="7" s="1"/>
  <c r="J277" i="7" a="1"/>
  <c r="J277" i="7" s="1"/>
  <c r="F278" i="7" a="1"/>
  <c r="F278" i="7" s="1"/>
  <c r="G278" i="7" a="1"/>
  <c r="G278" i="7" s="1"/>
  <c r="H278" i="7" a="1"/>
  <c r="H278" i="7" s="1"/>
  <c r="I278" i="7" a="1"/>
  <c r="I278" i="7" s="1"/>
  <c r="J278" i="7" a="1"/>
  <c r="J278" i="7" s="1"/>
  <c r="F279" i="7" a="1"/>
  <c r="F279" i="7" s="1"/>
  <c r="G279" i="7" a="1"/>
  <c r="G279" i="7" s="1"/>
  <c r="H279" i="7" a="1"/>
  <c r="H279" i="7" s="1"/>
  <c r="I279" i="7" a="1"/>
  <c r="I279" i="7" s="1"/>
  <c r="J279" i="7" a="1"/>
  <c r="J279" i="7" s="1"/>
  <c r="G280" i="7" a="1"/>
  <c r="G280" i="7" s="1"/>
  <c r="H280" i="7" a="1"/>
  <c r="H280" i="7" s="1"/>
  <c r="I280" i="7" a="1"/>
  <c r="I280" i="7" s="1"/>
  <c r="J280" i="7" a="1"/>
  <c r="J280" i="7" s="1"/>
  <c r="F281" i="7" a="1"/>
  <c r="F281" i="7" s="1"/>
  <c r="G281" i="7" a="1"/>
  <c r="G281" i="7" s="1"/>
  <c r="H281" i="7" a="1"/>
  <c r="H281" i="7" s="1"/>
  <c r="I281" i="7" a="1"/>
  <c r="I281" i="7" s="1"/>
  <c r="J281" i="7" a="1"/>
  <c r="J281" i="7" s="1"/>
  <c r="F282" i="7" a="1"/>
  <c r="F282" i="7" s="1"/>
  <c r="G282" i="7" a="1"/>
  <c r="G282" i="7" s="1"/>
  <c r="H282" i="7" a="1"/>
  <c r="H282" i="7" s="1"/>
  <c r="I282" i="7" a="1"/>
  <c r="I282" i="7" s="1"/>
  <c r="J282" i="7" a="1"/>
  <c r="J282" i="7" s="1"/>
  <c r="F283" i="7" a="1"/>
  <c r="F283" i="7" s="1"/>
  <c r="G283" i="7" a="1"/>
  <c r="G283" i="7" s="1"/>
  <c r="H283" i="7" a="1"/>
  <c r="H283" i="7" s="1"/>
  <c r="I283" i="7" a="1"/>
  <c r="I283" i="7" s="1"/>
  <c r="J283" i="7" a="1"/>
  <c r="J283" i="7" s="1"/>
  <c r="F284" i="7" a="1"/>
  <c r="F284" i="7" s="1"/>
  <c r="G284" i="7" a="1"/>
  <c r="G284" i="7" s="1"/>
  <c r="H284" i="7" a="1"/>
  <c r="H284" i="7" s="1"/>
  <c r="I284" i="7" a="1"/>
  <c r="I284" i="7" s="1"/>
  <c r="J284" i="7" a="1"/>
  <c r="J284" i="7" s="1"/>
  <c r="F285" i="7" a="1"/>
  <c r="F285" i="7" s="1"/>
  <c r="G285" i="7" a="1"/>
  <c r="G285" i="7" s="1"/>
  <c r="H285" i="7" a="1"/>
  <c r="H285" i="7" s="1"/>
  <c r="I285" i="7" a="1"/>
  <c r="I285" i="7" s="1"/>
  <c r="J285" i="7" a="1"/>
  <c r="J285" i="7" s="1"/>
  <c r="F286" i="7" a="1"/>
  <c r="F286" i="7" s="1"/>
  <c r="G286" i="7" a="1"/>
  <c r="G286" i="7" s="1"/>
  <c r="H286" i="7" a="1"/>
  <c r="H286" i="7" s="1"/>
  <c r="I286" i="7" a="1"/>
  <c r="I286" i="7" s="1"/>
  <c r="J286" i="7" a="1"/>
  <c r="J286" i="7" s="1"/>
  <c r="F287" i="7" a="1"/>
  <c r="F287" i="7" s="1"/>
  <c r="G287" i="7" a="1"/>
  <c r="G287" i="7" s="1"/>
  <c r="H287" i="7" a="1"/>
  <c r="H287" i="7" s="1"/>
  <c r="I287" i="7" a="1"/>
  <c r="I287" i="7" s="1"/>
  <c r="J287" i="7" a="1"/>
  <c r="J287" i="7" s="1"/>
  <c r="F288" i="7" a="1"/>
  <c r="F288" i="7" s="1"/>
  <c r="G288" i="7" a="1"/>
  <c r="G288" i="7" s="1"/>
  <c r="H288" i="7" a="1"/>
  <c r="H288" i="7" s="1"/>
  <c r="I288" i="7" a="1"/>
  <c r="I288" i="7" s="1"/>
  <c r="J288" i="7" a="1"/>
  <c r="J288" i="7" s="1"/>
  <c r="F289" i="7" a="1"/>
  <c r="F289" i="7" s="1"/>
  <c r="G289" i="7" a="1"/>
  <c r="G289" i="7" s="1"/>
  <c r="H289" i="7" a="1"/>
  <c r="H289" i="7" s="1"/>
  <c r="I289" i="7" a="1"/>
  <c r="I289" i="7" s="1"/>
  <c r="J289" i="7" a="1"/>
  <c r="J289" i="7" s="1"/>
  <c r="F290" i="7" a="1"/>
  <c r="F290" i="7" s="1"/>
  <c r="G290" i="7" a="1"/>
  <c r="G290" i="7" s="1"/>
  <c r="H290" i="7" a="1"/>
  <c r="H290" i="7" s="1"/>
  <c r="I290" i="7" a="1"/>
  <c r="I290" i="7" s="1"/>
  <c r="J290" i="7" a="1"/>
  <c r="J290" i="7" s="1"/>
  <c r="F291" i="7" a="1"/>
  <c r="F291" i="7" s="1"/>
  <c r="G291" i="7" a="1"/>
  <c r="G291" i="7" s="1"/>
  <c r="H291" i="7" a="1"/>
  <c r="H291" i="7" s="1"/>
  <c r="I291" i="7" a="1"/>
  <c r="I291" i="7" s="1"/>
  <c r="J291" i="7" a="1"/>
  <c r="J291" i="7" s="1"/>
  <c r="F292" i="7" a="1"/>
  <c r="F292" i="7" s="1"/>
  <c r="G292" i="7" a="1"/>
  <c r="G292" i="7" s="1"/>
  <c r="H292" i="7" a="1"/>
  <c r="H292" i="7" s="1"/>
  <c r="I292" i="7" a="1"/>
  <c r="I292" i="7" s="1"/>
  <c r="J292" i="7" a="1"/>
  <c r="J292" i="7" s="1"/>
  <c r="F293" i="7" a="1"/>
  <c r="F293" i="7" s="1"/>
  <c r="G293" i="7" a="1"/>
  <c r="G293" i="7" s="1"/>
  <c r="H293" i="7" a="1"/>
  <c r="H293" i="7" s="1"/>
  <c r="I293" i="7" a="1"/>
  <c r="I293" i="7" s="1"/>
  <c r="J293" i="7" a="1"/>
  <c r="J293" i="7" s="1"/>
  <c r="F294" i="7" a="1"/>
  <c r="F294" i="7" s="1"/>
  <c r="G294" i="7" a="1"/>
  <c r="G294" i="7" s="1"/>
  <c r="H294" i="7" a="1"/>
  <c r="H294" i="7" s="1"/>
  <c r="I294" i="7" a="1"/>
  <c r="I294" i="7" s="1"/>
  <c r="J294" i="7" a="1"/>
  <c r="J294" i="7" s="1"/>
  <c r="F295" i="7" a="1"/>
  <c r="F295" i="7" s="1"/>
  <c r="G295" i="7" a="1"/>
  <c r="G295" i="7" s="1"/>
  <c r="H295" i="7" a="1"/>
  <c r="H295" i="7" s="1"/>
  <c r="I295" i="7" a="1"/>
  <c r="I295" i="7" s="1"/>
  <c r="J295" i="7" a="1"/>
  <c r="J295" i="7" s="1"/>
  <c r="F296" i="7" a="1"/>
  <c r="F296" i="7" s="1"/>
  <c r="G296" i="7" a="1"/>
  <c r="G296" i="7" s="1"/>
  <c r="H296" i="7" a="1"/>
  <c r="H296" i="7" s="1"/>
  <c r="I296" i="7" a="1"/>
  <c r="I296" i="7" s="1"/>
  <c r="J296" i="7" a="1"/>
  <c r="J296" i="7" s="1"/>
  <c r="F297" i="7" a="1"/>
  <c r="F297" i="7" s="1"/>
  <c r="G297" i="7" a="1"/>
  <c r="G297" i="7" s="1"/>
  <c r="H297" i="7" a="1"/>
  <c r="H297" i="7" s="1"/>
  <c r="I297" i="7" a="1"/>
  <c r="I297" i="7" s="1"/>
  <c r="J297" i="7" a="1"/>
  <c r="J297" i="7" s="1"/>
  <c r="F298" i="7" a="1"/>
  <c r="F298" i="7" s="1"/>
  <c r="G298" i="7" a="1"/>
  <c r="G298" i="7" s="1"/>
  <c r="H298" i="7" a="1"/>
  <c r="H298" i="7" s="1"/>
  <c r="I298" i="7" a="1"/>
  <c r="I298" i="7" s="1"/>
  <c r="J298" i="7" a="1"/>
  <c r="J298" i="7" s="1"/>
  <c r="F299" i="7" a="1"/>
  <c r="F299" i="7" s="1"/>
  <c r="G299" i="7" a="1"/>
  <c r="G299" i="7" s="1"/>
  <c r="H299" i="7" a="1"/>
  <c r="H299" i="7" s="1"/>
  <c r="I299" i="7" a="1"/>
  <c r="I299" i="7" s="1"/>
  <c r="J299" i="7" a="1"/>
  <c r="J299" i="7" s="1"/>
  <c r="F300" i="7" a="1"/>
  <c r="F300" i="7" s="1"/>
  <c r="G300" i="7" a="1"/>
  <c r="G300" i="7" s="1"/>
  <c r="H300" i="7" a="1"/>
  <c r="H300" i="7" s="1"/>
  <c r="I300" i="7" a="1"/>
  <c r="I300" i="7" s="1"/>
  <c r="J300" i="7" a="1"/>
  <c r="J300" i="7" s="1"/>
  <c r="F301" i="7" a="1"/>
  <c r="F301" i="7" s="1"/>
  <c r="G301" i="7" a="1"/>
  <c r="G301" i="7" s="1"/>
  <c r="H301" i="7" a="1"/>
  <c r="H301" i="7" s="1"/>
  <c r="I301" i="7" a="1"/>
  <c r="I301" i="7" s="1"/>
  <c r="J301" i="7" a="1"/>
  <c r="J301" i="7" s="1"/>
  <c r="F302" i="7" a="1"/>
  <c r="F302" i="7" s="1"/>
  <c r="G302" i="7" a="1"/>
  <c r="G302" i="7" s="1"/>
  <c r="H302" i="7" a="1"/>
  <c r="H302" i="7" s="1"/>
  <c r="I302" i="7" a="1"/>
  <c r="I302" i="7" s="1"/>
  <c r="J302" i="7" a="1"/>
  <c r="J302" i="7" s="1"/>
  <c r="F303" i="7" a="1"/>
  <c r="F303" i="7" s="1"/>
  <c r="G303" i="7" a="1"/>
  <c r="G303" i="7" s="1"/>
  <c r="H303" i="7" a="1"/>
  <c r="H303" i="7" s="1"/>
  <c r="I303" i="7" a="1"/>
  <c r="I303" i="7" s="1"/>
  <c r="J303" i="7" a="1"/>
  <c r="J303" i="7" s="1"/>
  <c r="F304" i="7" a="1"/>
  <c r="F304" i="7" s="1"/>
  <c r="G304" i="7" a="1"/>
  <c r="G304" i="7" s="1"/>
  <c r="H304" i="7" a="1"/>
  <c r="H304" i="7" s="1"/>
  <c r="I304" i="7" a="1"/>
  <c r="I304" i="7" s="1"/>
  <c r="J304" i="7" a="1"/>
  <c r="J304" i="7" s="1"/>
  <c r="F305" i="7" a="1"/>
  <c r="F305" i="7" s="1"/>
  <c r="G305" i="7" a="1"/>
  <c r="G305" i="7" s="1"/>
  <c r="H305" i="7" a="1"/>
  <c r="H305" i="7" s="1"/>
  <c r="I305" i="7" a="1"/>
  <c r="I305" i="7" s="1"/>
  <c r="J305" i="7" a="1"/>
  <c r="J305" i="7" s="1"/>
  <c r="F306" i="7" a="1"/>
  <c r="F306" i="7" s="1"/>
  <c r="G306" i="7" a="1"/>
  <c r="G306" i="7" s="1"/>
  <c r="H306" i="7" a="1"/>
  <c r="H306" i="7" s="1"/>
  <c r="I306" i="7" a="1"/>
  <c r="I306" i="7" s="1"/>
  <c r="J306" i="7" a="1"/>
  <c r="J306" i="7" s="1"/>
  <c r="F307" i="7" a="1"/>
  <c r="F307" i="7" s="1"/>
  <c r="G307" i="7" a="1"/>
  <c r="G307" i="7" s="1"/>
  <c r="H307" i="7" a="1"/>
  <c r="H307" i="7" s="1"/>
  <c r="I307" i="7" a="1"/>
  <c r="I307" i="7" s="1"/>
  <c r="J307" i="7" a="1"/>
  <c r="J307" i="7" s="1"/>
  <c r="F308" i="7" a="1"/>
  <c r="F308" i="7" s="1"/>
  <c r="G308" i="7" a="1"/>
  <c r="G308" i="7" s="1"/>
  <c r="H308" i="7" a="1"/>
  <c r="H308" i="7" s="1"/>
  <c r="I308" i="7" a="1"/>
  <c r="I308" i="7" s="1"/>
  <c r="J308" i="7" a="1"/>
  <c r="J308" i="7" s="1"/>
  <c r="F309" i="7" a="1"/>
  <c r="F309" i="7" s="1"/>
  <c r="G309" i="7" a="1"/>
  <c r="G309" i="7" s="1"/>
  <c r="H309" i="7" a="1"/>
  <c r="H309" i="7" s="1"/>
  <c r="I309" i="7" a="1"/>
  <c r="I309" i="7" s="1"/>
  <c r="J309" i="7" a="1"/>
  <c r="J309" i="7" s="1"/>
  <c r="F310" i="7" a="1"/>
  <c r="F310" i="7" s="1"/>
  <c r="G310" i="7" a="1"/>
  <c r="G310" i="7" s="1"/>
  <c r="H310" i="7" a="1"/>
  <c r="H310" i="7" s="1"/>
  <c r="I310" i="7" a="1"/>
  <c r="I310" i="7" s="1"/>
  <c r="J310" i="7" a="1"/>
  <c r="J310" i="7" s="1"/>
  <c r="F311" i="7" a="1"/>
  <c r="F311" i="7" s="1"/>
  <c r="G311" i="7" a="1"/>
  <c r="G311" i="7" s="1"/>
  <c r="H311" i="7" a="1"/>
  <c r="H311" i="7" s="1"/>
  <c r="I311" i="7" a="1"/>
  <c r="I311" i="7" s="1"/>
  <c r="J311" i="7" a="1"/>
  <c r="J311" i="7" s="1"/>
  <c r="F312" i="7" a="1"/>
  <c r="F312" i="7" s="1"/>
  <c r="G312" i="7" a="1"/>
  <c r="G312" i="7" s="1"/>
  <c r="H312" i="7" a="1"/>
  <c r="H312" i="7" s="1"/>
  <c r="I312" i="7" a="1"/>
  <c r="I312" i="7" s="1"/>
  <c r="J312" i="7" a="1"/>
  <c r="J312" i="7" s="1"/>
  <c r="F313" i="7" a="1"/>
  <c r="F313" i="7" s="1"/>
  <c r="G313" i="7" a="1"/>
  <c r="G313" i="7" s="1"/>
  <c r="H313" i="7" a="1"/>
  <c r="H313" i="7" s="1"/>
  <c r="I313" i="7" a="1"/>
  <c r="I313" i="7" s="1"/>
  <c r="J313" i="7" a="1"/>
  <c r="J313" i="7" s="1"/>
  <c r="F314" i="7" a="1"/>
  <c r="F314" i="7" s="1"/>
  <c r="G314" i="7" a="1"/>
  <c r="G314" i="7" s="1"/>
  <c r="H314" i="7" a="1"/>
  <c r="H314" i="7" s="1"/>
  <c r="I314" i="7" a="1"/>
  <c r="I314" i="7" s="1"/>
  <c r="J314" i="7" a="1"/>
  <c r="J314" i="7" s="1"/>
  <c r="F315" i="7" a="1"/>
  <c r="F315" i="7" s="1"/>
  <c r="G315" i="7" a="1"/>
  <c r="G315" i="7" s="1"/>
  <c r="H315" i="7" a="1"/>
  <c r="H315" i="7" s="1"/>
  <c r="I315" i="7" a="1"/>
  <c r="I315" i="7" s="1"/>
  <c r="J315" i="7" a="1"/>
  <c r="J315" i="7" s="1"/>
  <c r="F316" i="7" a="1"/>
  <c r="F316" i="7" s="1"/>
  <c r="G316" i="7" a="1"/>
  <c r="G316" i="7" s="1"/>
  <c r="H316" i="7" a="1"/>
  <c r="H316" i="7" s="1"/>
  <c r="I316" i="7" a="1"/>
  <c r="I316" i="7" s="1"/>
  <c r="J316" i="7" a="1"/>
  <c r="J316" i="7" s="1"/>
  <c r="F317" i="7" a="1"/>
  <c r="F317" i="7" s="1"/>
  <c r="G317" i="7" a="1"/>
  <c r="G317" i="7" s="1"/>
  <c r="H317" i="7" a="1"/>
  <c r="H317" i="7" s="1"/>
  <c r="I317" i="7" a="1"/>
  <c r="I317" i="7" s="1"/>
  <c r="J317" i="7" a="1"/>
  <c r="J317" i="7" s="1"/>
  <c r="F318" i="7" a="1"/>
  <c r="F318" i="7" s="1"/>
  <c r="G318" i="7" a="1"/>
  <c r="G318" i="7" s="1"/>
  <c r="H318" i="7" a="1"/>
  <c r="H318" i="7" s="1"/>
  <c r="I318" i="7" a="1"/>
  <c r="I318" i="7" s="1"/>
  <c r="J318" i="7" a="1"/>
  <c r="J318" i="7" s="1"/>
  <c r="F319" i="7" a="1"/>
  <c r="F319" i="7" s="1"/>
  <c r="G319" i="7" a="1"/>
  <c r="G319" i="7" s="1"/>
  <c r="H319" i="7" a="1"/>
  <c r="H319" i="7" s="1"/>
  <c r="I319" i="7" a="1"/>
  <c r="I319" i="7" s="1"/>
  <c r="J319" i="7" a="1"/>
  <c r="J319" i="7" s="1"/>
  <c r="F320" i="7" a="1"/>
  <c r="F320" i="7" s="1"/>
  <c r="G320" i="7" a="1"/>
  <c r="G320" i="7" s="1"/>
  <c r="H320" i="7" a="1"/>
  <c r="H320" i="7" s="1"/>
  <c r="I320" i="7" a="1"/>
  <c r="I320" i="7" s="1"/>
  <c r="J320" i="7" a="1"/>
  <c r="J320" i="7" s="1"/>
  <c r="F321" i="7" a="1"/>
  <c r="F321" i="7" s="1"/>
  <c r="G321" i="7" a="1"/>
  <c r="G321" i="7" s="1"/>
  <c r="H321" i="7" a="1"/>
  <c r="H321" i="7" s="1"/>
  <c r="I321" i="7" a="1"/>
  <c r="I321" i="7" s="1"/>
  <c r="J321" i="7" a="1"/>
  <c r="J321" i="7" s="1"/>
  <c r="F322" i="7" a="1"/>
  <c r="F322" i="7" s="1"/>
  <c r="G322" i="7" a="1"/>
  <c r="G322" i="7" s="1"/>
  <c r="H322" i="7" a="1"/>
  <c r="H322" i="7" s="1"/>
  <c r="I322" i="7" a="1"/>
  <c r="I322" i="7" s="1"/>
  <c r="J322" i="7" a="1"/>
  <c r="J322" i="7" s="1"/>
  <c r="F323" i="7" a="1"/>
  <c r="F323" i="7" s="1"/>
  <c r="G323" i="7" a="1"/>
  <c r="G323" i="7" s="1"/>
  <c r="H323" i="7" a="1"/>
  <c r="H323" i="7" s="1"/>
  <c r="I323" i="7" a="1"/>
  <c r="I323" i="7" s="1"/>
  <c r="J323" i="7" a="1"/>
  <c r="J323" i="7" s="1"/>
  <c r="F324" i="7" a="1"/>
  <c r="F324" i="7" s="1"/>
  <c r="G324" i="7" a="1"/>
  <c r="G324" i="7" s="1"/>
  <c r="H324" i="7" a="1"/>
  <c r="H324" i="7" s="1"/>
  <c r="I324" i="7" a="1"/>
  <c r="I324" i="7" s="1"/>
  <c r="J324" i="7" a="1"/>
  <c r="J324" i="7" s="1"/>
  <c r="F325" i="7" a="1"/>
  <c r="F325" i="7" s="1"/>
  <c r="G325" i="7" a="1"/>
  <c r="G325" i="7" s="1"/>
  <c r="H325" i="7" a="1"/>
  <c r="H325" i="7" s="1"/>
  <c r="I325" i="7" a="1"/>
  <c r="I325" i="7" s="1"/>
  <c r="J325" i="7" a="1"/>
  <c r="J325" i="7" s="1"/>
  <c r="F326" i="7" a="1"/>
  <c r="F326" i="7" s="1"/>
  <c r="G326" i="7" a="1"/>
  <c r="G326" i="7" s="1"/>
  <c r="H326" i="7" a="1"/>
  <c r="H326" i="7" s="1"/>
  <c r="I326" i="7" a="1"/>
  <c r="I326" i="7" s="1"/>
  <c r="J326" i="7" a="1"/>
  <c r="J326" i="7" s="1"/>
  <c r="F327" i="7" a="1"/>
  <c r="F327" i="7" s="1"/>
  <c r="G327" i="7" a="1"/>
  <c r="G327" i="7" s="1"/>
  <c r="H327" i="7" a="1"/>
  <c r="H327" i="7" s="1"/>
  <c r="I327" i="7" a="1"/>
  <c r="I327" i="7" s="1"/>
  <c r="J327" i="7" a="1"/>
  <c r="J327" i="7" s="1"/>
  <c r="F328" i="7" a="1"/>
  <c r="F328" i="7" s="1"/>
  <c r="G328" i="7" a="1"/>
  <c r="G328" i="7" s="1"/>
  <c r="H328" i="7" a="1"/>
  <c r="H328" i="7" s="1"/>
  <c r="I328" i="7" a="1"/>
  <c r="I328" i="7" s="1"/>
  <c r="J328" i="7" a="1"/>
  <c r="J328" i="7" s="1"/>
  <c r="F329" i="7" a="1"/>
  <c r="F329" i="7" s="1"/>
  <c r="G329" i="7" a="1"/>
  <c r="G329" i="7" s="1"/>
  <c r="H329" i="7" a="1"/>
  <c r="H329" i="7" s="1"/>
  <c r="I329" i="7" a="1"/>
  <c r="I329" i="7" s="1"/>
  <c r="J329" i="7" a="1"/>
  <c r="J329" i="7" s="1"/>
  <c r="F330" i="7" a="1"/>
  <c r="F330" i="7" s="1"/>
  <c r="G330" i="7" a="1"/>
  <c r="G330" i="7" s="1"/>
  <c r="H330" i="7" a="1"/>
  <c r="H330" i="7" s="1"/>
  <c r="I330" i="7" a="1"/>
  <c r="I330" i="7" s="1"/>
  <c r="J330" i="7" a="1"/>
  <c r="J330" i="7" s="1"/>
  <c r="F331" i="7" a="1"/>
  <c r="F331" i="7" s="1"/>
  <c r="G331" i="7" a="1"/>
  <c r="G331" i="7" s="1"/>
  <c r="H331" i="7" a="1"/>
  <c r="H331" i="7" s="1"/>
  <c r="I331" i="7" a="1"/>
  <c r="I331" i="7" s="1"/>
  <c r="J331" i="7" a="1"/>
  <c r="J331" i="7" s="1"/>
  <c r="G134" i="7" a="1"/>
  <c r="G134" i="7" s="1"/>
  <c r="H134" i="7" a="1"/>
  <c r="H134" i="7" s="1"/>
  <c r="I134" i="7" a="1"/>
  <c r="I134" i="7" s="1"/>
  <c r="J134" i="7" a="1"/>
  <c r="J134" i="7" s="1"/>
  <c r="F134" i="7" a="1"/>
  <c r="F134" i="7" s="1"/>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134" i="7"/>
  <c r="F353" i="7" l="1" a="1"/>
  <c r="F353" i="7" s="1"/>
  <c r="E336" i="7"/>
  <c r="G336" i="7"/>
  <c r="H336" i="7"/>
  <c r="F336" i="7"/>
  <c r="E344" i="7"/>
  <c r="E343" i="7"/>
  <c r="E342" i="7"/>
  <c r="E341" i="7"/>
  <c r="E340" i="7"/>
  <c r="E339" i="7"/>
  <c r="E338" i="7"/>
  <c r="E337" i="7"/>
  <c r="H344" i="7"/>
  <c r="G344" i="7"/>
  <c r="F343" i="7"/>
  <c r="J342" i="7"/>
  <c r="H342" i="7"/>
  <c r="G341" i="7"/>
  <c r="I339" i="7"/>
  <c r="J343" i="7"/>
  <c r="F342" i="7"/>
  <c r="J341" i="7"/>
  <c r="J340" i="7"/>
  <c r="J344" i="7"/>
  <c r="I343" i="7"/>
  <c r="I341" i="7"/>
  <c r="I340" i="7"/>
  <c r="J337" i="7"/>
  <c r="I344" i="7"/>
  <c r="H343" i="7"/>
  <c r="H341" i="7"/>
  <c r="H340" i="7"/>
  <c r="J339" i="7"/>
  <c r="J338" i="7"/>
  <c r="I337" i="7"/>
  <c r="G343" i="7"/>
  <c r="G340" i="7"/>
  <c r="I338" i="7"/>
  <c r="H337" i="7"/>
  <c r="F340" i="7"/>
  <c r="H339" i="7"/>
  <c r="H338" i="7"/>
  <c r="G337" i="7"/>
  <c r="J336" i="7"/>
  <c r="F344" i="7"/>
  <c r="I342" i="7"/>
  <c r="F341" i="7"/>
  <c r="G339" i="7"/>
  <c r="G338" i="7"/>
  <c r="F337" i="7"/>
  <c r="I336" i="7"/>
  <c r="F339" i="7"/>
  <c r="F338" i="7"/>
  <c r="G342" i="7"/>
  <c r="I75" i="7" l="1" a="1"/>
  <c r="I75" i="7" s="1"/>
  <c r="I76" i="7" a="1"/>
  <c r="I76" i="7" s="1"/>
  <c r="I77" i="7" a="1"/>
  <c r="I77" i="7" s="1"/>
  <c r="I78" i="7" a="1"/>
  <c r="I78" i="7" s="1"/>
  <c r="I79" i="7" a="1"/>
  <c r="I79" i="7" s="1"/>
  <c r="I80" i="7" a="1"/>
  <c r="I80" i="7" s="1"/>
  <c r="I81" i="7" a="1"/>
  <c r="I81" i="7" s="1"/>
  <c r="I82" i="7" a="1"/>
  <c r="I82" i="7" s="1"/>
  <c r="I83" i="7" a="1"/>
  <c r="I83" i="7" s="1"/>
  <c r="I84" i="7" a="1"/>
  <c r="I84" i="7" s="1"/>
  <c r="I85" i="7" a="1"/>
  <c r="I85" i="7" s="1"/>
  <c r="I86" i="7" a="1"/>
  <c r="I86" i="7" s="1"/>
  <c r="I87" i="7" a="1"/>
  <c r="I87" i="7" s="1"/>
  <c r="I88" i="7" a="1"/>
  <c r="I88" i="7" s="1"/>
  <c r="I89" i="7" a="1"/>
  <c r="I89" i="7" s="1"/>
  <c r="I90" i="7" a="1"/>
  <c r="I90" i="7" s="1"/>
  <c r="I91" i="7" a="1"/>
  <c r="I91" i="7" s="1"/>
  <c r="I92" i="7" a="1"/>
  <c r="I92" i="7" s="1"/>
  <c r="I93" i="7" a="1"/>
  <c r="I93" i="7" s="1"/>
  <c r="I94" i="7" a="1"/>
  <c r="I94" i="7" s="1"/>
  <c r="I74" i="7" a="1"/>
  <c r="I74" i="7" s="1"/>
  <c r="I97" i="7" s="1"/>
  <c r="D55" i="7" a="1"/>
  <c r="D55" i="7" s="1"/>
  <c r="D54" i="7" a="1"/>
  <c r="D54" i="7" s="1"/>
  <c r="D53" i="7" a="1"/>
  <c r="D53" i="7" s="1"/>
  <c r="D50" i="7" a="1"/>
  <c r="D50" i="7" s="1"/>
  <c r="D49" i="7" a="1"/>
  <c r="D49" i="7" s="1"/>
  <c r="D48" i="7" a="1"/>
  <c r="D48" i="7" s="1"/>
  <c r="D47" i="7" a="1"/>
  <c r="D47" i="7" s="1"/>
  <c r="D44" i="7" a="1"/>
  <c r="D44" i="7" s="1"/>
  <c r="D43" i="7" a="1"/>
  <c r="D43" i="7" s="1"/>
  <c r="D42" i="7" a="1"/>
  <c r="D42" i="7" s="1"/>
  <c r="D41" i="7" a="1"/>
  <c r="D41" i="7" s="1"/>
  <c r="D74" i="7" a="1"/>
  <c r="D74" i="7" s="1"/>
  <c r="G44" i="7" a="1"/>
  <c r="G44" i="7" s="1"/>
  <c r="G43" i="7" a="1"/>
  <c r="G43" i="7" s="1"/>
  <c r="G42" i="7" a="1"/>
  <c r="G42" i="7" s="1"/>
  <c r="G41" i="7" a="1"/>
  <c r="G41" i="7" s="1"/>
  <c r="E44" i="7" a="1"/>
  <c r="E44" i="7" s="1"/>
  <c r="E43" i="7" a="1"/>
  <c r="E43" i="7" s="1"/>
  <c r="E42" i="7" a="1"/>
  <c r="E42" i="7" s="1"/>
  <c r="E41" i="7" a="1"/>
  <c r="E41" i="7" s="1"/>
  <c r="G11" i="7" a="1"/>
  <c r="G11" i="7" s="1"/>
  <c r="G10" i="7" a="1"/>
  <c r="G10" i="7" s="1"/>
  <c r="G9" i="7" a="1"/>
  <c r="G9" i="7" s="1"/>
  <c r="G8" i="7" a="1"/>
  <c r="G8" i="7" s="1"/>
  <c r="E11" i="7" a="1"/>
  <c r="E11" i="7" s="1"/>
  <c r="E10" i="7" a="1"/>
  <c r="E10" i="7" s="1"/>
  <c r="E9" i="7" a="1"/>
  <c r="E9" i="7" s="1"/>
  <c r="E8" i="7" a="1"/>
  <c r="E8" i="7" s="1"/>
  <c r="D11" i="7" a="1"/>
  <c r="D11" i="7" s="1"/>
  <c r="D10" i="7" a="1"/>
  <c r="D10" i="7" s="1"/>
  <c r="D9" i="7" a="1"/>
  <c r="D9" i="7" s="1"/>
  <c r="D8" i="7" a="1"/>
  <c r="D8" i="7" s="1"/>
  <c r="I99" i="7" l="1"/>
  <c r="I98" i="7"/>
  <c r="I101" i="7"/>
  <c r="I100" i="7"/>
  <c r="F65" i="7"/>
  <c r="D65" i="7"/>
  <c r="D62" i="7"/>
  <c r="E62" i="7"/>
  <c r="F62" i="7"/>
  <c r="G62" i="7"/>
  <c r="E65" i="7"/>
  <c r="G65" i="7"/>
  <c r="E66" i="7"/>
  <c r="G32" i="7"/>
  <c r="G29" i="7"/>
  <c r="F32" i="7"/>
  <c r="F29" i="7"/>
  <c r="E33" i="7"/>
  <c r="E32" i="7"/>
  <c r="E29" i="7"/>
  <c r="D32" i="7"/>
  <c r="D29"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135" i="7" l="1"/>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34" i="7"/>
  <c r="G26" i="7" a="1"/>
  <c r="G26" i="7" s="1"/>
  <c r="G33" i="7" s="1"/>
  <c r="F26" i="7" a="1"/>
  <c r="F26" i="7" s="1"/>
  <c r="F33" i="7" s="1"/>
  <c r="G59" i="7" a="1"/>
  <c r="G59" i="7" s="1"/>
  <c r="G66" i="7" s="1"/>
  <c r="F59" i="7" a="1"/>
  <c r="F59" i="7" s="1"/>
  <c r="D58" i="7" a="1"/>
  <c r="D58" i="7" s="1"/>
  <c r="D57" i="7" a="1"/>
  <c r="D57" i="7" s="1"/>
  <c r="D56" i="7" a="1"/>
  <c r="D56" i="7" s="1"/>
  <c r="F74" i="7" a="1"/>
  <c r="F74" i="7" s="1"/>
  <c r="F97" i="7" s="1"/>
  <c r="E74" i="7" a="1"/>
  <c r="E74" i="7" s="1"/>
  <c r="E97" i="7" s="1"/>
  <c r="D97" i="7"/>
  <c r="F110" i="7" a="1"/>
  <c r="F110" i="7" s="1"/>
  <c r="E110" i="7" a="1"/>
  <c r="E110" i="7" s="1"/>
  <c r="D122" i="7" a="1"/>
  <c r="D122" i="7" s="1"/>
  <c r="F122" i="7" s="1" a="1"/>
  <c r="F122" i="7" s="1"/>
  <c r="D123" i="7" a="1"/>
  <c r="D123" i="7" s="1"/>
  <c r="F123" i="7" s="1" a="1"/>
  <c r="F123" i="7" s="1"/>
  <c r="D124" i="7" a="1"/>
  <c r="D124" i="7" s="1"/>
  <c r="F124" i="7" s="1" a="1"/>
  <c r="F124" i="7" s="1"/>
  <c r="D125" i="7" a="1"/>
  <c r="D125" i="7" s="1"/>
  <c r="E125" i="7" s="1" a="1"/>
  <c r="E125" i="7" s="1"/>
  <c r="D126" i="7" a="1"/>
  <c r="D126" i="7" s="1"/>
  <c r="E126" i="7" s="1" a="1"/>
  <c r="E126" i="7" s="1"/>
  <c r="D127" i="7" a="1"/>
  <c r="D127" i="7" s="1"/>
  <c r="E127" i="7" s="1" a="1"/>
  <c r="E127" i="7" s="1"/>
  <c r="D128" i="7" a="1"/>
  <c r="D128" i="7" s="1"/>
  <c r="F128" i="7" s="1" a="1"/>
  <c r="F128" i="7" s="1"/>
  <c r="F86" i="7" a="1"/>
  <c r="F86" i="7" s="1"/>
  <c r="F87" i="7" a="1"/>
  <c r="F87" i="7" s="1"/>
  <c r="F88" i="7" a="1"/>
  <c r="F88" i="7" s="1"/>
  <c r="F89" i="7" a="1"/>
  <c r="F89" i="7" s="1"/>
  <c r="F90" i="7" a="1"/>
  <c r="F90" i="7" s="1"/>
  <c r="F91" i="7" a="1"/>
  <c r="F91" i="7" s="1"/>
  <c r="F92" i="7" a="1"/>
  <c r="F92" i="7" s="1"/>
  <c r="F93" i="7" a="1"/>
  <c r="F93" i="7" s="1"/>
  <c r="F94" i="7" a="1"/>
  <c r="F94" i="7" s="1"/>
  <c r="E86" i="7" a="1"/>
  <c r="E86" i="7" s="1"/>
  <c r="E87" i="7" a="1"/>
  <c r="E87" i="7" s="1"/>
  <c r="E88" i="7" a="1"/>
  <c r="E88" i="7" s="1"/>
  <c r="E89" i="7" a="1"/>
  <c r="E89" i="7" s="1"/>
  <c r="E90" i="7" a="1"/>
  <c r="E90" i="7" s="1"/>
  <c r="E91" i="7" a="1"/>
  <c r="E91" i="7" s="1"/>
  <c r="E92" i="7" a="1"/>
  <c r="E92" i="7" s="1"/>
  <c r="E93" i="7" a="1"/>
  <c r="E93" i="7" s="1"/>
  <c r="E94" i="7" a="1"/>
  <c r="E94" i="7" s="1"/>
  <c r="D86" i="7" a="1"/>
  <c r="D86" i="7" s="1"/>
  <c r="D87" i="7" a="1"/>
  <c r="D87" i="7" s="1"/>
  <c r="D88" i="7" a="1"/>
  <c r="D88" i="7" s="1"/>
  <c r="D89" i="7" a="1"/>
  <c r="D89" i="7" s="1"/>
  <c r="D90" i="7" a="1"/>
  <c r="D90" i="7" s="1"/>
  <c r="D91" i="7" a="1"/>
  <c r="D91" i="7" s="1"/>
  <c r="D92" i="7" a="1"/>
  <c r="D92" i="7" s="1"/>
  <c r="D93" i="7" a="1"/>
  <c r="D93" i="7" s="1"/>
  <c r="D94" i="7" a="1"/>
  <c r="D94" i="7" s="1"/>
  <c r="F111" i="7" a="1"/>
  <c r="F111" i="7" s="1"/>
  <c r="F112" i="7" a="1"/>
  <c r="F112" i="7" s="1"/>
  <c r="F113" i="7" a="1"/>
  <c r="F113" i="7" s="1"/>
  <c r="F114" i="7" a="1"/>
  <c r="F114" i="7" s="1"/>
  <c r="F115" i="7" a="1"/>
  <c r="F115" i="7" s="1"/>
  <c r="F116" i="7" a="1"/>
  <c r="F116" i="7" s="1"/>
  <c r="E111" i="7" a="1"/>
  <c r="E111" i="7" s="1"/>
  <c r="E112" i="7" a="1"/>
  <c r="E112" i="7" s="1"/>
  <c r="E113" i="7" a="1"/>
  <c r="E113" i="7" s="1"/>
  <c r="E114" i="7" a="1"/>
  <c r="E114" i="7" s="1"/>
  <c r="E115" i="7" a="1"/>
  <c r="E115" i="7" s="1"/>
  <c r="E116" i="7" a="1"/>
  <c r="E116" i="7" s="1"/>
  <c r="D111" i="7" a="1"/>
  <c r="D111" i="7" s="1"/>
  <c r="D112" i="7" a="1"/>
  <c r="D112" i="7" s="1"/>
  <c r="D113" i="7" a="1"/>
  <c r="D113" i="7" s="1"/>
  <c r="D114" i="7" a="1"/>
  <c r="D114" i="7" s="1"/>
  <c r="D115" i="7" a="1"/>
  <c r="D115" i="7" s="1"/>
  <c r="D116" i="7" a="1"/>
  <c r="D116" i="7" s="1"/>
  <c r="D110" i="7" a="1"/>
  <c r="D110" i="7" s="1"/>
  <c r="F76" i="7" a="1"/>
  <c r="F76" i="7" s="1"/>
  <c r="F77" i="7" a="1"/>
  <c r="F77" i="7" s="1"/>
  <c r="F78" i="7" a="1"/>
  <c r="F78" i="7" s="1"/>
  <c r="F79" i="7" a="1"/>
  <c r="F79" i="7" s="1"/>
  <c r="F80" i="7" a="1"/>
  <c r="F80" i="7" s="1"/>
  <c r="F81" i="7" a="1"/>
  <c r="F81" i="7" s="1"/>
  <c r="F82" i="7" a="1"/>
  <c r="F82" i="7" s="1"/>
  <c r="F83" i="7" a="1"/>
  <c r="F83" i="7" s="1"/>
  <c r="F84" i="7" a="1"/>
  <c r="F84" i="7" s="1"/>
  <c r="F85" i="7" a="1"/>
  <c r="F85" i="7" s="1"/>
  <c r="F75" i="7" a="1"/>
  <c r="F75" i="7" s="1"/>
  <c r="E75" i="7" a="1"/>
  <c r="E75" i="7" s="1"/>
  <c r="E76" i="7" a="1"/>
  <c r="E76" i="7" s="1"/>
  <c r="E77" i="7" a="1"/>
  <c r="E77" i="7" s="1"/>
  <c r="E78" i="7" a="1"/>
  <c r="E78" i="7" s="1"/>
  <c r="E79" i="7" a="1"/>
  <c r="E79" i="7" s="1"/>
  <c r="E80" i="7" a="1"/>
  <c r="E80" i="7" s="1"/>
  <c r="E81" i="7" a="1"/>
  <c r="E81" i="7" s="1"/>
  <c r="E82" i="7" a="1"/>
  <c r="E82" i="7" s="1"/>
  <c r="E83" i="7" a="1"/>
  <c r="E83" i="7" s="1"/>
  <c r="E84" i="7" a="1"/>
  <c r="E84" i="7" s="1"/>
  <c r="E85" i="7" a="1"/>
  <c r="E85" i="7" s="1"/>
  <c r="D76" i="7" a="1"/>
  <c r="D76" i="7" s="1"/>
  <c r="D77" i="7" a="1"/>
  <c r="D77" i="7" s="1"/>
  <c r="D78" i="7" a="1"/>
  <c r="D78" i="7" s="1"/>
  <c r="D79" i="7" a="1"/>
  <c r="D79" i="7" s="1"/>
  <c r="D80" i="7" a="1"/>
  <c r="D80" i="7" s="1"/>
  <c r="D81" i="7" a="1"/>
  <c r="D81" i="7" s="1"/>
  <c r="D82" i="7" a="1"/>
  <c r="D82" i="7" s="1"/>
  <c r="D83" i="7" a="1"/>
  <c r="D83" i="7" s="1"/>
  <c r="D84" i="7" a="1"/>
  <c r="D84" i="7" s="1"/>
  <c r="D85" i="7" a="1"/>
  <c r="D85" i="7" s="1"/>
  <c r="D75" i="7" a="1"/>
  <c r="D75" i="7" s="1"/>
  <c r="E99" i="7" l="1"/>
  <c r="D336" i="7"/>
  <c r="D343" i="7"/>
  <c r="D341" i="7"/>
  <c r="D338" i="7"/>
  <c r="F100" i="7"/>
  <c r="D340" i="7"/>
  <c r="D337" i="7"/>
  <c r="D342" i="7"/>
  <c r="D66" i="7"/>
  <c r="D33" i="7"/>
  <c r="D339" i="7"/>
  <c r="D344" i="7"/>
  <c r="F99" i="7"/>
  <c r="D101" i="7"/>
  <c r="E100" i="7"/>
  <c r="E98" i="7"/>
  <c r="E101" i="7"/>
  <c r="F98" i="7"/>
  <c r="F101" i="7"/>
  <c r="D99" i="7"/>
  <c r="D100" i="7"/>
  <c r="D98" i="7"/>
  <c r="F66" i="7"/>
  <c r="G87" i="7"/>
  <c r="G94" i="7"/>
  <c r="G86" i="7"/>
  <c r="G92" i="7"/>
  <c r="G91" i="7"/>
  <c r="G90" i="7"/>
  <c r="G93" i="7"/>
  <c r="G89" i="7"/>
  <c r="G88" i="7"/>
  <c r="G74" i="7"/>
  <c r="G97" i="7" s="1"/>
  <c r="H74" i="7"/>
  <c r="H97" i="7" s="1"/>
  <c r="G111" i="7"/>
  <c r="E128" i="7" a="1"/>
  <c r="E128" i="7" s="1"/>
  <c r="G115" i="7"/>
  <c r="E124" i="7" a="1"/>
  <c r="E124" i="7" s="1"/>
  <c r="E122" i="7" a="1"/>
  <c r="E122" i="7" s="1"/>
  <c r="G83" i="7"/>
  <c r="E123" i="7" a="1"/>
  <c r="E123" i="7" s="1"/>
  <c r="H114" i="7"/>
  <c r="F127" i="7" a="1"/>
  <c r="F127" i="7" s="1"/>
  <c r="G78" i="7"/>
  <c r="H82" i="7"/>
  <c r="F126" i="7" a="1"/>
  <c r="F126" i="7" s="1"/>
  <c r="G85" i="7"/>
  <c r="G77" i="7"/>
  <c r="F125" i="7" a="1"/>
  <c r="F125" i="7" s="1"/>
  <c r="H93" i="7"/>
  <c r="H81" i="7"/>
  <c r="G114" i="7"/>
  <c r="H113" i="7"/>
  <c r="H92" i="7"/>
  <c r="G84" i="7"/>
  <c r="G76" i="7"/>
  <c r="H80" i="7"/>
  <c r="G113" i="7"/>
  <c r="H112" i="7"/>
  <c r="H91" i="7"/>
  <c r="G75" i="7"/>
  <c r="H79" i="7"/>
  <c r="G112" i="7"/>
  <c r="H111" i="7"/>
  <c r="H90" i="7"/>
  <c r="G82" i="7"/>
  <c r="H75" i="7"/>
  <c r="H78" i="7"/>
  <c r="G81" i="7"/>
  <c r="H85" i="7"/>
  <c r="H77" i="7"/>
  <c r="H110" i="7"/>
  <c r="H88" i="7"/>
  <c r="G80" i="7"/>
  <c r="H84" i="7"/>
  <c r="H76" i="7"/>
  <c r="G110" i="7"/>
  <c r="H116" i="7"/>
  <c r="H87" i="7"/>
  <c r="G79" i="7"/>
  <c r="H83" i="7"/>
  <c r="G116" i="7"/>
  <c r="H115" i="7"/>
  <c r="H94" i="7"/>
  <c r="H86" i="7"/>
  <c r="H89" i="7"/>
  <c r="G50" i="7" a="1"/>
  <c r="G50" i="7" s="1"/>
  <c r="G49" i="7" a="1"/>
  <c r="G49" i="7" s="1"/>
  <c r="G48" i="7" a="1"/>
  <c r="G48" i="7" s="1"/>
  <c r="G47" i="7" a="1"/>
  <c r="G47" i="7" s="1"/>
  <c r="G46" i="7" a="1"/>
  <c r="G46" i="7" s="1"/>
  <c r="G45" i="7" a="1"/>
  <c r="G45" i="7" s="1"/>
  <c r="F50" i="7" a="1"/>
  <c r="F50" i="7" s="1"/>
  <c r="F49" i="7" a="1"/>
  <c r="F49" i="7" s="1"/>
  <c r="F48" i="7" a="1"/>
  <c r="F48" i="7" s="1"/>
  <c r="F47" i="7" a="1"/>
  <c r="F47" i="7" s="1"/>
  <c r="F46" i="7" a="1"/>
  <c r="F46" i="7" s="1"/>
  <c r="F45" i="7" a="1"/>
  <c r="F45" i="7" s="1"/>
  <c r="E50" i="7" a="1"/>
  <c r="E50" i="7" s="1"/>
  <c r="E49" i="7" a="1"/>
  <c r="E49" i="7" s="1"/>
  <c r="E48" i="7" a="1"/>
  <c r="E48" i="7" s="1"/>
  <c r="E47" i="7" a="1"/>
  <c r="E47" i="7" s="1"/>
  <c r="E46" i="7" a="1"/>
  <c r="E46" i="7" s="1"/>
  <c r="E45" i="7" a="1"/>
  <c r="E45" i="7" s="1"/>
  <c r="D46" i="7" a="1"/>
  <c r="D46" i="7" s="1"/>
  <c r="D45" i="7" a="1"/>
  <c r="D45" i="7" s="1"/>
  <c r="G17" i="7" a="1"/>
  <c r="G17" i="7" s="1"/>
  <c r="G16" i="7" a="1"/>
  <c r="G16" i="7" s="1"/>
  <c r="G15" i="7" a="1"/>
  <c r="G15" i="7" s="1"/>
  <c r="G14" i="7" a="1"/>
  <c r="G14" i="7" s="1"/>
  <c r="G13" i="7" a="1"/>
  <c r="G13" i="7" s="1"/>
  <c r="G12" i="7" a="1"/>
  <c r="G12" i="7" s="1"/>
  <c r="F17" i="7" a="1"/>
  <c r="F17" i="7" s="1"/>
  <c r="F16" i="7" a="1"/>
  <c r="F16" i="7" s="1"/>
  <c r="F15" i="7" a="1"/>
  <c r="F15" i="7" s="1"/>
  <c r="F14" i="7" a="1"/>
  <c r="F14" i="7" s="1"/>
  <c r="F13" i="7" a="1"/>
  <c r="F13" i="7" s="1"/>
  <c r="F12" i="7" a="1"/>
  <c r="F12" i="7" s="1"/>
  <c r="E17" i="7" a="1"/>
  <c r="E17" i="7" s="1"/>
  <c r="E16" i="7" a="1"/>
  <c r="E16" i="7" s="1"/>
  <c r="E15" i="7" a="1"/>
  <c r="E15" i="7" s="1"/>
  <c r="E14" i="7" a="1"/>
  <c r="E14" i="7" s="1"/>
  <c r="E13" i="7" a="1"/>
  <c r="E13" i="7" s="1"/>
  <c r="E12" i="7" a="1"/>
  <c r="E12" i="7" s="1"/>
  <c r="D17" i="7" a="1"/>
  <c r="D17" i="7" s="1"/>
  <c r="D16" i="7" a="1"/>
  <c r="D16" i="7" s="1"/>
  <c r="D15" i="7" a="1"/>
  <c r="D15" i="7" s="1"/>
  <c r="D14" i="7" a="1"/>
  <c r="D14" i="7" s="1"/>
  <c r="D13" i="7" a="1"/>
  <c r="D13" i="7" s="1"/>
  <c r="D12" i="7" a="1"/>
  <c r="D12" i="7" s="1"/>
  <c r="H99" i="7" l="1"/>
  <c r="D63" i="7"/>
  <c r="F31" i="7"/>
  <c r="F64" i="7"/>
  <c r="G63" i="7"/>
  <c r="G99" i="7"/>
  <c r="D64" i="7"/>
  <c r="H100" i="7"/>
  <c r="G100" i="7"/>
  <c r="G101" i="7"/>
  <c r="G31" i="7"/>
  <c r="G64" i="7"/>
  <c r="H101" i="7"/>
  <c r="G98" i="7"/>
  <c r="G30" i="7"/>
  <c r="H98" i="7"/>
  <c r="F30" i="7"/>
  <c r="F63" i="7"/>
  <c r="E30" i="7"/>
  <c r="E63" i="7"/>
  <c r="D30" i="7"/>
  <c r="E31" i="7"/>
  <c r="E64" i="7"/>
  <c r="D31"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<sst xmlns="http://schemas.openxmlformats.org/spreadsheetml/2006/main" count="5431" uniqueCount="259">
  <si>
    <t>Workbook Information</t>
  </si>
  <si>
    <t>File Name:</t>
  </si>
  <si>
    <t>National Heat Study - Heating and Cooling in Ireland today - Supporting data</t>
  </si>
  <si>
    <r>
      <rPr>
        <sz val="10"/>
        <color rgb="FF231F20"/>
        <rFont val="Myriad Pro"/>
        <family val="2"/>
      </rPr>
      <t>Description of file:</t>
    </r>
  </si>
  <si>
    <t>Output of the SEAI National Heat Study. Quantification of useful energy and final energy consumption, breakdown of building and consumer archetype updates, and waste and geothermal heat source identification, data centre cooling demand.</t>
  </si>
  <si>
    <t>Version</t>
  </si>
  <si>
    <t>V1.0</t>
  </si>
  <si>
    <t>Issued:</t>
  </si>
  <si>
    <t>Outputs from Task 1.1 (Quantification of useful energy and final energy consumption)</t>
  </si>
  <si>
    <t>Sheet with fully disaggregated data on useful and final energy demand by sector</t>
  </si>
  <si>
    <t>Useful Energy Demand - based on heating fuels in model</t>
  </si>
  <si>
    <t>Subsector</t>
  </si>
  <si>
    <t>Heating fuel</t>
  </si>
  <si>
    <t>Space heating demand (GWh)</t>
  </si>
  <si>
    <t>Hot water demand (GWh)</t>
  </si>
  <si>
    <t>Cooling demand (GWh)</t>
  </si>
  <si>
    <t>Electricity demand exc. cooling and heating (GWh)</t>
  </si>
  <si>
    <t>Residential</t>
  </si>
  <si>
    <t>Electricity</t>
  </si>
  <si>
    <t>Gas</t>
  </si>
  <si>
    <t>Oil</t>
  </si>
  <si>
    <t>Solid</t>
  </si>
  <si>
    <t>**</t>
  </si>
  <si>
    <t>Commercial</t>
  </si>
  <si>
    <t>Public</t>
  </si>
  <si>
    <t>Agriculture</t>
  </si>
  <si>
    <t>*</t>
  </si>
  <si>
    <t>Industry</t>
  </si>
  <si>
    <t>Bio fuel</t>
  </si>
  <si>
    <t>Bio waste</t>
  </si>
  <si>
    <t>Non-bio waste</t>
  </si>
  <si>
    <t>Solid Fuels</t>
  </si>
  <si>
    <t>All</t>
  </si>
  <si>
    <t>*Industry fuel use is shown as a total by relevant usage type (further detail is provided in the next tab - Task 1.2), rather than split across space and hot water heating. Industrial Cooling demand and electricity demand are shown as fuel usages.</t>
  </si>
  <si>
    <t>** Commercial sector calibration does not include the "Information and Communication" subsector in the Energy Balances data. This is assumed to be dominated by data centres and is treated separately.</t>
  </si>
  <si>
    <t>Final Energy Consumption - based on heating fuels in model</t>
  </si>
  <si>
    <t>Space heating consumption (GWh)</t>
  </si>
  <si>
    <t>Hot water consumption (GWh)</t>
  </si>
  <si>
    <t>Cooling consumption (GWh)</t>
  </si>
  <si>
    <t>Electricity consumption exc. cooling and heating (GWh)</t>
  </si>
  <si>
    <t>*Industry fuel use is shown as a total by relevant usage type (further detail is provided in the next tab - Task 1.2), rather than split across space and hot water heating. This also includes industrial CHP, providing reasoning for discrepancies with energy balance data.</t>
  </si>
  <si>
    <t>Stock, Heating and Electricity Breakdowns by Building Type</t>
  </si>
  <si>
    <t>Building type</t>
  </si>
  <si>
    <t>Stock</t>
  </si>
  <si>
    <t>Total heating demand (MWh)</t>
  </si>
  <si>
    <t>Total electricity demand (MWh)</t>
  </si>
  <si>
    <t>Average total heating demand (MWh / stock)</t>
  </si>
  <si>
    <t>Average electricity demand (MWh / stock)</t>
  </si>
  <si>
    <t>Total cooling demand (MWh)</t>
  </si>
  <si>
    <t>Office</t>
  </si>
  <si>
    <t>Retail</t>
  </si>
  <si>
    <t>Restaurant/public house</t>
  </si>
  <si>
    <t>Warehouse and storage</t>
  </si>
  <si>
    <t>Hotel</t>
  </si>
  <si>
    <t>Education</t>
  </si>
  <si>
    <t>Healthcare</t>
  </si>
  <si>
    <t>Dairy</t>
  </si>
  <si>
    <t>Pigs</t>
  </si>
  <si>
    <t>Poultry</t>
  </si>
  <si>
    <t>Metals</t>
  </si>
  <si>
    <t>Cement</t>
  </si>
  <si>
    <t>Refining</t>
  </si>
  <si>
    <t>Wood Products</t>
  </si>
  <si>
    <t>Other Minerals</t>
  </si>
  <si>
    <t>Food and Drink</t>
  </si>
  <si>
    <t>Lime</t>
  </si>
  <si>
    <t>Other Industry</t>
  </si>
  <si>
    <t>Chemicals</t>
  </si>
  <si>
    <t>*Industry fuel use is shown as a total by relevant usage type (further detail is provided in the next tab - Task 1.2), rather than split across space and hot water heating. Industry stock refs to number of pieces of equipment on sites rather than number of industrial sites. This also includes industrial CHP, providing reasoning for discrepancies with energy balance data.</t>
  </si>
  <si>
    <t>Note also that the Average Heating total demand (MWh / stock) has reduced meaning for industry as 1) this covers a large range in site sizes (ETS and Non-ETS), 2) the stock covers multiple piees of equipment on a site which might vary in size depending on the equipment type.</t>
  </si>
  <si>
    <t>Stock, Heating and Electricity Breakdowns by Building Structure</t>
  </si>
  <si>
    <t>Building Structure</t>
  </si>
  <si>
    <t>Average floor area (m^2)</t>
  </si>
  <si>
    <t>Detached House</t>
  </si>
  <si>
    <t>Semi-D House</t>
  </si>
  <si>
    <t>Terraced House</t>
  </si>
  <si>
    <t>Apartment</t>
  </si>
  <si>
    <t>Detached</t>
  </si>
  <si>
    <t>Terraced</t>
  </si>
  <si>
    <t>Residential Heating and Electricity Breakdowns by BER Rating</t>
  </si>
  <si>
    <t>A1-B2</t>
  </si>
  <si>
    <t>B3-C1</t>
  </si>
  <si>
    <t>C2-C3</t>
  </si>
  <si>
    <t>D1-D2</t>
  </si>
  <si>
    <t>E1-E2</t>
  </si>
  <si>
    <t>F</t>
  </si>
  <si>
    <t>G</t>
  </si>
  <si>
    <t>Industrial Heating Breakdown by Heat Grade*</t>
  </si>
  <si>
    <t>Heating Type</t>
  </si>
  <si>
    <t>Site Stock</t>
  </si>
  <si>
    <t>Equipment Stock</t>
  </si>
  <si>
    <t>Total Heating Demand (MWh)</t>
  </si>
  <si>
    <t>High Grade Heat (&gt;500 C)</t>
  </si>
  <si>
    <t>Medium Grade Heat (150 - 500 C)</t>
  </si>
  <si>
    <t>Medium/Low Grade Heat (100 - 150 C)</t>
  </si>
  <si>
    <t>Low Grade Heat (&lt;100 C)</t>
  </si>
  <si>
    <t>Industrial Bio waste Boiler</t>
  </si>
  <si>
    <t>Industrial Bio waste CHP</t>
  </si>
  <si>
    <t>Industrial Bio waste Furnace</t>
  </si>
  <si>
    <t>Industrial Bio waste Cement/Lime Kiln</t>
  </si>
  <si>
    <t>Industrial Bio waste Dryer</t>
  </si>
  <si>
    <t>Industrial Bio waste Other Kiln</t>
  </si>
  <si>
    <t>Industrial Bio waste Oven</t>
  </si>
  <si>
    <t>Industrial Non-bio waste Boiler</t>
  </si>
  <si>
    <t>Industrial Non-bio waste CHP</t>
  </si>
  <si>
    <t>Industrial Non-bio waste Furnace</t>
  </si>
  <si>
    <t>Industrial Non-bio waste Cement/Lime Kiln</t>
  </si>
  <si>
    <t>Industrial Non-bio waste Dryer</t>
  </si>
  <si>
    <t>Industrial Non-bio waste Other Kiln</t>
  </si>
  <si>
    <t>Industrial Non-bio waste Oven</t>
  </si>
  <si>
    <t>Industrial Bio fuel Boiler</t>
  </si>
  <si>
    <t>Industrial Bio fuel CHP</t>
  </si>
  <si>
    <t>Industrial Bio fuel Furnace</t>
  </si>
  <si>
    <t>Industrial Bio fuel Cement/Lime Kiln</t>
  </si>
  <si>
    <t>Industrial Bio fuel Dryer</t>
  </si>
  <si>
    <t>Industrial Bio fuel Other Kiln</t>
  </si>
  <si>
    <t>Industrial Bio fuel Oven</t>
  </si>
  <si>
    <t>Industrial Solid Fuels Boiler</t>
  </si>
  <si>
    <t>Industrial Solid Fuels CHP</t>
  </si>
  <si>
    <t>Industrial Solid Fuels Furnace</t>
  </si>
  <si>
    <t>Industrial Solid Fuels Cement/Lime Kiln</t>
  </si>
  <si>
    <t>Industrial Solid Fuels Dryer</t>
  </si>
  <si>
    <t>Industrial Solid Fuels Other Kiln</t>
  </si>
  <si>
    <t>Industrial Solid Fuels Oven</t>
  </si>
  <si>
    <t>Industrial Oil Boiler</t>
  </si>
  <si>
    <t>Industrial Oil CHP</t>
  </si>
  <si>
    <t>Industrial Oil Furnace</t>
  </si>
  <si>
    <t>Industrial Oil Cement/Lime Kiln</t>
  </si>
  <si>
    <t>Industrial Oil Dryer</t>
  </si>
  <si>
    <t>Industrial Oil Other Kiln</t>
  </si>
  <si>
    <t>Industrial Oil Oven</t>
  </si>
  <si>
    <t>Industrial Gas Boiler</t>
  </si>
  <si>
    <t>Industrial Gas CHP</t>
  </si>
  <si>
    <t>Industrial Gas Furnace</t>
  </si>
  <si>
    <t>Industrial Gas Cement/Lime Kiln</t>
  </si>
  <si>
    <t>Industrial Gas Dryer</t>
  </si>
  <si>
    <t>Industrial Gas Other Kiln</t>
  </si>
  <si>
    <t>Industrial Gas Oven</t>
  </si>
  <si>
    <t>Floor Area (m^2) Breakdowns by Building Type / Building Structure</t>
  </si>
  <si>
    <t>Building Type</t>
  </si>
  <si>
    <t>Average Floor Area (m^2)</t>
  </si>
  <si>
    <t>Minimum Floor Area (m^2)</t>
  </si>
  <si>
    <t>Maximum Floor Area (m^2)</t>
  </si>
  <si>
    <t>Space Heating Demand (MWh) Breakdowns by Building Type / Building Structure</t>
  </si>
  <si>
    <t>Average Space heating demand (MWh)</t>
  </si>
  <si>
    <t>Minimum Space heating demand (MWh)</t>
  </si>
  <si>
    <t>Maximum Space heating demand (MWh)</t>
  </si>
  <si>
    <t>Hot Water Demand (MWh)) Breakdowns by Building Type / Building Structure</t>
  </si>
  <si>
    <t>Average Hot water demand (MWh)</t>
  </si>
  <si>
    <t>Minimum Hot water demand (MWh)</t>
  </si>
  <si>
    <t>Maximum Hot water demand (MWh)</t>
  </si>
  <si>
    <t>Electricity Consumption (MWh) Breakdowns by Building Type / Building Structure</t>
  </si>
  <si>
    <t>Average Electricity consumption (MWh)</t>
  </si>
  <si>
    <t>Minimum Electricity consumption (MWh)</t>
  </si>
  <si>
    <t>Maximum Electricity consumption (MWh)</t>
  </si>
  <si>
    <t>Cooling Consumption (MWh) Breakdowns by Building Type / Building Structure</t>
  </si>
  <si>
    <t>Stock w/ cooling demand</t>
  </si>
  <si>
    <t>Average Cooling consumption (MWh)</t>
  </si>
  <si>
    <t>Minimum Cooling consumption (MWh)</t>
  </si>
  <si>
    <t>Maximum Cooling consumption (MWh)</t>
  </si>
  <si>
    <t>Outputs from Task 1.2 (Updating of building and consumer archetypes with new data and assessment of technology suitability)</t>
  </si>
  <si>
    <t>Sheet with updated archetypes and associated data for Buildings and Industry</t>
  </si>
  <si>
    <t>Building archetypes</t>
  </si>
  <si>
    <t>Changed non-bio waste with bio waste to correct previous error</t>
  </si>
  <si>
    <t>domestic only</t>
  </si>
  <si>
    <t>Industry only</t>
  </si>
  <si>
    <t>MWh</t>
  </si>
  <si>
    <t>Building ID</t>
  </si>
  <si>
    <t>ETS status</t>
  </si>
  <si>
    <t>Size</t>
  </si>
  <si>
    <t>HVAC type</t>
  </si>
  <si>
    <t>Heating</t>
  </si>
  <si>
    <t>Fuel (industrial)</t>
  </si>
  <si>
    <t>Wall condition</t>
  </si>
  <si>
    <t>Window condition</t>
  </si>
  <si>
    <t>Building structure</t>
  </si>
  <si>
    <t>Space heating demand (MWh)</t>
  </si>
  <si>
    <t>Hot water demand (MWh)</t>
  </si>
  <si>
    <t>Electricity consumption (MWh)</t>
  </si>
  <si>
    <t>Cooling consumption (MWh)</t>
  </si>
  <si>
    <t>Age</t>
  </si>
  <si>
    <t>Fuel use (MWh)</t>
  </si>
  <si>
    <t>Space heating fuel use (MWh)</t>
  </si>
  <si>
    <t>Hot water fuel use (MWh)</t>
  </si>
  <si>
    <t>Cooling fuel use (MWh)</t>
  </si>
  <si>
    <t>Other electricity fuel use (MWh)</t>
  </si>
  <si>
    <t>Heritage %</t>
  </si>
  <si>
    <t>No HW storage %</t>
  </si>
  <si>
    <t>Space constrained %</t>
  </si>
  <si>
    <t>SH heating %</t>
  </si>
  <si>
    <t>HW %</t>
  </si>
  <si>
    <t>HP suitable %</t>
  </si>
  <si>
    <t>Heating Demand (MWh)</t>
  </si>
  <si>
    <t>Label for Heating technology</t>
  </si>
  <si>
    <t>Electricity Demand (Non-Net)</t>
  </si>
  <si>
    <t>Large</t>
  </si>
  <si>
    <t>Heating and Cooling, Mechanical Ventilation</t>
  </si>
  <si>
    <t>Electric heating</t>
  </si>
  <si>
    <t>Good</t>
  </si>
  <si>
    <t>Existing</t>
  </si>
  <si>
    <t>Heating only, Natural Ventilation</t>
  </si>
  <si>
    <t>Poor</t>
  </si>
  <si>
    <t>Gas boiler</t>
  </si>
  <si>
    <t>Oil boiler</t>
  </si>
  <si>
    <t>Small</t>
  </si>
  <si>
    <t>Heating only, Mechanical Ventilation</t>
  </si>
  <si>
    <t>Solid boiler</t>
  </si>
  <si>
    <t>Non-ETS</t>
  </si>
  <si>
    <t>Medium</t>
  </si>
  <si>
    <t>Very large</t>
  </si>
  <si>
    <t>Very Large</t>
  </si>
  <si>
    <t>ETS</t>
  </si>
  <si>
    <t>Boiler</t>
  </si>
  <si>
    <t>CHP</t>
  </si>
  <si>
    <t>Furnace</t>
  </si>
  <si>
    <t>Cement/Lime Kiln</t>
  </si>
  <si>
    <t>Dryer</t>
  </si>
  <si>
    <t>Other Kiln</t>
  </si>
  <si>
    <t>Oven</t>
  </si>
  <si>
    <t>Average heating demand</t>
  </si>
  <si>
    <t>Detached house</t>
  </si>
  <si>
    <t>Semi-D house</t>
  </si>
  <si>
    <t>Terraced house</t>
  </si>
  <si>
    <t>TOTAL</t>
  </si>
  <si>
    <t>Data Outputs from Task 1.3 (Waste heat source identification)</t>
  </si>
  <si>
    <t>Sheet with waste heat sources data, and heat network infrastructure data. This data feeds into the GIS databases for thermal demand, and waste heat.</t>
  </si>
  <si>
    <t>Waste Heat Results</t>
  </si>
  <si>
    <t xml:space="preserve">The purpose of this work was to evaluate the quantity of waste heat that could potentially be recovered from sites in Ireland. In order to be selected, power stations must be able to supply waste heat with a total thermal input exceeding 50 MW, whilst industrial sites must exceed 20 MW. For this analysis attention has been limited to: power stations, energy from waste (EfW), refineries, chemicals, pharmaceuticals, food &amp; beverages, cement, metals and lime production. </t>
  </si>
  <si>
    <t xml:space="preserve">Analysis showed that 9 power stations are capable of recovering waste heat at more than 50 MW, whilst one refinery and one EfW site could generate greater than 20 MW. </t>
  </si>
  <si>
    <t>Installation Name</t>
  </si>
  <si>
    <t>Type</t>
  </si>
  <si>
    <t>Operation</t>
  </si>
  <si>
    <t>Waste Heat Recovery Potential [MW]</t>
  </si>
  <si>
    <t>Waste Heat Recovery Potential [TJ/year]</t>
  </si>
  <si>
    <t>Dublin Bay Power Plant (Synergen)</t>
  </si>
  <si>
    <t>Power Station</t>
  </si>
  <si>
    <t xml:space="preserve">Operational </t>
  </si>
  <si>
    <t>ESB Great Island Generating Station</t>
  </si>
  <si>
    <t>ESB Moneypoint Generating Station</t>
  </si>
  <si>
    <t>Expected to Close 2025</t>
  </si>
  <si>
    <t>Huntstown Power Station</t>
  </si>
  <si>
    <t>Huntstown Power Station (Phase II) CCGT HPC2</t>
  </si>
  <si>
    <t>Tynagh 400MW CCPP</t>
  </si>
  <si>
    <t>ESB Poolbeg Generating Station CCGT</t>
  </si>
  <si>
    <t>ESB Aghada CCGT (AD2)</t>
  </si>
  <si>
    <t>ESB Aghada Thermal (CT1,2 &amp; 4)</t>
  </si>
  <si>
    <t>Whitegate Independent Power Plant</t>
  </si>
  <si>
    <t>ESB North Wall 5 Generating Station (Refurb)</t>
  </si>
  <si>
    <t>Operational in 2023</t>
  </si>
  <si>
    <t>Phillips 66 Whitegate Refinery Limited</t>
  </si>
  <si>
    <t>Refinery</t>
  </si>
  <si>
    <t>Dublin Waste to Energy</t>
  </si>
  <si>
    <t>Energy from Waste</t>
  </si>
  <si>
    <t>Data on data centre cooling demand</t>
  </si>
  <si>
    <t>Sheet with data centre electricity consumption, and electricity consumption for cooling uses, given as annual total values for each year between 2019 and 2050</t>
  </si>
  <si>
    <t>Data centre electricity demand, and electricity-for-cooling demand, 2019-2050</t>
  </si>
  <si>
    <t>Year</t>
  </si>
  <si>
    <t>Total annual electricity consumption, including cooling (TWh)</t>
  </si>
  <si>
    <t>Annual consumption of electricity for cooling demand(TWh)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</si>
</sst>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_-* #,##0.00_-;\-* #,##0.00_-;_-* &quot;-&quot;??_-;_-@_-"/>
    <numFmt numFmtId="165" formatCode="_-&quot;£&quot;* #,##0.00_-;\-&quot;£&quot;* #,##0.00_-;_-&quot;£&quot;* &quot;-&quot;??_-;_-@_-"/>
    <numFmt numFmtId="166" formatCode="0.0"/>
    <numFmt numFmtId="167" formatCode="_-* #,##0_-;\-* #,##0_-;_-* &quot;-&quot;??_-;_-@_-"/>
    <numFmt numFmtId="168" formatCode="_-* #,##0.000_-;\-* #,##0.000_-;_-* &quot;-&quot;??_-;_-@_-"/>
    <numFmt numFmtId="169" formatCode="0.0%"/>
    <numFmt numFmtId="170" formatCode="0.000%"/>
  </numFmts>
  <fonts count="40">
    <font>
      <sz val="11"/>
      <color theme="1"/>
      <name val="Calibri"/>
      <family val="2"/>
      <scheme val="minor"/>
    </font>
    <font>
      <sz val="11"/>
      <color theme="1"/>
      <name val="Calibri"/>
      <family val="2"/>
      <scheme val="minor"/>
    </font>
    <font>
      <b/>
      <sz val="11"/>
      <color theme="3"/>
      <name val="Calibri"/>
      <family val="2"/>
      <scheme val="minor"/>
    </font>
    <font>
      <sz val="11"/>
      <color rgb="FF00610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rgb="FF000000"/>
      <name val="Myriad Pro"/>
      <family val="2"/>
    </font>
    <font>
      <b/>
      <sz val="12"/>
      <color rgb="FF231F20"/>
      <name val="Myriad Pro"/>
      <family val="2"/>
    </font>
    <font>
      <sz val="10"/>
      <color rgb="FF231F20"/>
      <name val="Myriad Pro"/>
      <family val="2"/>
    </font>
    <font>
      <sz val="10"/>
      <name val="Myriad Pro"/>
      <family val="2"/>
    </font>
    <font>
      <b/>
      <sz val="10"/>
      <name val="Myriad Pro"/>
      <family val="2"/>
    </font>
    <font>
      <sz val="10"/>
      <color rgb="FF000000"/>
      <name val="Times New Roman"/>
      <family val="1"/>
    </font>
    <font>
      <i/>
      <sz val="11"/>
      <color theme="1"/>
      <name val="Calibri"/>
      <family val="2"/>
      <scheme val="minor"/>
    </font>
    <font>
      <b/>
      <sz val="13"/>
      <color theme="3"/>
      <name val="Calibri"/>
      <family val="2"/>
      <scheme val="minor"/>
    </font>
    <font>
      <sz val="11"/>
      <name val="Calibri"/>
      <family val="2"/>
      <scheme val="minor"/>
    </font>
    <font>
      <sz val="8"/>
      <name val="Calibri"/>
      <family val="2"/>
      <scheme val="minor"/>
    </font>
    <font>
      <sz val="12"/>
      <color rgb="FF000000"/>
      <name val="Calibri"/>
      <family val="2"/>
      <scheme val="minor"/>
    </font>
    <font>
      <sz val="10"/>
      <name val="Arial"/>
      <family val="2"/>
    </font>
    <font>
      <b/>
      <sz val="11"/>
      <color indexed="8"/>
      <name val="Calibri"/>
      <family val="2"/>
      <scheme val="minor"/>
    </font>
    <font>
      <b/>
      <sz val="11"/>
      <name val="Calibri"/>
      <family val="2"/>
      <scheme val="minor"/>
    </font>
    <font>
      <sz val="11"/>
      <color indexed="8"/>
      <name val="Calibri"/>
      <family val="2"/>
      <scheme val="minor"/>
    </font>
    <font>
      <sz val="11"/>
      <color rgb="FF000000"/>
      <name val="Calibri"/>
      <family val="2"/>
    </font>
    <font>
      <i/>
      <sz val="11"/>
      <color theme="3"/>
      <name val="Calibri"/>
      <family val="2"/>
      <scheme val="minor"/>
    </font>
    <font>
      <i/>
      <sz val="11"/>
      <color theme="0"/>
      <name val="Calibri"/>
      <family val="2"/>
      <scheme val="minor"/>
    </font>
    <font>
      <b/>
      <sz val="16"/>
      <name val="Calibri"/>
      <family val="2"/>
      <scheme val="minor"/>
    </font>
    <font>
      <b/>
      <sz val="14"/>
      <color theme="1"/>
      <name val="Calibri"/>
      <family val="2"/>
      <scheme val="minor"/>
    </font>
    <font>
      <sz val="10"/>
      <name val="Gill Sans MT"/>
      <family val="2"/>
    </font>
    <font>
      <sz val="12"/>
      <name val="Arial"/>
      <family val="2"/>
    </font>
    <font>
      <b/>
      <sz val="10"/>
      <color indexed="9"/>
      <name val="Gill Sans MT"/>
      <family val="2"/>
    </font>
    <font>
      <sz val="10"/>
      <color theme="0" tint="-0.499984740745262"/>
      <name val="Arial"/>
      <family val="2"/>
    </font>
    <font>
      <sz val="9"/>
      <name val="Times New Roman"/>
      <family val="1"/>
    </font>
    <font>
      <sz val="10"/>
      <name val="Arial Cyr"/>
      <charset val="204"/>
    </font>
    <font>
      <b/>
      <sz val="9"/>
      <name val="Times New Roman"/>
      <family val="1"/>
    </font>
    <font>
      <sz val="9"/>
      <color indexed="8"/>
      <name val="Times New Roman"/>
      <family val="1"/>
    </font>
    <font>
      <sz val="12"/>
      <color indexed="8"/>
      <name val="Times New Roman"/>
      <family val="1"/>
    </font>
    <font>
      <sz val="11"/>
      <color indexed="8"/>
      <name val="Arial"/>
      <family val="2"/>
    </font>
    <font>
      <b/>
      <sz val="12"/>
      <name val="Times New Roman"/>
      <family val="1"/>
    </font>
    <font>
      <b/>
      <sz val="12"/>
      <color indexed="8"/>
      <name val="Times New Roman"/>
      <family val="1"/>
    </font>
    <font>
      <u/>
      <sz val="10"/>
      <color indexed="12"/>
      <name val="Times New Roman"/>
      <family val="1"/>
    </font>
  </fonts>
  <fills count="36">
    <fill>
      <patternFill patternType="none"/>
    </fill>
    <fill>
      <patternFill patternType="gray125"/>
    </fill>
    <fill>
      <patternFill patternType="solid">
        <fgColor rgb="FFC6EFCE"/>
      </patternFill>
    </fill>
    <fill>
      <patternFill patternType="solid">
        <fgColor theme="4" tint="0.79998168889431442"/>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0"/>
        <bgColor indexed="64"/>
      </patternFill>
    </fill>
    <fill>
      <patternFill patternType="solid">
        <fgColor theme="8" tint="0.7999816888943144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D8E4BC"/>
        <bgColor rgb="FFD8E4BC"/>
      </patternFill>
    </fill>
    <fill>
      <patternFill patternType="solid">
        <fgColor rgb="FFEBF1DE"/>
        <bgColor rgb="FFEBF1DE"/>
      </patternFill>
    </fill>
    <fill>
      <patternFill patternType="solid">
        <fgColor theme="8"/>
      </patternFill>
    </fill>
    <fill>
      <patternFill patternType="solid">
        <fgColor theme="8" tint="0.59999389629810485"/>
        <bgColor indexed="65"/>
      </patternFill>
    </fill>
    <fill>
      <patternFill patternType="solid">
        <fgColor rgb="FFFFFFCC"/>
      </patternFill>
    </fill>
    <fill>
      <patternFill patternType="solid">
        <fgColor theme="0" tint="-0.14996795556505021"/>
        <bgColor indexed="64"/>
      </patternFill>
    </fill>
    <fill>
      <patternFill patternType="solid">
        <fgColor rgb="FF92D050"/>
        <bgColor indexed="64"/>
      </patternFill>
    </fill>
    <fill>
      <patternFill patternType="solid">
        <fgColor theme="6" tint="0.79998168889431442"/>
        <bgColor indexed="64"/>
      </patternFill>
    </fill>
    <fill>
      <patternFill patternType="solid">
        <fgColor theme="6" tint="0.59996337778862885"/>
        <bgColor indexed="64"/>
      </patternFill>
    </fill>
    <fill>
      <patternFill patternType="solid">
        <fgColor theme="6"/>
        <bgColor indexed="64"/>
      </patternFill>
    </fill>
    <fill>
      <patternFill patternType="solid">
        <fgColor theme="6" tint="0.39994506668294322"/>
        <bgColor indexed="64"/>
      </patternFill>
    </fill>
    <fill>
      <patternFill patternType="solid">
        <fgColor indexed="21"/>
        <bgColor indexed="64"/>
      </patternFill>
    </fill>
    <fill>
      <patternFill patternType="solid">
        <fgColor indexed="42"/>
        <bgColor indexed="64"/>
      </patternFill>
    </fill>
    <fill>
      <patternFill patternType="solid">
        <fgColor indexed="22"/>
        <bgColor indexed="64"/>
      </patternFill>
    </fill>
    <fill>
      <patternFill patternType="solid">
        <fgColor indexed="9"/>
        <bgColor indexed="64"/>
      </patternFill>
    </fill>
    <fill>
      <patternFill patternType="solid">
        <fgColor rgb="FF5B94AE"/>
        <bgColor indexed="64"/>
      </patternFill>
    </fill>
    <fill>
      <patternFill patternType="solid">
        <fgColor theme="0" tint="-0.499984740745262"/>
        <bgColor indexed="64"/>
      </patternFill>
    </fill>
    <fill>
      <patternFill patternType="solid">
        <fgColor indexed="44"/>
        <bgColor indexed="64"/>
      </patternFill>
    </fill>
    <fill>
      <patternFill patternType="solid">
        <fgColor indexed="47"/>
        <bgColor indexed="64"/>
      </patternFill>
    </fill>
    <fill>
      <patternFill patternType="solid">
        <fgColor indexed="27"/>
        <bgColor indexed="64"/>
      </patternFill>
    </fill>
    <fill>
      <patternFill patternType="solid">
        <fgColor indexed="15"/>
        <bgColor indexed="64"/>
      </patternFill>
    </fill>
    <fill>
      <patternFill patternType="solid">
        <fgColor indexed="55"/>
        <bgColor indexed="64"/>
      </patternFill>
    </fill>
  </fills>
  <borders count="39">
    <border>
      <left/>
      <right/>
      <top/>
      <bottom/>
      <diagonal/>
    </border>
    <border>
      <left/>
      <right/>
      <top/>
      <bottom style="medium">
        <color theme="4" tint="0.39997558519241921"/>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top style="thick">
        <color theme="4" tint="0.499984740745262"/>
      </top>
      <bottom/>
      <diagonal/>
    </border>
    <border>
      <left style="thin">
        <color indexed="64"/>
      </left>
      <right style="thin">
        <color indexed="64"/>
      </right>
      <top/>
      <bottom/>
      <diagonal/>
    </border>
    <border>
      <left style="thin">
        <color rgb="FFFFFFFF"/>
      </left>
      <right style="thin">
        <color rgb="FFFFFFFF"/>
      </right>
      <top style="thin">
        <color rgb="FFFFFFFF"/>
      </top>
      <bottom style="thin">
        <color rgb="FFFFFFF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auto="1"/>
      </left>
      <right style="hair">
        <color auto="1"/>
      </right>
      <top style="hair">
        <color auto="1"/>
      </top>
      <bottom style="hair">
        <color auto="1"/>
      </bottom>
      <diagonal/>
    </border>
    <border>
      <left style="hair">
        <color indexed="64"/>
      </left>
      <right style="hair">
        <color indexed="64"/>
      </right>
      <top style="hair">
        <color indexed="64"/>
      </top>
      <bottom style="hair">
        <color indexed="64"/>
      </bottom>
      <diagonal/>
    </border>
    <border>
      <left style="hair">
        <color auto="1"/>
      </left>
      <right style="thin">
        <color auto="1"/>
      </right>
      <top style="hair">
        <color auto="1"/>
      </top>
      <bottom style="hair">
        <color auto="1"/>
      </bottom>
      <diagonal/>
    </border>
    <border>
      <left/>
      <right/>
      <top style="hair">
        <color auto="1"/>
      </top>
      <bottom style="hair">
        <color auto="1"/>
      </bottom>
      <diagonal/>
    </border>
    <border>
      <left style="thin">
        <color theme="0" tint="-0.24994659260841701"/>
      </left>
      <right style="thin">
        <color auto="1"/>
      </right>
      <top style="thin">
        <color theme="0" tint="-0.24994659260841701"/>
      </top>
      <bottom style="thin">
        <color auto="1"/>
      </bottom>
      <diagonal/>
    </border>
    <border>
      <left style="hair">
        <color indexed="55"/>
      </left>
      <right style="thin">
        <color indexed="64"/>
      </right>
      <top style="thin">
        <color indexed="64"/>
      </top>
      <bottom style="hair">
        <color indexed="55"/>
      </bottom>
      <diagonal/>
    </border>
    <border>
      <left style="thin">
        <color indexed="22"/>
      </left>
      <right style="dotted">
        <color indexed="23"/>
      </right>
      <top style="thin">
        <color indexed="22"/>
      </top>
      <bottom style="thin">
        <color indexed="64"/>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thin">
        <color indexed="64"/>
      </right>
      <top style="hair">
        <color theme="0" tint="-0.34998626667073579"/>
      </top>
      <bottom style="hair">
        <color theme="0" tint="-0.34998626667073579"/>
      </bottom>
      <diagonal/>
    </border>
    <border>
      <left style="thin">
        <color theme="0" tint="-0.34998626667073579"/>
      </left>
      <right/>
      <top style="hair">
        <color theme="0" tint="-0.34998626667073579"/>
      </top>
      <bottom style="hair">
        <color theme="0" tint="-0.34998626667073579"/>
      </bottom>
      <diagonal/>
    </border>
    <border>
      <left style="thin">
        <color theme="0" tint="-0.34998626667073579"/>
      </left>
      <right style="hair">
        <color theme="0" tint="-0.34998626667073579"/>
      </right>
      <top style="hair">
        <color theme="0" tint="-0.34998626667073579"/>
      </top>
      <bottom style="hair">
        <color theme="0" tint="-0.34998626667073579"/>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medium">
        <color indexed="64"/>
      </left>
      <right/>
      <top style="thin">
        <color auto="1"/>
      </top>
      <bottom style="thin">
        <color auto="1"/>
      </bottom>
      <diagonal/>
    </border>
    <border>
      <left style="medium">
        <color indexed="64"/>
      </left>
      <right style="medium">
        <color indexed="64"/>
      </right>
      <top style="thin">
        <color indexed="64"/>
      </top>
      <bottom style="medium">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836">
    <xf numFmtId="0" fontId="0" fillId="0" borderId="0"/>
    <xf numFmtId="166" fontId="1" fillId="9" borderId="0" applyBorder="0" applyAlignment="0" applyProtection="0"/>
    <xf numFmtId="0" fontId="1" fillId="4" borderId="0" applyNumberFormat="0" applyBorder="0" applyAlignment="0" applyProtection="0"/>
    <xf numFmtId="0" fontId="1" fillId="0" borderId="0"/>
    <xf numFmtId="166" fontId="1" fillId="4" borderId="0" applyBorder="0" applyAlignment="0" applyProtection="0"/>
    <xf numFmtId="166" fontId="1" fillId="5" borderId="0" applyBorder="0" applyAlignment="0" applyProtection="0"/>
    <xf numFmtId="166" fontId="1" fillId="7" borderId="0" applyBorder="0" applyAlignment="0" applyProtection="0"/>
    <xf numFmtId="166" fontId="1" fillId="8" borderId="0" applyBorder="0" applyAlignment="0" applyProtection="0"/>
    <xf numFmtId="166" fontId="6" fillId="6" borderId="0" applyBorder="0" applyAlignment="0" applyProtection="0"/>
    <xf numFmtId="166" fontId="3" fillId="2" borderId="0" applyBorder="0" applyAlignment="0" applyProtection="0"/>
    <xf numFmtId="0" fontId="2" fillId="0" borderId="1" applyFill="0" applyAlignment="0" applyProtection="0"/>
    <xf numFmtId="0" fontId="4" fillId="0" borderId="0" applyFill="0" applyBorder="0" applyAlignment="0" applyProtection="0"/>
    <xf numFmtId="0" fontId="14" fillId="3" borderId="2" applyAlignment="0" applyProtection="0"/>
    <xf numFmtId="0" fontId="14" fillId="0" borderId="2" applyFill="0" applyAlignment="0" applyProtection="0"/>
    <xf numFmtId="164" fontId="1" fillId="0" borderId="0" applyFont="0" applyFill="0" applyBorder="0" applyAlignment="0" applyProtection="0"/>
    <xf numFmtId="0" fontId="14" fillId="0" borderId="2" applyNumberFormat="0" applyFill="0" applyAlignment="0" applyProtection="0"/>
    <xf numFmtId="0" fontId="18" fillId="0" borderId="0"/>
    <xf numFmtId="9" fontId="1" fillId="0" borderId="0" applyFont="0" applyFill="0" applyBorder="0" applyAlignment="0" applyProtection="0"/>
    <xf numFmtId="0" fontId="6" fillId="16" borderId="0" applyNumberFormat="0" applyBorder="0" applyAlignment="0" applyProtection="0"/>
    <xf numFmtId="0" fontId="1" fillId="17" borderId="0" applyNumberFormat="0" applyBorder="0" applyAlignment="0" applyProtection="0"/>
    <xf numFmtId="0" fontId="15" fillId="0" borderId="0"/>
    <xf numFmtId="0" fontId="1" fillId="0" borderId="0"/>
    <xf numFmtId="0" fontId="15" fillId="19" borderId="0" applyNumberFormat="0" applyFont="0" applyBorder="0" applyAlignment="0" applyProtection="0"/>
    <xf numFmtId="0" fontId="15" fillId="10" borderId="12" applyNumberFormat="0" applyFont="0" applyBorder="0" applyAlignment="0" applyProtection="0"/>
    <xf numFmtId="0" fontId="25" fillId="20" borderId="0" applyProtection="0"/>
    <xf numFmtId="0" fontId="15" fillId="19" borderId="15"/>
    <xf numFmtId="0" fontId="15" fillId="19" borderId="16"/>
    <xf numFmtId="9" fontId="1" fillId="0" borderId="0" applyFont="0" applyFill="0" applyBorder="0" applyAlignment="0">
      <protection locked="0"/>
    </xf>
    <xf numFmtId="0" fontId="27" fillId="12" borderId="0" applyNumberFormat="0" applyBorder="0" applyAlignment="0"/>
    <xf numFmtId="164" fontId="1" fillId="0" borderId="0" applyFont="0" applyFill="0" applyBorder="0" applyAlignment="0" applyProtection="0"/>
    <xf numFmtId="0" fontId="20" fillId="23" borderId="0"/>
    <xf numFmtId="0" fontId="28" fillId="0" borderId="0"/>
    <xf numFmtId="0" fontId="28" fillId="0" borderId="0"/>
    <xf numFmtId="0" fontId="15" fillId="21" borderId="0"/>
    <xf numFmtId="0" fontId="26" fillId="24" borderId="19"/>
    <xf numFmtId="0" fontId="1" fillId="10" borderId="18">
      <protection locked="0"/>
    </xf>
    <xf numFmtId="0" fontId="1" fillId="0" borderId="0"/>
    <xf numFmtId="0" fontId="1" fillId="22" borderId="3">
      <alignment horizontal="center" vertical="center" textRotation="90" readingOrder="2"/>
    </xf>
    <xf numFmtId="9" fontId="1" fillId="0" borderId="0" applyFont="0" applyFill="0" applyBorder="0" applyAlignment="0">
      <protection locked="0"/>
    </xf>
    <xf numFmtId="9" fontId="1" fillId="0" borderId="16"/>
    <xf numFmtId="0" fontId="15" fillId="19" borderId="17"/>
    <xf numFmtId="0" fontId="18" fillId="26" borderId="20" applyNumberFormat="0" applyBorder="0" applyAlignment="0"/>
    <xf numFmtId="0" fontId="18" fillId="27" borderId="3" applyNumberFormat="0" applyBorder="0" applyAlignment="0"/>
    <xf numFmtId="0" fontId="18" fillId="28" borderId="0" applyNumberFormat="0" applyBorder="0" applyAlignment="0">
      <protection locked="0"/>
    </xf>
    <xf numFmtId="0" fontId="29" fillId="29" borderId="21" applyNumberFormat="0" applyAlignment="0"/>
    <xf numFmtId="0" fontId="27" fillId="25" borderId="0"/>
    <xf numFmtId="0" fontId="18" fillId="10" borderId="22" applyNumberFormat="0" applyAlignment="0">
      <protection locked="0"/>
    </xf>
    <xf numFmtId="0" fontId="27" fillId="18" borderId="11" applyNumberFormat="0" applyFont="0" applyAlignment="0"/>
    <xf numFmtId="0" fontId="18" fillId="27" borderId="22" applyNumberFormat="0"/>
    <xf numFmtId="0" fontId="18" fillId="10" borderId="24">
      <protection locked="0"/>
    </xf>
    <xf numFmtId="2" fontId="18" fillId="27" borderId="25"/>
    <xf numFmtId="2" fontId="18" fillId="27" borderId="23"/>
    <xf numFmtId="0" fontId="30" fillId="30" borderId="0" applyNumberFormat="0" applyAlignment="0"/>
    <xf numFmtId="0" fontId="18" fillId="30" borderId="0" applyNumberFormat="0" applyFont="0" applyAlignment="0">
      <protection hidden="1"/>
    </xf>
    <xf numFmtId="0" fontId="18" fillId="0" borderId="0"/>
    <xf numFmtId="0" fontId="18" fillId="27" borderId="3" applyNumberFormat="0" applyBorder="0" applyAlignment="0"/>
    <xf numFmtId="0" fontId="27" fillId="25" borderId="0"/>
    <xf numFmtId="0" fontId="27" fillId="25" borderId="0"/>
    <xf numFmtId="0" fontId="18" fillId="26" borderId="20" applyNumberFormat="0" applyBorder="0" applyAlignment="0"/>
    <xf numFmtId="0" fontId="18" fillId="28" borderId="0" applyNumberFormat="0" applyBorder="0" applyAlignment="0">
      <protection locked="0"/>
    </xf>
    <xf numFmtId="0" fontId="27" fillId="18" borderId="11" applyNumberFormat="0" applyFont="0" applyAlignment="0"/>
    <xf numFmtId="0" fontId="18" fillId="0" borderId="0"/>
    <xf numFmtId="0" fontId="15" fillId="21" borderId="0" applyNumberFormat="0" applyFont="0" applyFill="0" applyBorder="0" applyAlignment="0">
      <protection locked="0"/>
    </xf>
    <xf numFmtId="0" fontId="15" fillId="31" borderId="0" applyNumberFormat="0" applyBorder="0" applyAlignment="0">
      <protection locked="0"/>
    </xf>
    <xf numFmtId="0" fontId="1" fillId="0" borderId="0"/>
    <xf numFmtId="0" fontId="1" fillId="22" borderId="3">
      <alignment horizontal="center" vertical="center" textRotation="90" readingOrder="2"/>
    </xf>
    <xf numFmtId="9" fontId="1" fillId="0" borderId="16"/>
    <xf numFmtId="0" fontId="18" fillId="27" borderId="3" applyNumberFormat="0" applyBorder="0" applyAlignment="0"/>
    <xf numFmtId="0" fontId="1" fillId="0" borderId="0"/>
    <xf numFmtId="0" fontId="1" fillId="22" borderId="3">
      <alignment horizontal="center" vertical="center" textRotation="90" readingOrder="2"/>
    </xf>
    <xf numFmtId="9" fontId="1" fillId="0" borderId="0" applyFont="0" applyFill="0" applyBorder="0" applyAlignment="0">
      <protection locked="0"/>
    </xf>
    <xf numFmtId="9" fontId="1" fillId="0" borderId="16"/>
    <xf numFmtId="0" fontId="1" fillId="0" borderId="0"/>
    <xf numFmtId="0" fontId="1" fillId="22" borderId="3">
      <alignment horizontal="center" vertical="center" textRotation="90" readingOrder="2"/>
    </xf>
    <xf numFmtId="9" fontId="1" fillId="0" borderId="0" applyFont="0" applyFill="0" applyBorder="0" applyAlignment="0">
      <protection locked="0"/>
    </xf>
    <xf numFmtId="9" fontId="1" fillId="0" borderId="16"/>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8" fillId="0" borderId="0"/>
    <xf numFmtId="49" fontId="31" fillId="0" borderId="3" applyNumberFormat="0" applyFont="0" applyFill="0" applyBorder="0" applyProtection="0">
      <alignment horizontal="left" vertical="center" indent="2"/>
    </xf>
    <xf numFmtId="164" fontId="18" fillId="0" borderId="0" applyFont="0" applyFill="0" applyBorder="0" applyAlignment="0" applyProtection="0"/>
    <xf numFmtId="9" fontId="18" fillId="0" borderId="0" applyFont="0" applyFill="0" applyBorder="0" applyAlignment="0" applyProtection="0"/>
    <xf numFmtId="0" fontId="32" fillId="0" borderId="0" applyNumberFormat="0" applyFont="0" applyFill="0" applyBorder="0" applyProtection="0">
      <alignment horizontal="left" vertical="center" indent="5"/>
    </xf>
    <xf numFmtId="0" fontId="33" fillId="33" borderId="0" applyBorder="0" applyAlignment="0"/>
    <xf numFmtId="0" fontId="31" fillId="33" borderId="0" applyBorder="0">
      <alignment horizontal="right" vertical="center"/>
    </xf>
    <xf numFmtId="4" fontId="31" fillId="26" borderId="0" applyBorder="0">
      <alignment horizontal="right" vertical="center"/>
    </xf>
    <xf numFmtId="4" fontId="31" fillId="26" borderId="0" applyBorder="0">
      <alignment horizontal="right" vertical="center"/>
    </xf>
    <xf numFmtId="0" fontId="34" fillId="26" borderId="3">
      <alignment horizontal="right" vertical="center"/>
    </xf>
    <xf numFmtId="0" fontId="35" fillId="26" borderId="3">
      <alignment horizontal="right" vertical="center"/>
    </xf>
    <xf numFmtId="0" fontId="34" fillId="32" borderId="3">
      <alignment horizontal="right" vertical="center"/>
    </xf>
    <xf numFmtId="0" fontId="34" fillId="32" borderId="3">
      <alignment horizontal="right" vertical="center"/>
    </xf>
    <xf numFmtId="0" fontId="34" fillId="32" borderId="27">
      <alignment horizontal="right" vertical="center"/>
    </xf>
    <xf numFmtId="0" fontId="34" fillId="32" borderId="14">
      <alignment horizontal="right" vertical="center"/>
    </xf>
    <xf numFmtId="0" fontId="34" fillId="32" borderId="26">
      <alignment horizontal="right" vertical="center"/>
    </xf>
    <xf numFmtId="164" fontId="18" fillId="0" borderId="0" applyFont="0" applyFill="0" applyBorder="0" applyAlignment="0" applyProtection="0"/>
    <xf numFmtId="0" fontId="34" fillId="0" borderId="0" applyNumberFormat="0">
      <alignment horizontal="right"/>
    </xf>
    <xf numFmtId="0" fontId="31" fillId="32" borderId="28">
      <alignment horizontal="left" vertical="center" wrapText="1" indent="2"/>
    </xf>
    <xf numFmtId="0" fontId="31" fillId="0" borderId="28">
      <alignment horizontal="left" vertical="center" wrapText="1" indent="2"/>
    </xf>
    <xf numFmtId="0" fontId="31" fillId="26" borderId="14">
      <alignment horizontal="left" vertical="center"/>
    </xf>
    <xf numFmtId="0" fontId="34" fillId="0" borderId="29">
      <alignment horizontal="left" vertical="top" wrapText="1"/>
    </xf>
    <xf numFmtId="0" fontId="36" fillId="34" borderId="30">
      <alignment horizontal="center" vertical="center" wrapText="1"/>
    </xf>
    <xf numFmtId="0" fontId="18" fillId="0" borderId="9"/>
    <xf numFmtId="0" fontId="32" fillId="0" borderId="13"/>
    <xf numFmtId="0" fontId="37" fillId="0" borderId="0" applyNumberFormat="0" applyFill="0" applyBorder="0" applyAlignment="0" applyProtection="0"/>
    <xf numFmtId="4" fontId="31" fillId="0" borderId="0" applyBorder="0">
      <alignment horizontal="right" vertical="center"/>
    </xf>
    <xf numFmtId="0" fontId="31" fillId="0" borderId="3">
      <alignment horizontal="right" vertical="center"/>
    </xf>
    <xf numFmtId="1" fontId="38" fillId="26" borderId="0" applyBorder="0">
      <alignment horizontal="right" vertical="center"/>
    </xf>
    <xf numFmtId="4" fontId="31" fillId="0" borderId="0" applyFill="0" applyBorder="0" applyProtection="0">
      <alignment horizontal="right" vertical="center"/>
    </xf>
    <xf numFmtId="0" fontId="33" fillId="0" borderId="0" applyNumberFormat="0" applyFill="0" applyBorder="0" applyProtection="0">
      <alignment horizontal="left" vertical="center"/>
    </xf>
    <xf numFmtId="0" fontId="31" fillId="0" borderId="3" applyNumberFormat="0" applyFill="0" applyAlignment="0" applyProtection="0"/>
    <xf numFmtId="0" fontId="32" fillId="35" borderId="0" applyNumberFormat="0" applyFont="0" applyBorder="0" applyAlignment="0" applyProtection="0"/>
    <xf numFmtId="9" fontId="18" fillId="0" borderId="0" applyFont="0" applyFill="0" applyBorder="0" applyAlignment="0" applyProtection="0"/>
    <xf numFmtId="0" fontId="31" fillId="35" borderId="3"/>
    <xf numFmtId="0" fontId="18" fillId="0" borderId="0"/>
    <xf numFmtId="0" fontId="39" fillId="0" borderId="0" applyNumberFormat="0" applyFill="0" applyBorder="0" applyAlignment="0" applyProtection="0"/>
    <xf numFmtId="0" fontId="31" fillId="0" borderId="0"/>
    <xf numFmtId="0" fontId="18" fillId="0" borderId="0"/>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49" fontId="31" fillId="0" borderId="3" applyNumberFormat="0" applyFont="0" applyFill="0" applyBorder="0" applyProtection="0">
      <alignment horizontal="left" vertical="center" indent="2"/>
    </xf>
    <xf numFmtId="0" fontId="34" fillId="26" borderId="3">
      <alignment horizontal="right" vertical="center"/>
    </xf>
    <xf numFmtId="0" fontId="35" fillId="26" borderId="3">
      <alignment horizontal="right" vertical="center"/>
    </xf>
    <xf numFmtId="0" fontId="34" fillId="32" borderId="3">
      <alignment horizontal="right" vertical="center"/>
    </xf>
    <xf numFmtId="0" fontId="34" fillId="32" borderId="3">
      <alignment horizontal="right" vertical="center"/>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31" fillId="0" borderId="3">
      <alignment horizontal="right" vertical="center"/>
    </xf>
    <xf numFmtId="0" fontId="31" fillId="0" borderId="3" applyNumberFormat="0" applyFill="0" applyAlignment="0" applyProtection="0"/>
    <xf numFmtId="0" fontId="31" fillId="35" borderId="3"/>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49" fontId="31" fillId="0" borderId="3" applyNumberFormat="0" applyFont="0" applyFill="0" applyBorder="0" applyProtection="0">
      <alignment horizontal="left" vertical="center" indent="2"/>
    </xf>
    <xf numFmtId="0" fontId="34" fillId="26" borderId="3">
      <alignment horizontal="right" vertical="center"/>
    </xf>
    <xf numFmtId="0" fontId="35" fillId="26" borderId="3">
      <alignment horizontal="right" vertical="center"/>
    </xf>
    <xf numFmtId="0" fontId="34" fillId="32" borderId="3">
      <alignment horizontal="right" vertical="center"/>
    </xf>
    <xf numFmtId="0" fontId="34" fillId="32" borderId="3">
      <alignment horizontal="right" vertical="center"/>
    </xf>
    <xf numFmtId="0" fontId="34" fillId="32" borderId="14">
      <alignment horizontal="right" vertical="center"/>
    </xf>
    <xf numFmtId="0" fontId="34" fillId="32" borderId="26">
      <alignment horizontal="right" vertical="center"/>
    </xf>
    <xf numFmtId="0" fontId="31" fillId="32" borderId="28">
      <alignment horizontal="left" vertical="center" wrapText="1" indent="2"/>
    </xf>
    <xf numFmtId="0" fontId="31" fillId="0" borderId="28">
      <alignment horizontal="left" vertical="center" wrapText="1" indent="2"/>
    </xf>
    <xf numFmtId="0" fontId="31" fillId="26" borderId="14">
      <alignment horizontal="left" vertical="center"/>
    </xf>
    <xf numFmtId="0" fontId="31" fillId="0" borderId="3">
      <alignment horizontal="right" vertical="center"/>
    </xf>
    <xf numFmtId="0" fontId="31" fillId="0" borderId="3" applyNumberFormat="0" applyFill="0" applyAlignment="0" applyProtection="0"/>
    <xf numFmtId="0" fontId="31" fillId="35" borderId="3"/>
    <xf numFmtId="0" fontId="18" fillId="27" borderId="3" applyNumberFormat="0" applyBorder="0" applyAlignment="0"/>
    <xf numFmtId="0" fontId="34" fillId="32" borderId="3">
      <alignment horizontal="right" vertical="center"/>
    </xf>
    <xf numFmtId="0" fontId="34" fillId="26" borderId="3">
      <alignment horizontal="right" vertical="center"/>
    </xf>
    <xf numFmtId="0" fontId="18" fillId="27" borderId="3" applyNumberFormat="0" applyBorder="0" applyAlignment="0"/>
    <xf numFmtId="49" fontId="31" fillId="0" borderId="3" applyNumberFormat="0" applyFont="0" applyFill="0" applyBorder="0" applyProtection="0">
      <alignment horizontal="left" vertical="center" indent="2"/>
    </xf>
    <xf numFmtId="0" fontId="1" fillId="22" borderId="3">
      <alignment horizontal="center" vertical="center" textRotation="90" readingOrder="2"/>
    </xf>
    <xf numFmtId="0" fontId="1" fillId="22" borderId="3">
      <alignment horizontal="center" vertical="center" textRotation="90" readingOrder="2"/>
    </xf>
    <xf numFmtId="0" fontId="34" fillId="32" borderId="3">
      <alignment horizontal="right" vertical="center"/>
    </xf>
    <xf numFmtId="0" fontId="18" fillId="27" borderId="3" applyNumberFormat="0" applyBorder="0" applyAlignment="0"/>
    <xf numFmtId="0" fontId="31" fillId="0" borderId="3" applyNumberFormat="0" applyFill="0" applyAlignment="0" applyProtection="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34" fillId="26" borderId="3">
      <alignment horizontal="right" vertical="center"/>
    </xf>
    <xf numFmtId="0" fontId="18" fillId="27" borderId="3" applyNumberFormat="0" applyBorder="0" applyAlignment="0"/>
    <xf numFmtId="0" fontId="18" fillId="27" borderId="3" applyNumberFormat="0" applyBorder="0" applyAlignment="0"/>
    <xf numFmtId="0" fontId="31" fillId="35" borderId="3"/>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49" fontId="31" fillId="0" borderId="3" applyNumberFormat="0" applyFont="0" applyFill="0" applyBorder="0" applyProtection="0">
      <alignment horizontal="left" vertical="center" indent="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35" fillId="26" borderId="3">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34" fillId="32" borderId="3">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49" fontId="31" fillId="0" borderId="3" applyNumberFormat="0" applyFont="0" applyFill="0" applyBorder="0" applyProtection="0">
      <alignment horizontal="left" vertical="center" indent="2"/>
    </xf>
    <xf numFmtId="0" fontId="35" fillId="26" borderId="3">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35" fillId="26" borderId="3">
      <alignment horizontal="right" vertical="center"/>
    </xf>
    <xf numFmtId="0" fontId="34" fillId="26" borderId="3">
      <alignment horizontal="right" vertical="center"/>
    </xf>
    <xf numFmtId="0" fontId="35" fillId="26" borderId="3">
      <alignment horizontal="right" vertical="center"/>
    </xf>
    <xf numFmtId="0" fontId="34" fillId="32" borderId="3">
      <alignment horizontal="right" vertical="center"/>
    </xf>
    <xf numFmtId="0" fontId="34" fillId="32" borderId="3">
      <alignment horizontal="right" vertical="center"/>
    </xf>
    <xf numFmtId="0" fontId="34" fillId="32" borderId="14">
      <alignment horizontal="right" vertical="center"/>
    </xf>
    <xf numFmtId="0" fontId="34" fillId="32" borderId="26">
      <alignment horizontal="right" vertical="center"/>
    </xf>
    <xf numFmtId="0" fontId="1" fillId="22" borderId="3">
      <alignment horizontal="center" vertical="center" textRotation="90" readingOrder="2"/>
    </xf>
    <xf numFmtId="0" fontId="31" fillId="32" borderId="28">
      <alignment horizontal="left" vertical="center" wrapText="1" indent="2"/>
    </xf>
    <xf numFmtId="0" fontId="31" fillId="0" borderId="28">
      <alignment horizontal="left" vertical="center" wrapText="1" indent="2"/>
    </xf>
    <xf numFmtId="0" fontId="31" fillId="26" borderId="14">
      <alignment horizontal="left" vertical="center"/>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31" fillId="0" borderId="3">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31" fillId="0" borderId="3" applyNumberFormat="0" applyFill="0" applyAlignment="0" applyProtection="0"/>
    <xf numFmtId="49" fontId="31" fillId="0" borderId="3" applyNumberFormat="0" applyFont="0" applyFill="0" applyBorder="0" applyProtection="0">
      <alignment horizontal="left" vertical="center" indent="2"/>
    </xf>
    <xf numFmtId="0" fontId="31" fillId="35" borderId="3"/>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49" fontId="31" fillId="0" borderId="3" applyNumberFormat="0" applyFont="0" applyFill="0" applyBorder="0" applyProtection="0">
      <alignment horizontal="left" vertical="center" indent="2"/>
    </xf>
    <xf numFmtId="0" fontId="34" fillId="26" borderId="3">
      <alignment horizontal="right" vertical="center"/>
    </xf>
    <xf numFmtId="0" fontId="35" fillId="26" borderId="3">
      <alignment horizontal="right" vertical="center"/>
    </xf>
    <xf numFmtId="0" fontId="34" fillId="32" borderId="3">
      <alignment horizontal="right" vertical="center"/>
    </xf>
    <xf numFmtId="0" fontId="34" fillId="32" borderId="3">
      <alignment horizontal="right" vertical="center"/>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31" fillId="0" borderId="3">
      <alignment horizontal="right" vertical="center"/>
    </xf>
    <xf numFmtId="0" fontId="31" fillId="0" borderId="3" applyNumberFormat="0" applyFill="0" applyAlignment="0" applyProtection="0"/>
    <xf numFmtId="0" fontId="31" fillId="35" borderId="3"/>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49" fontId="31" fillId="0" borderId="3" applyNumberFormat="0" applyFont="0" applyFill="0" applyBorder="0" applyProtection="0">
      <alignment horizontal="left" vertical="center" indent="2"/>
    </xf>
    <xf numFmtId="0" fontId="34" fillId="26" borderId="3">
      <alignment horizontal="right" vertical="center"/>
    </xf>
    <xf numFmtId="0" fontId="35" fillId="26" borderId="3">
      <alignment horizontal="right" vertical="center"/>
    </xf>
    <xf numFmtId="0" fontId="34" fillId="32" borderId="3">
      <alignment horizontal="right" vertical="center"/>
    </xf>
    <xf numFmtId="0" fontId="34" fillId="32" borderId="3">
      <alignment horizontal="right" vertical="center"/>
    </xf>
    <xf numFmtId="0" fontId="34" fillId="32" borderId="14">
      <alignment horizontal="right" vertical="center"/>
    </xf>
    <xf numFmtId="0" fontId="34" fillId="32" borderId="26">
      <alignment horizontal="right" vertical="center"/>
    </xf>
    <xf numFmtId="0" fontId="31" fillId="32" borderId="28">
      <alignment horizontal="left" vertical="center" wrapText="1" indent="2"/>
    </xf>
    <xf numFmtId="0" fontId="31" fillId="0" borderId="28">
      <alignment horizontal="left" vertical="center" wrapText="1" indent="2"/>
    </xf>
    <xf numFmtId="0" fontId="31" fillId="26" borderId="14">
      <alignment horizontal="left" vertical="center"/>
    </xf>
    <xf numFmtId="0" fontId="31" fillId="0" borderId="3">
      <alignment horizontal="right" vertical="center"/>
    </xf>
    <xf numFmtId="0" fontId="31" fillId="0" borderId="3" applyNumberFormat="0" applyFill="0" applyAlignment="0" applyProtection="0"/>
    <xf numFmtId="0" fontId="31" fillId="35" borderId="3"/>
    <xf numFmtId="0" fontId="18" fillId="27" borderId="3" applyNumberFormat="0" applyBorder="0" applyAlignment="0"/>
    <xf numFmtId="0" fontId="31" fillId="0" borderId="3">
      <alignment horizontal="right" vertical="center"/>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8" fillId="27" borderId="3" applyNumberFormat="0" applyBorder="0" applyAlignment="0"/>
    <xf numFmtId="49" fontId="31" fillId="0" borderId="3" applyNumberFormat="0" applyFont="0" applyFill="0" applyBorder="0" applyProtection="0">
      <alignment horizontal="left" vertical="center" indent="2"/>
    </xf>
    <xf numFmtId="0" fontId="34" fillId="32" borderId="3">
      <alignment horizontal="right" vertical="center"/>
    </xf>
    <xf numFmtId="0" fontId="31" fillId="0" borderId="3" applyNumberFormat="0" applyFill="0" applyAlignment="0" applyProtection="0"/>
    <xf numFmtId="0" fontId="34" fillId="32" borderId="3">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34" fillId="32" borderId="3">
      <alignment horizontal="right" vertical="center"/>
    </xf>
    <xf numFmtId="0" fontId="18" fillId="27" borderId="3" applyNumberFormat="0" applyBorder="0" applyAlignment="0"/>
    <xf numFmtId="0" fontId="31" fillId="0" borderId="28">
      <alignment horizontal="left" vertical="center" wrapText="1" indent="2"/>
    </xf>
    <xf numFmtId="0" fontId="35" fillId="26" borderId="3">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49" fontId="31" fillId="0" borderId="3" applyNumberFormat="0" applyFont="0" applyFill="0" applyBorder="0" applyProtection="0">
      <alignment horizontal="left" vertical="center" indent="2"/>
    </xf>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31" fillId="0" borderId="3" applyNumberFormat="0" applyFill="0" applyAlignment="0" applyProtection="0"/>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49" fontId="31" fillId="0" borderId="3" applyNumberFormat="0" applyFont="0" applyFill="0" applyBorder="0" applyProtection="0">
      <alignment horizontal="left" vertical="center" indent="2"/>
    </xf>
    <xf numFmtId="0" fontId="34" fillId="32" borderId="3">
      <alignment horizontal="right" vertical="center"/>
    </xf>
    <xf numFmtId="0" fontId="34" fillId="26" borderId="3">
      <alignment horizontal="right" vertical="center"/>
    </xf>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31" fillId="32" borderId="28">
      <alignment horizontal="left" vertical="center" wrapText="1" indent="2"/>
    </xf>
    <xf numFmtId="0" fontId="18" fillId="27" borderId="3" applyNumberFormat="0" applyBorder="0" applyAlignment="0"/>
    <xf numFmtId="0" fontId="31" fillId="35" borderId="3"/>
    <xf numFmtId="0" fontId="31" fillId="0" borderId="3">
      <alignment horizontal="right" vertical="center"/>
    </xf>
    <xf numFmtId="0" fontId="34" fillId="32" borderId="14">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31" fillId="0" borderId="3">
      <alignment horizontal="right" vertical="center"/>
    </xf>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31" fillId="35" borderId="3"/>
    <xf numFmtId="0" fontId="34" fillId="26" borderId="3">
      <alignment horizontal="right" vertical="center"/>
    </xf>
    <xf numFmtId="0" fontId="31" fillId="35" borderId="3"/>
    <xf numFmtId="0" fontId="18" fillId="27" borderId="3" applyNumberFormat="0" applyBorder="0" applyAlignment="0"/>
    <xf numFmtId="0" fontId="1" fillId="22" borderId="3">
      <alignment horizontal="center" vertical="center" textRotation="90" readingOrder="2"/>
    </xf>
    <xf numFmtId="0" fontId="34" fillId="32" borderId="3">
      <alignment horizontal="right" vertical="center"/>
    </xf>
    <xf numFmtId="0" fontId="1" fillId="22" borderId="3">
      <alignment horizontal="center" vertical="center" textRotation="90" readingOrder="2"/>
    </xf>
    <xf numFmtId="0" fontId="34" fillId="32" borderId="3">
      <alignment horizontal="right" vertical="center"/>
    </xf>
    <xf numFmtId="0" fontId="34" fillId="26" borderId="3">
      <alignment horizontal="right" vertical="center"/>
    </xf>
    <xf numFmtId="0" fontId="31" fillId="35" borderId="3"/>
    <xf numFmtId="0" fontId="31" fillId="0" borderId="3" applyNumberFormat="0" applyFill="0" applyAlignment="0" applyProtection="0"/>
    <xf numFmtId="0" fontId="34" fillId="32" borderId="3">
      <alignment horizontal="right" vertical="center"/>
    </xf>
    <xf numFmtId="0" fontId="35" fillId="26" borderId="3">
      <alignment horizontal="right" vertical="center"/>
    </xf>
    <xf numFmtId="0" fontId="18" fillId="27" borderId="3" applyNumberFormat="0" applyBorder="0" applyAlignment="0"/>
    <xf numFmtId="0" fontId="34" fillId="32" borderId="3">
      <alignment horizontal="right" vertical="center"/>
    </xf>
    <xf numFmtId="0" fontId="18" fillId="27" borderId="3" applyNumberFormat="0" applyBorder="0" applyAlignment="0"/>
    <xf numFmtId="0" fontId="34" fillId="26" borderId="3">
      <alignment horizontal="right" vertical="center"/>
    </xf>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31" fillId="0" borderId="3">
      <alignment horizontal="right" vertical="center"/>
    </xf>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34" fillId="32" borderId="3">
      <alignment horizontal="right" vertical="center"/>
    </xf>
    <xf numFmtId="0" fontId="34" fillId="26" borderId="3">
      <alignment horizontal="right" vertical="center"/>
    </xf>
    <xf numFmtId="0" fontId="35" fillId="26" borderId="3">
      <alignment horizontal="right" vertical="center"/>
    </xf>
    <xf numFmtId="0" fontId="18" fillId="27" borderId="3" applyNumberFormat="0" applyBorder="0" applyAlignment="0"/>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34" fillId="26" borderId="3">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31" fillId="0" borderId="3">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35" fillId="26" borderId="3">
      <alignment horizontal="right" vertical="center"/>
    </xf>
    <xf numFmtId="0" fontId="31" fillId="0" borderId="3" applyNumberFormat="0" applyFill="0" applyAlignment="0" applyProtection="0"/>
    <xf numFmtId="0" fontId="31" fillId="0" borderId="3" applyNumberFormat="0" applyFill="0" applyAlignment="0" applyProtection="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8" fillId="27" borderId="3" applyNumberFormat="0" applyBorder="0" applyAlignment="0"/>
    <xf numFmtId="0" fontId="31" fillId="32" borderId="28">
      <alignment horizontal="left" vertical="center" wrapText="1" indent="2"/>
    </xf>
    <xf numFmtId="0" fontId="34" fillId="26" borderId="3">
      <alignment horizontal="right" vertical="center"/>
    </xf>
    <xf numFmtId="0" fontId="1" fillId="22" borderId="3">
      <alignment horizontal="center" vertical="center" textRotation="90" readingOrder="2"/>
    </xf>
    <xf numFmtId="0" fontId="34" fillId="32" borderId="3">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34" fillId="32" borderId="3">
      <alignment horizontal="right" vertical="center"/>
    </xf>
    <xf numFmtId="49" fontId="31" fillId="0" borderId="3" applyNumberFormat="0" applyFont="0" applyFill="0" applyBorder="0" applyProtection="0">
      <alignment horizontal="left" vertical="center" indent="2"/>
    </xf>
    <xf numFmtId="0" fontId="18" fillId="27" borderId="3" applyNumberFormat="0" applyBorder="0" applyAlignment="0"/>
    <xf numFmtId="0" fontId="31" fillId="26" borderId="14">
      <alignment horizontal="left" vertical="center"/>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31" fillId="35" borderId="3"/>
    <xf numFmtId="0" fontId="31" fillId="0" borderId="28">
      <alignment horizontal="left" vertical="center" wrapText="1" indent="2"/>
    </xf>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34" fillId="32" borderId="26">
      <alignment horizontal="right" vertical="center"/>
    </xf>
    <xf numFmtId="0" fontId="34" fillId="32" borderId="3">
      <alignment horizontal="right" vertical="center"/>
    </xf>
    <xf numFmtId="0" fontId="34" fillId="26" borderId="3">
      <alignment horizontal="right" vertical="center"/>
    </xf>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34" fillId="26" borderId="3">
      <alignment horizontal="right" vertical="center"/>
    </xf>
    <xf numFmtId="0" fontId="35" fillId="26" borderId="3">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49" fontId="31" fillId="0" borderId="3" applyNumberFormat="0" applyFont="0" applyFill="0" applyBorder="0" applyProtection="0">
      <alignment horizontal="left" vertical="center" indent="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34" fillId="32" borderId="26">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34" fillId="32" borderId="14">
      <alignment horizontal="right" vertical="center"/>
    </xf>
    <xf numFmtId="0" fontId="34" fillId="32" borderId="26">
      <alignment horizontal="right" vertical="center"/>
    </xf>
    <xf numFmtId="0" fontId="31" fillId="32" borderId="28">
      <alignment horizontal="left" vertical="center" wrapText="1" indent="2"/>
    </xf>
    <xf numFmtId="0" fontId="31" fillId="0" borderId="28">
      <alignment horizontal="left" vertical="center" wrapText="1" indent="2"/>
    </xf>
    <xf numFmtId="0" fontId="31" fillId="26" borderId="14">
      <alignment horizontal="left" vertical="center"/>
    </xf>
    <xf numFmtId="0" fontId="31" fillId="0" borderId="3">
      <alignment horizontal="right" vertical="center"/>
    </xf>
    <xf numFmtId="0" fontId="31" fillId="0" borderId="3" applyNumberFormat="0" applyFill="0" applyAlignment="0" applyProtection="0"/>
    <xf numFmtId="0" fontId="31" fillId="35" borderId="3"/>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31" fillId="0" borderId="3" applyNumberFormat="0" applyFill="0" applyAlignment="0" applyProtection="0"/>
    <xf numFmtId="0" fontId="18" fillId="27" borderId="3" applyNumberFormat="0" applyBorder="0" applyAlignment="0"/>
    <xf numFmtId="0" fontId="34" fillId="32" borderId="3">
      <alignment horizontal="right" vertical="center"/>
    </xf>
    <xf numFmtId="0" fontId="34" fillId="32" borderId="14">
      <alignment horizontal="right" vertical="center"/>
    </xf>
    <xf numFmtId="0" fontId="34" fillId="32" borderId="26">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31" fillId="32" borderId="28">
      <alignment horizontal="left" vertical="center" wrapText="1" indent="2"/>
    </xf>
    <xf numFmtId="0" fontId="31" fillId="0" borderId="28">
      <alignment horizontal="left" vertical="center" wrapText="1" indent="2"/>
    </xf>
    <xf numFmtId="0" fontId="31" fillId="26" borderId="14">
      <alignment horizontal="left" vertical="center"/>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34" fillId="32" borderId="3">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8" fillId="27" borderId="3" applyNumberFormat="0" applyBorder="0" applyAlignment="0"/>
    <xf numFmtId="49" fontId="31" fillId="0" borderId="3" applyNumberFormat="0" applyFont="0" applyFill="0" applyBorder="0" applyProtection="0">
      <alignment horizontal="left" vertical="center" indent="2"/>
    </xf>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31" fillId="0" borderId="3">
      <alignment horizontal="right" vertical="center"/>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35" fillId="26" borderId="3">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31" fillId="0" borderId="3">
      <alignment horizontal="right" vertical="center"/>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49" fontId="31" fillId="0" borderId="3" applyNumberFormat="0" applyFont="0" applyFill="0" applyBorder="0" applyProtection="0">
      <alignment horizontal="left" vertical="center" indent="2"/>
    </xf>
    <xf numFmtId="0" fontId="1" fillId="22" borderId="3">
      <alignment horizontal="center" vertical="center" textRotation="90" readingOrder="2"/>
    </xf>
    <xf numFmtId="0" fontId="34" fillId="32" borderId="14">
      <alignment horizontal="right" vertical="center"/>
    </xf>
    <xf numFmtId="0" fontId="1" fillId="22" borderId="3">
      <alignment horizontal="center" vertical="center" textRotation="90" readingOrder="2"/>
    </xf>
    <xf numFmtId="0" fontId="31" fillId="0" borderId="28">
      <alignment horizontal="left" vertical="center" wrapText="1" indent="2"/>
    </xf>
    <xf numFmtId="0" fontId="31" fillId="35" borderId="3"/>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31" fillId="26" borderId="14">
      <alignment horizontal="left" vertical="center"/>
    </xf>
    <xf numFmtId="0" fontId="1" fillId="22" borderId="3">
      <alignment horizontal="center" vertical="center" textRotation="90" readingOrder="2"/>
    </xf>
    <xf numFmtId="0" fontId="1" fillId="22" borderId="3">
      <alignment horizontal="center" vertical="center" textRotation="90" readingOrder="2"/>
    </xf>
    <xf numFmtId="0" fontId="31" fillId="35" borderId="3"/>
    <xf numFmtId="0" fontId="1" fillId="22" borderId="3">
      <alignment horizontal="center" vertical="center" textRotation="90" readingOrder="2"/>
    </xf>
    <xf numFmtId="0" fontId="18" fillId="27" borderId="3" applyNumberFormat="0" applyBorder="0" applyAlignment="0"/>
    <xf numFmtId="0" fontId="34" fillId="32" borderId="14">
      <alignment horizontal="right" vertical="center"/>
    </xf>
    <xf numFmtId="0" fontId="34" fillId="32" borderId="26">
      <alignment horizontal="right" vertical="center"/>
    </xf>
    <xf numFmtId="0" fontId="31" fillId="32" borderId="28">
      <alignment horizontal="left" vertical="center" wrapText="1" indent="2"/>
    </xf>
    <xf numFmtId="0" fontId="31" fillId="0" borderId="28">
      <alignment horizontal="left" vertical="center" wrapText="1" indent="2"/>
    </xf>
    <xf numFmtId="0" fontId="31" fillId="26" borderId="14">
      <alignment horizontal="left" vertical="center"/>
    </xf>
    <xf numFmtId="0" fontId="1" fillId="22" borderId="3">
      <alignment horizontal="center" vertical="center" textRotation="90" readingOrder="2"/>
    </xf>
    <xf numFmtId="0" fontId="18" fillId="27" borderId="3" applyNumberFormat="0" applyBorder="0" applyAlignment="0"/>
    <xf numFmtId="0" fontId="35" fillId="26" borderId="3">
      <alignment horizontal="right" vertical="center"/>
    </xf>
    <xf numFmtId="0" fontId="34" fillId="32" borderId="3">
      <alignment horizontal="right" vertical="center"/>
    </xf>
    <xf numFmtId="0" fontId="34" fillId="32" borderId="3">
      <alignment horizontal="right" vertical="center"/>
    </xf>
    <xf numFmtId="0" fontId="1" fillId="22" borderId="3">
      <alignment horizontal="center" vertical="center" textRotation="90" readingOrder="2"/>
    </xf>
    <xf numFmtId="0" fontId="35" fillId="26" borderId="3">
      <alignment horizontal="right" vertical="center"/>
    </xf>
    <xf numFmtId="0" fontId="1" fillId="22" borderId="3">
      <alignment horizontal="center" vertical="center" textRotation="90" readingOrder="2"/>
    </xf>
    <xf numFmtId="0" fontId="31" fillId="0" borderId="3">
      <alignment horizontal="right" vertical="center"/>
    </xf>
    <xf numFmtId="0" fontId="31" fillId="0" borderId="3" applyNumberFormat="0" applyFill="0" applyAlignment="0" applyProtection="0"/>
    <xf numFmtId="0" fontId="31" fillId="35" borderId="3"/>
    <xf numFmtId="0" fontId="1" fillId="22" borderId="3">
      <alignment horizontal="center" vertical="center" textRotation="90" readingOrder="2"/>
    </xf>
    <xf numFmtId="0" fontId="31" fillId="0" borderId="3" applyNumberFormat="0" applyFill="0" applyAlignment="0" applyProtection="0"/>
    <xf numFmtId="0" fontId="18" fillId="27" borderId="3" applyNumberFormat="0" applyBorder="0" applyAlignment="0"/>
    <xf numFmtId="0" fontId="1" fillId="22" borderId="3">
      <alignment horizontal="center" vertical="center" textRotation="90" readingOrder="2"/>
    </xf>
    <xf numFmtId="0" fontId="34" fillId="32" borderId="3">
      <alignment horizontal="right" vertical="center"/>
    </xf>
    <xf numFmtId="0" fontId="1" fillId="22" borderId="3">
      <alignment horizontal="center" vertical="center" textRotation="90" readingOrder="2"/>
    </xf>
    <xf numFmtId="0" fontId="31" fillId="32" borderId="28">
      <alignment horizontal="left" vertical="center" wrapText="1" indent="2"/>
    </xf>
    <xf numFmtId="0" fontId="1" fillId="22" borderId="3">
      <alignment horizontal="center" vertical="center" textRotation="90" readingOrder="2"/>
    </xf>
    <xf numFmtId="0" fontId="18" fillId="27" borderId="3" applyNumberFormat="0" applyBorder="0" applyAlignment="0"/>
    <xf numFmtId="0" fontId="31" fillId="0" borderId="3">
      <alignment horizontal="right" vertical="center"/>
    </xf>
    <xf numFmtId="0" fontId="18" fillId="27" borderId="3" applyNumberFormat="0" applyBorder="0" applyAlignment="0"/>
    <xf numFmtId="49" fontId="31" fillId="0" borderId="3" applyNumberFormat="0" applyFont="0" applyFill="0" applyBorder="0" applyProtection="0">
      <alignment horizontal="left" vertical="center" indent="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1" fillId="22" borderId="3">
      <alignment horizontal="center" vertical="center" textRotation="90" readingOrder="2"/>
    </xf>
    <xf numFmtId="0" fontId="34" fillId="26" borderId="3">
      <alignment horizontal="right" vertical="center"/>
    </xf>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8" fillId="27" borderId="3" applyNumberFormat="0" applyBorder="0" applyAlignment="0"/>
    <xf numFmtId="0" fontId="18" fillId="27" borderId="3" applyNumberFormat="0" applyBorder="0" applyAlignment="0"/>
    <xf numFmtId="0" fontId="31" fillId="26" borderId="14">
      <alignment horizontal="left" vertical="center"/>
    </xf>
    <xf numFmtId="0" fontId="1" fillId="22" borderId="3">
      <alignment horizontal="center" vertical="center" textRotation="90" readingOrder="2"/>
    </xf>
    <xf numFmtId="0" fontId="18" fillId="27" borderId="3" applyNumberFormat="0" applyBorder="0" applyAlignment="0"/>
    <xf numFmtId="0" fontId="34" fillId="32" borderId="26">
      <alignment horizontal="right" vertical="center"/>
    </xf>
    <xf numFmtId="0" fontId="34" fillId="32" borderId="3">
      <alignment horizontal="right" vertical="center"/>
    </xf>
    <xf numFmtId="0" fontId="34" fillId="32" borderId="14">
      <alignment horizontal="right" vertical="center"/>
    </xf>
    <xf numFmtId="0" fontId="1" fillId="22" borderId="3">
      <alignment horizontal="center" vertical="center" textRotation="90" readingOrder="2"/>
    </xf>
    <xf numFmtId="0" fontId="18" fillId="27" borderId="3" applyNumberFormat="0" applyBorder="0" applyAlignment="0"/>
    <xf numFmtId="0" fontId="1" fillId="22" borderId="3">
      <alignment horizontal="center" vertical="center" textRotation="90" readingOrder="2"/>
    </xf>
    <xf numFmtId="0" fontId="31" fillId="0" borderId="3">
      <alignment horizontal="right" vertical="center"/>
    </xf>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1" fillId="22" borderId="3">
      <alignment horizontal="center" vertical="center" textRotation="90" readingOrder="2"/>
    </xf>
    <xf numFmtId="0" fontId="1" fillId="22" borderId="3">
      <alignment horizontal="center" vertical="center" textRotation="90" readingOrder="2"/>
    </xf>
    <xf numFmtId="0" fontId="31" fillId="35" borderId="3"/>
    <xf numFmtId="0" fontId="1" fillId="22" borderId="3">
      <alignment horizontal="center" vertical="center" textRotation="90" readingOrder="2"/>
    </xf>
    <xf numFmtId="49" fontId="31" fillId="0" borderId="3" applyNumberFormat="0" applyFont="0" applyFill="0" applyBorder="0" applyProtection="0">
      <alignment horizontal="left" vertical="center" indent="2"/>
    </xf>
    <xf numFmtId="0" fontId="35" fillId="26" borderId="3">
      <alignment horizontal="right" vertical="center"/>
    </xf>
    <xf numFmtId="0" fontId="31" fillId="0" borderId="3" applyNumberFormat="0" applyFill="0" applyAlignment="0" applyProtection="0"/>
    <xf numFmtId="0" fontId="34" fillId="32" borderId="3">
      <alignment horizontal="right" vertical="center"/>
    </xf>
    <xf numFmtId="0" fontId="18" fillId="27" borderId="3" applyNumberFormat="0" applyBorder="0" applyAlignment="0"/>
    <xf numFmtId="0" fontId="1" fillId="22" borderId="3">
      <alignment horizontal="center" vertical="center" textRotation="90" readingOrder="2"/>
    </xf>
    <xf numFmtId="0" fontId="18" fillId="27" borderId="3" applyNumberFormat="0" applyBorder="0" applyAlignment="0"/>
    <xf numFmtId="0" fontId="18" fillId="27" borderId="3" applyNumberFormat="0" applyBorder="0" applyAlignment="0"/>
    <xf numFmtId="0" fontId="34" fillId="32" borderId="3">
      <alignment horizontal="right" vertical="center"/>
    </xf>
    <xf numFmtId="0" fontId="34" fillId="32" borderId="3">
      <alignment horizontal="right" vertical="center"/>
    </xf>
    <xf numFmtId="0" fontId="31" fillId="0" borderId="3">
      <alignment horizontal="right" vertical="center"/>
    </xf>
    <xf numFmtId="0" fontId="31" fillId="0" borderId="3" applyNumberFormat="0" applyFill="0" applyAlignment="0" applyProtection="0"/>
    <xf numFmtId="0" fontId="31" fillId="35" borderId="3"/>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0" fontId="34" fillId="32" borderId="14">
      <alignment horizontal="right" vertical="center"/>
    </xf>
    <xf numFmtId="164" fontId="18" fillId="0" borderId="0" applyFont="0" applyFill="0" applyBorder="0" applyAlignment="0" applyProtection="0"/>
    <xf numFmtId="0" fontId="31" fillId="26" borderId="14">
      <alignment horizontal="left" vertical="center"/>
    </xf>
    <xf numFmtId="0" fontId="34" fillId="32" borderId="14">
      <alignment horizontal="right" vertical="center"/>
    </xf>
    <xf numFmtId="0" fontId="31" fillId="26" borderId="14">
      <alignment horizontal="left" vertical="center"/>
    </xf>
    <xf numFmtId="0" fontId="34" fillId="32" borderId="14">
      <alignment horizontal="right" vertical="center"/>
    </xf>
    <xf numFmtId="0" fontId="31" fillId="26" borderId="14">
      <alignment horizontal="left" vertical="center"/>
    </xf>
    <xf numFmtId="0" fontId="34" fillId="32" borderId="14">
      <alignment horizontal="right" vertical="center"/>
    </xf>
    <xf numFmtId="0" fontId="31" fillId="26" borderId="14">
      <alignment horizontal="left" vertical="center"/>
    </xf>
    <xf numFmtId="0" fontId="34" fillId="32" borderId="14">
      <alignment horizontal="right" vertical="center"/>
    </xf>
    <xf numFmtId="0" fontId="31" fillId="26" borderId="14">
      <alignment horizontal="left" vertical="center"/>
    </xf>
    <xf numFmtId="0" fontId="1" fillId="10" borderId="0"/>
    <xf numFmtId="0" fontId="34" fillId="32" borderId="14">
      <alignment horizontal="right" vertical="center"/>
    </xf>
    <xf numFmtId="0" fontId="31" fillId="26" borderId="14">
      <alignment horizontal="left" vertical="center"/>
    </xf>
    <xf numFmtId="0" fontId="34" fillId="32" borderId="14">
      <alignment horizontal="right" vertical="center"/>
    </xf>
    <xf numFmtId="0" fontId="31" fillId="26" borderId="14">
      <alignment horizontal="left" vertical="center"/>
    </xf>
    <xf numFmtId="0" fontId="34" fillId="32" borderId="14">
      <alignment horizontal="right" vertical="center"/>
    </xf>
    <xf numFmtId="0" fontId="31" fillId="26" borderId="14">
      <alignment horizontal="left" vertical="center"/>
    </xf>
    <xf numFmtId="0" fontId="34" fillId="32" borderId="14">
      <alignment horizontal="right" vertical="center"/>
    </xf>
    <xf numFmtId="0" fontId="31" fillId="26" borderId="14">
      <alignment horizontal="left" vertical="center"/>
    </xf>
    <xf numFmtId="0" fontId="31" fillId="26" borderId="14">
      <alignment horizontal="left" vertical="center"/>
    </xf>
    <xf numFmtId="0" fontId="34" fillId="32" borderId="14">
      <alignment horizontal="right" vertical="center"/>
    </xf>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34" fillId="32" borderId="14">
      <alignment horizontal="right" vertical="center"/>
    </xf>
    <xf numFmtId="0" fontId="31" fillId="26" borderId="14">
      <alignment horizontal="left" vertical="center"/>
    </xf>
    <xf numFmtId="0" fontId="34" fillId="32" borderId="14">
      <alignment horizontal="right" vertical="center"/>
    </xf>
    <xf numFmtId="0" fontId="31" fillId="26" borderId="14">
      <alignment horizontal="left" vertical="center"/>
    </xf>
    <xf numFmtId="0" fontId="34" fillId="32" borderId="14">
      <alignment horizontal="right" vertical="center"/>
    </xf>
    <xf numFmtId="0" fontId="31" fillId="26" borderId="14">
      <alignment horizontal="left" vertical="center"/>
    </xf>
    <xf numFmtId="0" fontId="34" fillId="32" borderId="14">
      <alignment horizontal="right" vertical="center"/>
    </xf>
    <xf numFmtId="0" fontId="31" fillId="26" borderId="14">
      <alignment horizontal="left" vertical="center"/>
    </xf>
    <xf numFmtId="0" fontId="34" fillId="32" borderId="14">
      <alignment horizontal="right" vertical="center"/>
    </xf>
    <xf numFmtId="0" fontId="31" fillId="26" borderId="14">
      <alignment horizontal="left" vertical="center"/>
    </xf>
    <xf numFmtId="0" fontId="34" fillId="32" borderId="14">
      <alignment horizontal="right" vertical="center"/>
    </xf>
    <xf numFmtId="0" fontId="31" fillId="26" borderId="14">
      <alignment horizontal="left" vertical="center"/>
    </xf>
    <xf numFmtId="0" fontId="34" fillId="32" borderId="14">
      <alignment horizontal="right" vertical="center"/>
    </xf>
    <xf numFmtId="0" fontId="31" fillId="26" borderId="14">
      <alignment horizontal="left" vertical="center"/>
    </xf>
    <xf numFmtId="0" fontId="34" fillId="32" borderId="14">
      <alignment horizontal="right" vertical="center"/>
    </xf>
    <xf numFmtId="0" fontId="31" fillId="26" borderId="14">
      <alignment horizontal="left" vertical="center"/>
    </xf>
    <xf numFmtId="0" fontId="34" fillId="32" borderId="14">
      <alignment horizontal="right" vertical="center"/>
    </xf>
    <xf numFmtId="0" fontId="31" fillId="26" borderId="14">
      <alignment horizontal="left" vertical="center"/>
    </xf>
    <xf numFmtId="0" fontId="31" fillId="26" borderId="14">
      <alignment horizontal="left" vertical="center"/>
    </xf>
    <xf numFmtId="0" fontId="34" fillId="32" borderId="14">
      <alignment horizontal="right" vertical="center"/>
    </xf>
    <xf numFmtId="0" fontId="1"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8" fillId="0" borderId="0"/>
    <xf numFmtId="0" fontId="1" fillId="0" borderId="0"/>
    <xf numFmtId="0" fontId="1" fillId="0" borderId="0"/>
    <xf numFmtId="0" fontId="1" fillId="0" borderId="0"/>
    <xf numFmtId="0" fontId="1" fillId="0" borderId="0"/>
    <xf numFmtId="0" fontId="1" fillId="0" borderId="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 fillId="22" borderId="31">
      <alignment horizontal="center" vertical="center" textRotation="90" readingOrder="2"/>
    </xf>
    <xf numFmtId="0" fontId="34" fillId="32" borderId="33">
      <alignment horizontal="right" vertical="center"/>
    </xf>
    <xf numFmtId="0" fontId="18" fillId="27" borderId="33" applyNumberFormat="0" applyBorder="0" applyAlignment="0"/>
    <xf numFmtId="0" fontId="18" fillId="27" borderId="31" applyNumberFormat="0" applyBorder="0" applyAlignment="0"/>
    <xf numFmtId="0" fontId="18" fillId="27" borderId="31"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1">
      <alignment horizontal="center" vertical="center" textRotation="90" readingOrder="2"/>
    </xf>
    <xf numFmtId="0" fontId="34" fillId="32" borderId="33">
      <alignment horizontal="right" vertical="center"/>
    </xf>
    <xf numFmtId="0" fontId="18" fillId="27" borderId="31" applyNumberFormat="0" applyBorder="0" applyAlignment="0"/>
    <xf numFmtId="0" fontId="1" fillId="22" borderId="31">
      <alignment horizontal="center" vertical="center" textRotation="90" readingOrder="2"/>
    </xf>
    <xf numFmtId="0" fontId="34" fillId="26" borderId="33">
      <alignment horizontal="right" vertical="center"/>
    </xf>
    <xf numFmtId="0" fontId="1" fillId="22" borderId="31">
      <alignment horizontal="center" vertical="center" textRotation="90" readingOrder="2"/>
    </xf>
    <xf numFmtId="0" fontId="35" fillId="26" borderId="33">
      <alignment horizontal="right" vertical="center"/>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49" fontId="31" fillId="0" borderId="31" applyNumberFormat="0" applyFont="0" applyFill="0" applyBorder="0" applyProtection="0">
      <alignment horizontal="left" vertical="center" indent="2"/>
    </xf>
    <xf numFmtId="0" fontId="34" fillId="26" borderId="31">
      <alignment horizontal="right" vertical="center"/>
    </xf>
    <xf numFmtId="0" fontId="35" fillId="26" borderId="31">
      <alignment horizontal="right" vertical="center"/>
    </xf>
    <xf numFmtId="0" fontId="34" fillId="32" borderId="31">
      <alignment horizontal="right" vertical="center"/>
    </xf>
    <xf numFmtId="0" fontId="34" fillId="32" borderId="31">
      <alignment horizontal="right" vertical="center"/>
    </xf>
    <xf numFmtId="0" fontId="34" fillId="32" borderId="32">
      <alignment horizontal="right" vertical="center"/>
    </xf>
    <xf numFmtId="49" fontId="31" fillId="0" borderId="33" applyNumberFormat="0" applyFont="0" applyFill="0" applyBorder="0" applyProtection="0">
      <alignment horizontal="left" vertical="center" indent="2"/>
    </xf>
    <xf numFmtId="0" fontId="18" fillId="27" borderId="33" applyNumberFormat="0" applyBorder="0" applyAlignment="0"/>
    <xf numFmtId="0" fontId="31" fillId="26" borderId="32">
      <alignment horizontal="left" vertical="center"/>
    </xf>
    <xf numFmtId="0" fontId="31" fillId="0" borderId="31">
      <alignment horizontal="right" vertical="center"/>
    </xf>
    <xf numFmtId="0" fontId="31" fillId="0" borderId="31" applyNumberFormat="0" applyFill="0" applyAlignment="0" applyProtection="0"/>
    <xf numFmtId="0" fontId="31" fillId="35" borderId="31"/>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49" fontId="31" fillId="0" borderId="31" applyNumberFormat="0" applyFont="0" applyFill="0" applyBorder="0" applyProtection="0">
      <alignment horizontal="left" vertical="center" indent="2"/>
    </xf>
    <xf numFmtId="0" fontId="34" fillId="26" borderId="31">
      <alignment horizontal="right" vertical="center"/>
    </xf>
    <xf numFmtId="0" fontId="35" fillId="26" borderId="31">
      <alignment horizontal="right" vertical="center"/>
    </xf>
    <xf numFmtId="0" fontId="34" fillId="32" borderId="31">
      <alignment horizontal="right" vertical="center"/>
    </xf>
    <xf numFmtId="0" fontId="34" fillId="32" borderId="31">
      <alignment horizontal="right" vertical="center"/>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31" fillId="0" borderId="31">
      <alignment horizontal="right" vertical="center"/>
    </xf>
    <xf numFmtId="0" fontId="31" fillId="0" borderId="31" applyNumberFormat="0" applyFill="0" applyAlignment="0" applyProtection="0"/>
    <xf numFmtId="0" fontId="31" fillId="35" borderId="31"/>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49" fontId="31" fillId="0" borderId="31" applyNumberFormat="0" applyFont="0" applyFill="0" applyBorder="0" applyProtection="0">
      <alignment horizontal="left" vertical="center" indent="2"/>
    </xf>
    <xf numFmtId="0" fontId="34" fillId="26" borderId="31">
      <alignment horizontal="right" vertical="center"/>
    </xf>
    <xf numFmtId="0" fontId="35" fillId="26" borderId="31">
      <alignment horizontal="right" vertical="center"/>
    </xf>
    <xf numFmtId="0" fontId="34" fillId="32" borderId="31">
      <alignment horizontal="right" vertical="center"/>
    </xf>
    <xf numFmtId="0" fontId="34" fillId="32" borderId="31">
      <alignment horizontal="right" vertical="center"/>
    </xf>
    <xf numFmtId="0" fontId="34" fillId="32" borderId="32">
      <alignment horizontal="right" vertical="center"/>
    </xf>
    <xf numFmtId="0" fontId="31" fillId="26" borderId="32">
      <alignment horizontal="left" vertical="center"/>
    </xf>
    <xf numFmtId="0" fontId="31" fillId="0" borderId="31">
      <alignment horizontal="right" vertical="center"/>
    </xf>
    <xf numFmtId="0" fontId="31" fillId="0" borderId="31" applyNumberFormat="0" applyFill="0" applyAlignment="0" applyProtection="0"/>
    <xf numFmtId="0" fontId="31" fillId="35" borderId="31"/>
    <xf numFmtId="0" fontId="18" fillId="27" borderId="31" applyNumberFormat="0" applyBorder="0" applyAlignment="0"/>
    <xf numFmtId="0" fontId="34" fillId="32" borderId="31">
      <alignment horizontal="right" vertical="center"/>
    </xf>
    <xf numFmtId="0" fontId="34" fillId="26" borderId="31">
      <alignment horizontal="right" vertical="center"/>
    </xf>
    <xf numFmtId="0" fontId="18" fillId="27" borderId="31" applyNumberFormat="0" applyBorder="0" applyAlignment="0"/>
    <xf numFmtId="49" fontId="31" fillId="0" borderId="31" applyNumberFormat="0" applyFont="0" applyFill="0" applyBorder="0" applyProtection="0">
      <alignment horizontal="left" vertical="center" indent="2"/>
    </xf>
    <xf numFmtId="0" fontId="1" fillId="22" borderId="31">
      <alignment horizontal="center" vertical="center" textRotation="90" readingOrder="2"/>
    </xf>
    <xf numFmtId="0" fontId="1" fillId="22" borderId="31">
      <alignment horizontal="center" vertical="center" textRotation="90" readingOrder="2"/>
    </xf>
    <xf numFmtId="0" fontId="34" fillId="32" borderId="31">
      <alignment horizontal="right" vertical="center"/>
    </xf>
    <xf numFmtId="0" fontId="18" fillId="27" borderId="31" applyNumberFormat="0" applyBorder="0" applyAlignment="0"/>
    <xf numFmtId="0" fontId="31" fillId="0" borderId="31" applyNumberFormat="0" applyFill="0" applyAlignment="0" applyProtection="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34" fillId="26" borderId="31">
      <alignment horizontal="right" vertical="center"/>
    </xf>
    <xf numFmtId="0" fontId="18" fillId="27" borderId="31" applyNumberFormat="0" applyBorder="0" applyAlignment="0"/>
    <xf numFmtId="0" fontId="18" fillId="27" borderId="31" applyNumberFormat="0" applyBorder="0" applyAlignment="0"/>
    <xf numFmtId="0" fontId="31" fillId="35" borderId="31"/>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49" fontId="31" fillId="0" borderId="31" applyNumberFormat="0" applyFont="0" applyFill="0" applyBorder="0" applyProtection="0">
      <alignment horizontal="left" vertical="center" indent="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35" fillId="26" borderId="31">
      <alignment horizontal="right" vertical="center"/>
    </xf>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34" fillId="32" borderId="31">
      <alignment horizontal="right" vertical="center"/>
    </xf>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49" fontId="31" fillId="0" borderId="31" applyNumberFormat="0" applyFont="0" applyFill="0" applyBorder="0" applyProtection="0">
      <alignment horizontal="left" vertical="center" indent="2"/>
    </xf>
    <xf numFmtId="0" fontId="35" fillId="26" borderId="31">
      <alignment horizontal="right" vertical="center"/>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35" fillId="26" borderId="31">
      <alignment horizontal="right" vertical="center"/>
    </xf>
    <xf numFmtId="0" fontId="34" fillId="26" borderId="31">
      <alignment horizontal="right" vertical="center"/>
    </xf>
    <xf numFmtId="0" fontId="35" fillId="26" borderId="31">
      <alignment horizontal="right" vertical="center"/>
    </xf>
    <xf numFmtId="0" fontId="34" fillId="32" borderId="31">
      <alignment horizontal="right" vertical="center"/>
    </xf>
    <xf numFmtId="0" fontId="34" fillId="32" borderId="31">
      <alignment horizontal="right" vertical="center"/>
    </xf>
    <xf numFmtId="0" fontId="34" fillId="32" borderId="32">
      <alignment horizontal="right" vertical="center"/>
    </xf>
    <xf numFmtId="0" fontId="1" fillId="22" borderId="33">
      <alignment horizontal="center" vertical="center" textRotation="90" readingOrder="2"/>
    </xf>
    <xf numFmtId="0" fontId="1" fillId="22" borderId="31">
      <alignment horizontal="center" vertical="center" textRotation="90" readingOrder="2"/>
    </xf>
    <xf numFmtId="0" fontId="31" fillId="26" borderId="32">
      <alignment horizontal="left" vertical="center"/>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31" fillId="0" borderId="31">
      <alignment horizontal="right" vertical="center"/>
    </xf>
    <xf numFmtId="0" fontId="1" fillId="22" borderId="31">
      <alignment horizontal="center" vertical="center" textRotation="90" readingOrder="2"/>
    </xf>
    <xf numFmtId="0" fontId="1" fillId="22" borderId="31">
      <alignment horizontal="center" vertical="center" textRotation="90" readingOrder="2"/>
    </xf>
    <xf numFmtId="0" fontId="31" fillId="0" borderId="31" applyNumberFormat="0" applyFill="0" applyAlignment="0" applyProtection="0"/>
    <xf numFmtId="49" fontId="31" fillId="0" borderId="31" applyNumberFormat="0" applyFont="0" applyFill="0" applyBorder="0" applyProtection="0">
      <alignment horizontal="left" vertical="center" indent="2"/>
    </xf>
    <xf numFmtId="0" fontId="31" fillId="35" borderId="31"/>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49" fontId="31" fillId="0" borderId="31" applyNumberFormat="0" applyFont="0" applyFill="0" applyBorder="0" applyProtection="0">
      <alignment horizontal="left" vertical="center" indent="2"/>
    </xf>
    <xf numFmtId="0" fontId="34" fillId="26" borderId="31">
      <alignment horizontal="right" vertical="center"/>
    </xf>
    <xf numFmtId="0" fontId="35" fillId="26" borderId="31">
      <alignment horizontal="right" vertical="center"/>
    </xf>
    <xf numFmtId="0" fontId="34" fillId="32" borderId="31">
      <alignment horizontal="right" vertical="center"/>
    </xf>
    <xf numFmtId="0" fontId="34" fillId="32" borderId="31">
      <alignment horizontal="right" vertical="center"/>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31" fillId="0" borderId="31">
      <alignment horizontal="right" vertical="center"/>
    </xf>
    <xf numFmtId="0" fontId="31" fillId="0" borderId="31" applyNumberFormat="0" applyFill="0" applyAlignment="0" applyProtection="0"/>
    <xf numFmtId="0" fontId="31" fillId="35" borderId="31"/>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49" fontId="31" fillId="0" borderId="31" applyNumberFormat="0" applyFont="0" applyFill="0" applyBorder="0" applyProtection="0">
      <alignment horizontal="left" vertical="center" indent="2"/>
    </xf>
    <xf numFmtId="0" fontId="34" fillId="26" borderId="31">
      <alignment horizontal="right" vertical="center"/>
    </xf>
    <xf numFmtId="0" fontId="35" fillId="26" borderId="31">
      <alignment horizontal="right" vertical="center"/>
    </xf>
    <xf numFmtId="0" fontId="34" fillId="32" borderId="31">
      <alignment horizontal="right" vertical="center"/>
    </xf>
    <xf numFmtId="0" fontId="34" fillId="32" borderId="31">
      <alignment horizontal="right" vertical="center"/>
    </xf>
    <xf numFmtId="0" fontId="34" fillId="32" borderId="32">
      <alignment horizontal="right" vertical="center"/>
    </xf>
    <xf numFmtId="0" fontId="1" fillId="22" borderId="33">
      <alignment horizontal="center" vertical="center" textRotation="90" readingOrder="2"/>
    </xf>
    <xf numFmtId="0" fontId="31" fillId="26" borderId="32">
      <alignment horizontal="left" vertical="center"/>
    </xf>
    <xf numFmtId="0" fontId="31" fillId="0" borderId="31">
      <alignment horizontal="right" vertical="center"/>
    </xf>
    <xf numFmtId="0" fontId="31" fillId="0" borderId="31" applyNumberFormat="0" applyFill="0" applyAlignment="0" applyProtection="0"/>
    <xf numFmtId="0" fontId="31" fillId="35" borderId="31"/>
    <xf numFmtId="0" fontId="18" fillId="27" borderId="31" applyNumberFormat="0" applyBorder="0" applyAlignment="0"/>
    <xf numFmtId="0" fontId="31" fillId="0" borderId="31">
      <alignment horizontal="right" vertical="center"/>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8" fillId="27" borderId="31" applyNumberFormat="0" applyBorder="0" applyAlignment="0"/>
    <xf numFmtId="49" fontId="31" fillId="0" borderId="31" applyNumberFormat="0" applyFont="0" applyFill="0" applyBorder="0" applyProtection="0">
      <alignment horizontal="left" vertical="center" indent="2"/>
    </xf>
    <xf numFmtId="0" fontId="34" fillId="32" borderId="31">
      <alignment horizontal="right" vertical="center"/>
    </xf>
    <xf numFmtId="0" fontId="31" fillId="0" borderId="31" applyNumberFormat="0" applyFill="0" applyAlignment="0" applyProtection="0"/>
    <xf numFmtId="0" fontId="34" fillId="32" borderId="31">
      <alignment horizontal="right" vertical="center"/>
    </xf>
    <xf numFmtId="0" fontId="1" fillId="22" borderId="31">
      <alignment horizontal="center" vertical="center" textRotation="90" readingOrder="2"/>
    </xf>
    <xf numFmtId="0" fontId="1" fillId="22" borderId="31">
      <alignment horizontal="center" vertical="center" textRotation="90" readingOrder="2"/>
    </xf>
    <xf numFmtId="0" fontId="34" fillId="32" borderId="31">
      <alignment horizontal="right" vertical="center"/>
    </xf>
    <xf numFmtId="0" fontId="18" fillId="27" borderId="31" applyNumberFormat="0" applyBorder="0" applyAlignment="0"/>
    <xf numFmtId="0" fontId="35" fillId="26" borderId="31">
      <alignment horizontal="right" vertical="center"/>
    </xf>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49" fontId="31" fillId="0" borderId="31" applyNumberFormat="0" applyFont="0" applyFill="0" applyBorder="0" applyProtection="0">
      <alignment horizontal="left" vertical="center" indent="2"/>
    </xf>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31" fillId="0" borderId="31" applyNumberFormat="0" applyFill="0" applyAlignment="0" applyProtection="0"/>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49" fontId="31" fillId="0" borderId="31" applyNumberFormat="0" applyFont="0" applyFill="0" applyBorder="0" applyProtection="0">
      <alignment horizontal="left" vertical="center" indent="2"/>
    </xf>
    <xf numFmtId="0" fontId="34" fillId="32" borderId="31">
      <alignment horizontal="right" vertical="center"/>
    </xf>
    <xf numFmtId="0" fontId="34" fillId="26" borderId="31">
      <alignment horizontal="right" vertical="center"/>
    </xf>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31" fillId="35" borderId="31"/>
    <xf numFmtId="0" fontId="31" fillId="0" borderId="31">
      <alignment horizontal="right" vertical="center"/>
    </xf>
    <xf numFmtId="0" fontId="34" fillId="32" borderId="32">
      <alignment horizontal="right" vertical="center"/>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31" fillId="0" borderId="31">
      <alignment horizontal="right" vertical="center"/>
    </xf>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31" fillId="35" borderId="31"/>
    <xf numFmtId="0" fontId="34" fillId="26" borderId="31">
      <alignment horizontal="right" vertical="center"/>
    </xf>
    <xf numFmtId="0" fontId="31" fillId="35" borderId="31"/>
    <xf numFmtId="0" fontId="18" fillId="27" borderId="31" applyNumberFormat="0" applyBorder="0" applyAlignment="0"/>
    <xf numFmtId="0" fontId="1" fillId="22" borderId="31">
      <alignment horizontal="center" vertical="center" textRotation="90" readingOrder="2"/>
    </xf>
    <xf numFmtId="0" fontId="34" fillId="32" borderId="31">
      <alignment horizontal="right" vertical="center"/>
    </xf>
    <xf numFmtId="0" fontId="1" fillId="22" borderId="31">
      <alignment horizontal="center" vertical="center" textRotation="90" readingOrder="2"/>
    </xf>
    <xf numFmtId="0" fontId="34" fillId="32" borderId="31">
      <alignment horizontal="right" vertical="center"/>
    </xf>
    <xf numFmtId="0" fontId="34" fillId="26" borderId="31">
      <alignment horizontal="right" vertical="center"/>
    </xf>
    <xf numFmtId="0" fontId="31" fillId="35" borderId="31"/>
    <xf numFmtId="0" fontId="31" fillId="0" borderId="31" applyNumberFormat="0" applyFill="0" applyAlignment="0" applyProtection="0"/>
    <xf numFmtId="0" fontId="34" fillId="32" borderId="31">
      <alignment horizontal="right" vertical="center"/>
    </xf>
    <xf numFmtId="0" fontId="35" fillId="26" borderId="31">
      <alignment horizontal="right" vertical="center"/>
    </xf>
    <xf numFmtId="0" fontId="18" fillId="27" borderId="31" applyNumberFormat="0" applyBorder="0" applyAlignment="0"/>
    <xf numFmtId="0" fontId="34" fillId="32" borderId="31">
      <alignment horizontal="right" vertical="center"/>
    </xf>
    <xf numFmtId="0" fontId="18" fillId="27" borderId="31" applyNumberFormat="0" applyBorder="0" applyAlignment="0"/>
    <xf numFmtId="0" fontId="34" fillId="26" borderId="31">
      <alignment horizontal="right" vertical="center"/>
    </xf>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31" fillId="0" borderId="31">
      <alignment horizontal="right" vertical="center"/>
    </xf>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34" fillId="32" borderId="31">
      <alignment horizontal="right" vertical="center"/>
    </xf>
    <xf numFmtId="0" fontId="34" fillId="26" borderId="31">
      <alignment horizontal="right" vertical="center"/>
    </xf>
    <xf numFmtId="0" fontId="35" fillId="26" borderId="31">
      <alignment horizontal="right" vertical="center"/>
    </xf>
    <xf numFmtId="0" fontId="18" fillId="27" borderId="31" applyNumberFormat="0" applyBorder="0" applyAlignment="0"/>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34" fillId="26" borderId="31">
      <alignment horizontal="right" vertical="center"/>
    </xf>
    <xf numFmtId="0" fontId="1" fillId="22" borderId="31">
      <alignment horizontal="center" vertical="center" textRotation="90" readingOrder="2"/>
    </xf>
    <xf numFmtId="0" fontId="1" fillId="22" borderId="31">
      <alignment horizontal="center" vertical="center" textRotation="90" readingOrder="2"/>
    </xf>
    <xf numFmtId="0" fontId="31" fillId="0" borderId="31">
      <alignment horizontal="right" vertical="center"/>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35" fillId="26" borderId="31">
      <alignment horizontal="right" vertical="center"/>
    </xf>
    <xf numFmtId="0" fontId="31" fillId="0" borderId="31" applyNumberFormat="0" applyFill="0" applyAlignment="0" applyProtection="0"/>
    <xf numFmtId="0" fontId="31" fillId="0" borderId="31" applyNumberFormat="0" applyFill="0" applyAlignment="0" applyProtection="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8" fillId="27" borderId="31" applyNumberFormat="0" applyBorder="0" applyAlignment="0"/>
    <xf numFmtId="0" fontId="34" fillId="26" borderId="31">
      <alignment horizontal="right" vertical="center"/>
    </xf>
    <xf numFmtId="0" fontId="1" fillId="22" borderId="31">
      <alignment horizontal="center" vertical="center" textRotation="90" readingOrder="2"/>
    </xf>
    <xf numFmtId="0" fontId="34" fillId="32" borderId="31">
      <alignment horizontal="right" vertical="center"/>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34" fillId="32" borderId="31">
      <alignment horizontal="right" vertical="center"/>
    </xf>
    <xf numFmtId="49" fontId="31" fillId="0" borderId="31" applyNumberFormat="0" applyFont="0" applyFill="0" applyBorder="0" applyProtection="0">
      <alignment horizontal="left" vertical="center" indent="2"/>
    </xf>
    <xf numFmtId="0" fontId="18" fillId="27" borderId="31" applyNumberFormat="0" applyBorder="0" applyAlignment="0"/>
    <xf numFmtId="0" fontId="31" fillId="26" borderId="32">
      <alignment horizontal="left" vertical="center"/>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31" fillId="35" borderId="31"/>
    <xf numFmtId="0" fontId="18" fillId="27" borderId="33" applyNumberFormat="0" applyBorder="0" applyAlignment="0"/>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3" applyNumberFormat="0" applyBorder="0" applyAlignment="0"/>
    <xf numFmtId="0" fontId="34" fillId="32" borderId="31">
      <alignment horizontal="right" vertical="center"/>
    </xf>
    <xf numFmtId="0" fontId="34" fillId="26" borderId="31">
      <alignment horizontal="right" vertical="center"/>
    </xf>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34" fillId="26" borderId="31">
      <alignment horizontal="right" vertical="center"/>
    </xf>
    <xf numFmtId="0" fontId="35" fillId="26" borderId="31">
      <alignment horizontal="right" vertical="center"/>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49" fontId="31" fillId="0" borderId="31" applyNumberFormat="0" applyFont="0" applyFill="0" applyBorder="0" applyProtection="0">
      <alignment horizontal="left" vertical="center" indent="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3">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34" fillId="32" borderId="32">
      <alignment horizontal="right" vertical="center"/>
    </xf>
    <xf numFmtId="0" fontId="1" fillId="22" borderId="33">
      <alignment horizontal="center" vertical="center" textRotation="90" readingOrder="2"/>
    </xf>
    <xf numFmtId="0" fontId="31" fillId="26" borderId="32">
      <alignment horizontal="left" vertical="center"/>
    </xf>
    <xf numFmtId="0" fontId="31" fillId="0" borderId="31">
      <alignment horizontal="right" vertical="center"/>
    </xf>
    <xf numFmtId="0" fontId="31" fillId="0" borderId="31" applyNumberFormat="0" applyFill="0" applyAlignment="0" applyProtection="0"/>
    <xf numFmtId="0" fontId="31" fillId="35" borderId="31"/>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31" fillId="0" borderId="31" applyNumberFormat="0" applyFill="0" applyAlignment="0" applyProtection="0"/>
    <xf numFmtId="0" fontId="18" fillId="27" borderId="31" applyNumberFormat="0" applyBorder="0" applyAlignment="0"/>
    <xf numFmtId="0" fontId="34" fillId="32" borderId="31">
      <alignment horizontal="right" vertical="center"/>
    </xf>
    <xf numFmtId="0" fontId="34" fillId="32" borderId="32">
      <alignment horizontal="right" vertical="center"/>
    </xf>
    <xf numFmtId="0" fontId="18" fillId="27" borderId="33"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31" fillId="26" borderId="32">
      <alignment horizontal="left" vertical="center"/>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34" fillId="32" borderId="31">
      <alignment horizontal="right" vertical="center"/>
    </xf>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8" fillId="27" borderId="31" applyNumberFormat="0" applyBorder="0" applyAlignment="0"/>
    <xf numFmtId="49" fontId="31" fillId="0" borderId="31" applyNumberFormat="0" applyFont="0" applyFill="0" applyBorder="0" applyProtection="0">
      <alignment horizontal="left" vertical="center" indent="2"/>
    </xf>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31" fillId="0" borderId="31">
      <alignment horizontal="right" vertical="center"/>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35" fillId="26" borderId="31">
      <alignment horizontal="right" vertical="center"/>
    </xf>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31" fillId="0" borderId="31">
      <alignment horizontal="right" vertical="center"/>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49" fontId="31" fillId="0" borderId="31" applyNumberFormat="0" applyFont="0" applyFill="0" applyBorder="0" applyProtection="0">
      <alignment horizontal="left" vertical="center" indent="2"/>
    </xf>
    <xf numFmtId="0" fontId="1" fillId="22" borderId="31">
      <alignment horizontal="center" vertical="center" textRotation="90" readingOrder="2"/>
    </xf>
    <xf numFmtId="0" fontId="34" fillId="32" borderId="32">
      <alignment horizontal="right" vertical="center"/>
    </xf>
    <xf numFmtId="0" fontId="1" fillId="22" borderId="31">
      <alignment horizontal="center" vertical="center" textRotation="90" readingOrder="2"/>
    </xf>
    <xf numFmtId="0" fontId="31" fillId="35" borderId="31"/>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31" fillId="26" borderId="32">
      <alignment horizontal="left" vertical="center"/>
    </xf>
    <xf numFmtId="0" fontId="1" fillId="22" borderId="31">
      <alignment horizontal="center" vertical="center" textRotation="90" readingOrder="2"/>
    </xf>
    <xf numFmtId="0" fontId="1" fillId="22" borderId="31">
      <alignment horizontal="center" vertical="center" textRotation="90" readingOrder="2"/>
    </xf>
    <xf numFmtId="0" fontId="31" fillId="35" borderId="31"/>
    <xf numFmtId="0" fontId="1" fillId="22" borderId="31">
      <alignment horizontal="center" vertical="center" textRotation="90" readingOrder="2"/>
    </xf>
    <xf numFmtId="0" fontId="18" fillId="27" borderId="31" applyNumberFormat="0" applyBorder="0" applyAlignment="0"/>
    <xf numFmtId="0" fontId="34" fillId="32" borderId="32">
      <alignment horizontal="right" vertical="center"/>
    </xf>
    <xf numFmtId="0" fontId="1" fillId="22" borderId="33">
      <alignment horizontal="center" vertical="center" textRotation="90" readingOrder="2"/>
    </xf>
    <xf numFmtId="0" fontId="31" fillId="26" borderId="32">
      <alignment horizontal="left" vertical="center"/>
    </xf>
    <xf numFmtId="0" fontId="1" fillId="22" borderId="31">
      <alignment horizontal="center" vertical="center" textRotation="90" readingOrder="2"/>
    </xf>
    <xf numFmtId="0" fontId="18" fillId="27" borderId="31" applyNumberFormat="0" applyBorder="0" applyAlignment="0"/>
    <xf numFmtId="0" fontId="35" fillId="26" borderId="31">
      <alignment horizontal="right" vertical="center"/>
    </xf>
    <xf numFmtId="0" fontId="34" fillId="32" borderId="31">
      <alignment horizontal="right" vertical="center"/>
    </xf>
    <xf numFmtId="0" fontId="34" fillId="32" borderId="31">
      <alignment horizontal="right" vertical="center"/>
    </xf>
    <xf numFmtId="0" fontId="1" fillId="22" borderId="31">
      <alignment horizontal="center" vertical="center" textRotation="90" readingOrder="2"/>
    </xf>
    <xf numFmtId="0" fontId="35" fillId="26" borderId="31">
      <alignment horizontal="right" vertical="center"/>
    </xf>
    <xf numFmtId="0" fontId="1" fillId="22" borderId="31">
      <alignment horizontal="center" vertical="center" textRotation="90" readingOrder="2"/>
    </xf>
    <xf numFmtId="0" fontId="31" fillId="0" borderId="31">
      <alignment horizontal="right" vertical="center"/>
    </xf>
    <xf numFmtId="0" fontId="31" fillId="0" borderId="31" applyNumberFormat="0" applyFill="0" applyAlignment="0" applyProtection="0"/>
    <xf numFmtId="0" fontId="31" fillId="35" borderId="31"/>
    <xf numFmtId="0" fontId="1" fillId="22" borderId="31">
      <alignment horizontal="center" vertical="center" textRotation="90" readingOrder="2"/>
    </xf>
    <xf numFmtId="0" fontId="31" fillId="0" borderId="31" applyNumberFormat="0" applyFill="0" applyAlignment="0" applyProtection="0"/>
    <xf numFmtId="0" fontId="18" fillId="27" borderId="31" applyNumberFormat="0" applyBorder="0" applyAlignment="0"/>
    <xf numFmtId="0" fontId="1" fillId="22" borderId="31">
      <alignment horizontal="center" vertical="center" textRotation="90" readingOrder="2"/>
    </xf>
    <xf numFmtId="0" fontId="34" fillId="32" borderId="31">
      <alignment horizontal="right" vertical="center"/>
    </xf>
    <xf numFmtId="0" fontId="1" fillId="22" borderId="31">
      <alignment horizontal="center" vertical="center" textRotation="90" readingOrder="2"/>
    </xf>
    <xf numFmtId="0" fontId="1" fillId="22" borderId="31">
      <alignment horizontal="center" vertical="center" textRotation="90" readingOrder="2"/>
    </xf>
    <xf numFmtId="0" fontId="18" fillId="27" borderId="31" applyNumberFormat="0" applyBorder="0" applyAlignment="0"/>
    <xf numFmtId="0" fontId="31" fillId="0" borderId="31">
      <alignment horizontal="right" vertical="center"/>
    </xf>
    <xf numFmtId="0" fontId="18" fillId="27" borderId="31" applyNumberFormat="0" applyBorder="0" applyAlignment="0"/>
    <xf numFmtId="49" fontId="31" fillId="0" borderId="31" applyNumberFormat="0" applyFont="0" applyFill="0" applyBorder="0" applyProtection="0">
      <alignment horizontal="left" vertical="center" indent="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1" fillId="22" borderId="31">
      <alignment horizontal="center" vertical="center" textRotation="90" readingOrder="2"/>
    </xf>
    <xf numFmtId="0" fontId="34" fillId="26" borderId="31">
      <alignment horizontal="right" vertical="center"/>
    </xf>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8" fillId="27" borderId="31" applyNumberFormat="0" applyBorder="0" applyAlignment="0"/>
    <xf numFmtId="0" fontId="18" fillId="27" borderId="31" applyNumberFormat="0" applyBorder="0" applyAlignment="0"/>
    <xf numFmtId="0" fontId="31" fillId="26" borderId="32">
      <alignment horizontal="left" vertical="center"/>
    </xf>
    <xf numFmtId="0" fontId="1" fillId="22" borderId="31">
      <alignment horizontal="center" vertical="center" textRotation="90" readingOrder="2"/>
    </xf>
    <xf numFmtId="0" fontId="18" fillId="27" borderId="31" applyNumberFormat="0" applyBorder="0" applyAlignment="0"/>
    <xf numFmtId="0" fontId="1" fillId="22" borderId="33">
      <alignment horizontal="center" vertical="center" textRotation="90" readingOrder="2"/>
    </xf>
    <xf numFmtId="0" fontId="34" fillId="32" borderId="31">
      <alignment horizontal="right" vertical="center"/>
    </xf>
    <xf numFmtId="0" fontId="34" fillId="32" borderId="32">
      <alignment horizontal="right" vertical="center"/>
    </xf>
    <xf numFmtId="0" fontId="1" fillId="22" borderId="31">
      <alignment horizontal="center" vertical="center" textRotation="90" readingOrder="2"/>
    </xf>
    <xf numFmtId="0" fontId="18" fillId="27" borderId="31" applyNumberFormat="0" applyBorder="0" applyAlignment="0"/>
    <xf numFmtId="0" fontId="1" fillId="22" borderId="31">
      <alignment horizontal="center" vertical="center" textRotation="90" readingOrder="2"/>
    </xf>
    <xf numFmtId="0" fontId="31" fillId="0" borderId="31">
      <alignment horizontal="right" vertical="center"/>
    </xf>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1" fillId="22" borderId="31">
      <alignment horizontal="center" vertical="center" textRotation="90" readingOrder="2"/>
    </xf>
    <xf numFmtId="0" fontId="1" fillId="22" borderId="31">
      <alignment horizontal="center" vertical="center" textRotation="90" readingOrder="2"/>
    </xf>
    <xf numFmtId="0" fontId="31" fillId="35" borderId="31"/>
    <xf numFmtId="0" fontId="1" fillId="22" borderId="31">
      <alignment horizontal="center" vertical="center" textRotation="90" readingOrder="2"/>
    </xf>
    <xf numFmtId="49" fontId="31" fillId="0" borderId="31" applyNumberFormat="0" applyFont="0" applyFill="0" applyBorder="0" applyProtection="0">
      <alignment horizontal="left" vertical="center" indent="2"/>
    </xf>
    <xf numFmtId="0" fontId="35" fillId="26" borderId="31">
      <alignment horizontal="right" vertical="center"/>
    </xf>
    <xf numFmtId="0" fontId="31" fillId="0" borderId="31" applyNumberFormat="0" applyFill="0" applyAlignment="0" applyProtection="0"/>
    <xf numFmtId="0" fontId="34" fillId="32" borderId="31">
      <alignment horizontal="right" vertical="center"/>
    </xf>
    <xf numFmtId="0" fontId="18" fillId="27" borderId="31" applyNumberFormat="0" applyBorder="0" applyAlignment="0"/>
    <xf numFmtId="0" fontId="1" fillId="22" borderId="31">
      <alignment horizontal="center" vertical="center" textRotation="90" readingOrder="2"/>
    </xf>
    <xf numFmtId="0" fontId="18" fillId="27" borderId="31" applyNumberFormat="0" applyBorder="0" applyAlignment="0"/>
    <xf numFmtId="0" fontId="18" fillId="27" borderId="31" applyNumberFormat="0" applyBorder="0" applyAlignment="0"/>
    <xf numFmtId="0" fontId="34" fillId="32" borderId="31">
      <alignment horizontal="right" vertical="center"/>
    </xf>
    <xf numFmtId="0" fontId="34" fillId="32" borderId="31">
      <alignment horizontal="right" vertical="center"/>
    </xf>
    <xf numFmtId="0" fontId="31" fillId="0" borderId="31">
      <alignment horizontal="right" vertical="center"/>
    </xf>
    <xf numFmtId="0" fontId="31" fillId="0" borderId="31" applyNumberFormat="0" applyFill="0" applyAlignment="0" applyProtection="0"/>
    <xf numFmtId="0" fontId="31" fillId="35" borderId="31"/>
    <xf numFmtId="0" fontId="1" fillId="22" borderId="33">
      <alignment horizontal="center" vertical="center" textRotation="90" readingOrder="2"/>
    </xf>
    <xf numFmtId="0" fontId="1" fillId="22" borderId="33">
      <alignment horizontal="center" vertical="center" textRotation="90" readingOrder="2"/>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1" fillId="26" borderId="32">
      <alignment horizontal="left" vertical="center"/>
    </xf>
    <xf numFmtId="0" fontId="34" fillId="32" borderId="32">
      <alignment horizontal="right" vertical="center"/>
    </xf>
    <xf numFmtId="0" fontId="18" fillId="27" borderId="33" applyNumberFormat="0" applyBorder="0" applyAlignment="0"/>
    <xf numFmtId="0" fontId="1" fillId="22" borderId="33">
      <alignment horizontal="center" vertical="center" textRotation="90" readingOrder="2"/>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4" fillId="32" borderId="32">
      <alignment horizontal="right" vertical="center"/>
    </xf>
    <xf numFmtId="0" fontId="31" fillId="26" borderId="32">
      <alignment horizontal="left" vertical="center"/>
    </xf>
    <xf numFmtId="0" fontId="31" fillId="26" borderId="32">
      <alignment horizontal="left" vertical="center"/>
    </xf>
    <xf numFmtId="0" fontId="34" fillId="32" borderId="32">
      <alignment horizontal="right" vertical="center"/>
    </xf>
    <xf numFmtId="0" fontId="34" fillId="32" borderId="34">
      <alignment horizontal="right" vertical="center"/>
    </xf>
    <xf numFmtId="0" fontId="31" fillId="32" borderId="35">
      <alignment horizontal="left" vertical="center" wrapText="1" indent="2"/>
    </xf>
    <xf numFmtId="0" fontId="31" fillId="0" borderId="35">
      <alignment horizontal="left" vertical="center" wrapText="1" indent="2"/>
    </xf>
    <xf numFmtId="0" fontId="31" fillId="0" borderId="33">
      <alignment horizontal="right" vertical="center"/>
    </xf>
    <xf numFmtId="0" fontId="31" fillId="0" borderId="33" applyNumberFormat="0" applyFill="0" applyAlignment="0" applyProtection="0"/>
    <xf numFmtId="0" fontId="31" fillId="35" borderId="33"/>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49" fontId="31" fillId="0" borderId="33" applyNumberFormat="0" applyFont="0" applyFill="0" applyBorder="0" applyProtection="0">
      <alignment horizontal="left" vertical="center" indent="2"/>
    </xf>
    <xf numFmtId="0" fontId="34" fillId="26" borderId="33">
      <alignment horizontal="right" vertical="center"/>
    </xf>
    <xf numFmtId="0" fontId="35" fillId="26" borderId="33">
      <alignment horizontal="right" vertical="center"/>
    </xf>
    <xf numFmtId="0" fontId="34" fillId="32" borderId="33">
      <alignment horizontal="right" vertical="center"/>
    </xf>
    <xf numFmtId="0" fontId="34" fillId="32" borderId="33">
      <alignment horizontal="right" vertical="center"/>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31" fillId="0" borderId="33">
      <alignment horizontal="right" vertical="center"/>
    </xf>
    <xf numFmtId="0" fontId="31" fillId="0" borderId="33" applyNumberFormat="0" applyFill="0" applyAlignment="0" applyProtection="0"/>
    <xf numFmtId="0" fontId="31" fillId="35" borderId="33"/>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49" fontId="31" fillId="0" borderId="33" applyNumberFormat="0" applyFont="0" applyFill="0" applyBorder="0" applyProtection="0">
      <alignment horizontal="left" vertical="center" indent="2"/>
    </xf>
    <xf numFmtId="0" fontId="34" fillId="26" borderId="33">
      <alignment horizontal="right" vertical="center"/>
    </xf>
    <xf numFmtId="0" fontId="35" fillId="26" borderId="33">
      <alignment horizontal="right" vertical="center"/>
    </xf>
    <xf numFmtId="0" fontId="34" fillId="32" borderId="33">
      <alignment horizontal="right" vertical="center"/>
    </xf>
    <xf numFmtId="0" fontId="34" fillId="32" borderId="33">
      <alignment horizontal="right" vertical="center"/>
    </xf>
    <xf numFmtId="0" fontId="34" fillId="32" borderId="34">
      <alignment horizontal="right" vertical="center"/>
    </xf>
    <xf numFmtId="0" fontId="31" fillId="32" borderId="35">
      <alignment horizontal="left" vertical="center" wrapText="1" indent="2"/>
    </xf>
    <xf numFmtId="0" fontId="31" fillId="0" borderId="35">
      <alignment horizontal="left" vertical="center" wrapText="1" indent="2"/>
    </xf>
    <xf numFmtId="0" fontId="31" fillId="0" borderId="33">
      <alignment horizontal="right" vertical="center"/>
    </xf>
    <xf numFmtId="0" fontId="31" fillId="0" borderId="33" applyNumberFormat="0" applyFill="0" applyAlignment="0" applyProtection="0"/>
    <xf numFmtId="0" fontId="31" fillId="35" borderId="33"/>
    <xf numFmtId="0" fontId="18" fillId="27" borderId="33" applyNumberFormat="0" applyBorder="0" applyAlignment="0"/>
    <xf numFmtId="0" fontId="34" fillId="32" borderId="33">
      <alignment horizontal="right" vertical="center"/>
    </xf>
    <xf numFmtId="0" fontId="34" fillId="26" borderId="33">
      <alignment horizontal="right" vertical="center"/>
    </xf>
    <xf numFmtId="0" fontId="18" fillId="27" borderId="33" applyNumberFormat="0" applyBorder="0" applyAlignment="0"/>
    <xf numFmtId="49" fontId="31" fillId="0" borderId="33" applyNumberFormat="0" applyFont="0" applyFill="0" applyBorder="0" applyProtection="0">
      <alignment horizontal="left" vertical="center" indent="2"/>
    </xf>
    <xf numFmtId="0" fontId="1" fillId="22" borderId="33">
      <alignment horizontal="center" vertical="center" textRotation="90" readingOrder="2"/>
    </xf>
    <xf numFmtId="0" fontId="1" fillId="22" borderId="33">
      <alignment horizontal="center" vertical="center" textRotation="90" readingOrder="2"/>
    </xf>
    <xf numFmtId="0" fontId="34" fillId="32" borderId="33">
      <alignment horizontal="right" vertical="center"/>
    </xf>
    <xf numFmtId="0" fontId="18" fillId="27" borderId="33" applyNumberFormat="0" applyBorder="0" applyAlignment="0"/>
    <xf numFmtId="0" fontId="31" fillId="0" borderId="33" applyNumberFormat="0" applyFill="0" applyAlignment="0" applyProtection="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34" fillId="26" borderId="33">
      <alignment horizontal="right" vertical="center"/>
    </xf>
    <xf numFmtId="0" fontId="18" fillId="27" borderId="33" applyNumberFormat="0" applyBorder="0" applyAlignment="0"/>
    <xf numFmtId="0" fontId="18" fillId="27" borderId="33" applyNumberFormat="0" applyBorder="0" applyAlignment="0"/>
    <xf numFmtId="0" fontId="31" fillId="35" borderId="33"/>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49" fontId="31" fillId="0" borderId="33" applyNumberFormat="0" applyFont="0" applyFill="0" applyBorder="0" applyProtection="0">
      <alignment horizontal="left" vertical="center" indent="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35" fillId="26" borderId="33">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34" fillId="32" borderId="33">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49" fontId="31" fillId="0" borderId="33" applyNumberFormat="0" applyFont="0" applyFill="0" applyBorder="0" applyProtection="0">
      <alignment horizontal="left" vertical="center" indent="2"/>
    </xf>
    <xf numFmtId="0" fontId="35" fillId="26" borderId="33">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35" fillId="26" borderId="33">
      <alignment horizontal="right" vertical="center"/>
    </xf>
    <xf numFmtId="0" fontId="34" fillId="26" borderId="33">
      <alignment horizontal="right" vertical="center"/>
    </xf>
    <xf numFmtId="0" fontId="35" fillId="26" borderId="33">
      <alignment horizontal="right" vertical="center"/>
    </xf>
    <xf numFmtId="0" fontId="34" fillId="32" borderId="33">
      <alignment horizontal="right" vertical="center"/>
    </xf>
    <xf numFmtId="0" fontId="34" fillId="32" borderId="33">
      <alignment horizontal="right" vertical="center"/>
    </xf>
    <xf numFmtId="0" fontId="34" fillId="32" borderId="34">
      <alignment horizontal="right" vertical="center"/>
    </xf>
    <xf numFmtId="0" fontId="1" fillId="22" borderId="33">
      <alignment horizontal="center" vertical="center" textRotation="90" readingOrder="2"/>
    </xf>
    <xf numFmtId="0" fontId="31" fillId="32" borderId="35">
      <alignment horizontal="left" vertical="center" wrapText="1" indent="2"/>
    </xf>
    <xf numFmtId="0" fontId="31" fillId="0" borderId="35">
      <alignment horizontal="left" vertical="center" wrapText="1" indent="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31" fillId="0" borderId="33">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31" fillId="0" borderId="33" applyNumberFormat="0" applyFill="0" applyAlignment="0" applyProtection="0"/>
    <xf numFmtId="49" fontId="31" fillId="0" borderId="33" applyNumberFormat="0" applyFont="0" applyFill="0" applyBorder="0" applyProtection="0">
      <alignment horizontal="left" vertical="center" indent="2"/>
    </xf>
    <xf numFmtId="0" fontId="31" fillId="35" borderId="33"/>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49" fontId="31" fillId="0" borderId="33" applyNumberFormat="0" applyFont="0" applyFill="0" applyBorder="0" applyProtection="0">
      <alignment horizontal="left" vertical="center" indent="2"/>
    </xf>
    <xf numFmtId="0" fontId="34" fillId="26" borderId="33">
      <alignment horizontal="right" vertical="center"/>
    </xf>
    <xf numFmtId="0" fontId="35" fillId="26" borderId="33">
      <alignment horizontal="right" vertical="center"/>
    </xf>
    <xf numFmtId="0" fontId="34" fillId="32" borderId="33">
      <alignment horizontal="right" vertical="center"/>
    </xf>
    <xf numFmtId="0" fontId="34" fillId="32" borderId="33">
      <alignment horizontal="right" vertical="center"/>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31" fillId="0" borderId="33">
      <alignment horizontal="right" vertical="center"/>
    </xf>
    <xf numFmtId="0" fontId="31" fillId="0" borderId="33" applyNumberFormat="0" applyFill="0" applyAlignment="0" applyProtection="0"/>
    <xf numFmtId="0" fontId="31" fillId="35" borderId="33"/>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49" fontId="31" fillId="0" borderId="33" applyNumberFormat="0" applyFont="0" applyFill="0" applyBorder="0" applyProtection="0">
      <alignment horizontal="left" vertical="center" indent="2"/>
    </xf>
    <xf numFmtId="0" fontId="34" fillId="26" borderId="33">
      <alignment horizontal="right" vertical="center"/>
    </xf>
    <xf numFmtId="0" fontId="35" fillId="26" borderId="33">
      <alignment horizontal="right" vertical="center"/>
    </xf>
    <xf numFmtId="0" fontId="34" fillId="32" borderId="33">
      <alignment horizontal="right" vertical="center"/>
    </xf>
    <xf numFmtId="0" fontId="34" fillId="32" borderId="33">
      <alignment horizontal="right" vertical="center"/>
    </xf>
    <xf numFmtId="0" fontId="34" fillId="32" borderId="34">
      <alignment horizontal="right" vertical="center"/>
    </xf>
    <xf numFmtId="0" fontId="31" fillId="32" borderId="35">
      <alignment horizontal="left" vertical="center" wrapText="1" indent="2"/>
    </xf>
    <xf numFmtId="0" fontId="31" fillId="0" borderId="35">
      <alignment horizontal="left" vertical="center" wrapText="1" indent="2"/>
    </xf>
    <xf numFmtId="0" fontId="31" fillId="0" borderId="33">
      <alignment horizontal="right" vertical="center"/>
    </xf>
    <xf numFmtId="0" fontId="31" fillId="0" borderId="33" applyNumberFormat="0" applyFill="0" applyAlignment="0" applyProtection="0"/>
    <xf numFmtId="0" fontId="31" fillId="35" borderId="33"/>
    <xf numFmtId="0" fontId="18" fillId="27" borderId="33" applyNumberFormat="0" applyBorder="0" applyAlignment="0"/>
    <xf numFmtId="0" fontId="31" fillId="0" borderId="33">
      <alignment horizontal="right" vertical="center"/>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8" fillId="27" borderId="33" applyNumberFormat="0" applyBorder="0" applyAlignment="0"/>
    <xf numFmtId="49" fontId="31" fillId="0" borderId="33" applyNumberFormat="0" applyFont="0" applyFill="0" applyBorder="0" applyProtection="0">
      <alignment horizontal="left" vertical="center" indent="2"/>
    </xf>
    <xf numFmtId="0" fontId="34" fillId="32" borderId="33">
      <alignment horizontal="right" vertical="center"/>
    </xf>
    <xf numFmtId="0" fontId="31" fillId="0" borderId="33" applyNumberFormat="0" applyFill="0" applyAlignment="0" applyProtection="0"/>
    <xf numFmtId="0" fontId="34" fillId="32" borderId="33">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34" fillId="32" borderId="33">
      <alignment horizontal="right" vertical="center"/>
    </xf>
    <xf numFmtId="0" fontId="18" fillId="27" borderId="33" applyNumberFormat="0" applyBorder="0" applyAlignment="0"/>
    <xf numFmtId="0" fontId="31" fillId="0" borderId="35">
      <alignment horizontal="left" vertical="center" wrapText="1" indent="2"/>
    </xf>
    <xf numFmtId="0" fontId="35" fillId="26" borderId="33">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49" fontId="31" fillId="0" borderId="33" applyNumberFormat="0" applyFont="0" applyFill="0" applyBorder="0" applyProtection="0">
      <alignment horizontal="left" vertical="center" indent="2"/>
    </xf>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31" fillId="0" borderId="33" applyNumberFormat="0" applyFill="0" applyAlignment="0" applyProtection="0"/>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49" fontId="31" fillId="0" borderId="33" applyNumberFormat="0" applyFont="0" applyFill="0" applyBorder="0" applyProtection="0">
      <alignment horizontal="left" vertical="center" indent="2"/>
    </xf>
    <xf numFmtId="0" fontId="34" fillId="32" borderId="33">
      <alignment horizontal="right" vertical="center"/>
    </xf>
    <xf numFmtId="0" fontId="34" fillId="26" borderId="33">
      <alignment horizontal="right" vertical="center"/>
    </xf>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31" fillId="32" borderId="35">
      <alignment horizontal="left" vertical="center" wrapText="1" indent="2"/>
    </xf>
    <xf numFmtId="0" fontId="18" fillId="27" borderId="33" applyNumberFormat="0" applyBorder="0" applyAlignment="0"/>
    <xf numFmtId="0" fontId="31" fillId="35" borderId="33"/>
    <xf numFmtId="0" fontId="31" fillId="0" borderId="33">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31" fillId="0" borderId="33">
      <alignment horizontal="right" vertical="center"/>
    </xf>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31" fillId="35" borderId="33"/>
    <xf numFmtId="0" fontId="34" fillId="26" borderId="33">
      <alignment horizontal="right" vertical="center"/>
    </xf>
    <xf numFmtId="0" fontId="31" fillId="35" borderId="33"/>
    <xf numFmtId="0" fontId="18" fillId="27" borderId="33" applyNumberFormat="0" applyBorder="0" applyAlignment="0"/>
    <xf numFmtId="0" fontId="1" fillId="22" borderId="33">
      <alignment horizontal="center" vertical="center" textRotation="90" readingOrder="2"/>
    </xf>
    <xf numFmtId="0" fontId="34" fillId="32" borderId="33">
      <alignment horizontal="right" vertical="center"/>
    </xf>
    <xf numFmtId="0" fontId="1" fillId="22" borderId="33">
      <alignment horizontal="center" vertical="center" textRotation="90" readingOrder="2"/>
    </xf>
    <xf numFmtId="0" fontId="34" fillId="32" borderId="33">
      <alignment horizontal="right" vertical="center"/>
    </xf>
    <xf numFmtId="0" fontId="34" fillId="26" borderId="33">
      <alignment horizontal="right" vertical="center"/>
    </xf>
    <xf numFmtId="0" fontId="31" fillId="35" borderId="33"/>
    <xf numFmtId="0" fontId="31" fillId="0" borderId="33" applyNumberFormat="0" applyFill="0" applyAlignment="0" applyProtection="0"/>
    <xf numFmtId="0" fontId="34" fillId="32" borderId="33">
      <alignment horizontal="right" vertical="center"/>
    </xf>
    <xf numFmtId="0" fontId="35" fillId="26" borderId="33">
      <alignment horizontal="right" vertical="center"/>
    </xf>
    <xf numFmtId="0" fontId="18" fillId="27" borderId="33" applyNumberFormat="0" applyBorder="0" applyAlignment="0"/>
    <xf numFmtId="0" fontId="34" fillId="32" borderId="33">
      <alignment horizontal="right" vertical="center"/>
    </xf>
    <xf numFmtId="0" fontId="18" fillId="27" borderId="33" applyNumberFormat="0" applyBorder="0" applyAlignment="0"/>
    <xf numFmtId="0" fontId="34" fillId="26" borderId="33">
      <alignment horizontal="right" vertical="center"/>
    </xf>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31" fillId="0" borderId="33">
      <alignment horizontal="right" vertical="center"/>
    </xf>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34" fillId="32" borderId="33">
      <alignment horizontal="right" vertical="center"/>
    </xf>
    <xf numFmtId="0" fontId="34" fillId="26" borderId="33">
      <alignment horizontal="right" vertical="center"/>
    </xf>
    <xf numFmtId="0" fontId="35" fillId="26" borderId="33">
      <alignment horizontal="right" vertical="center"/>
    </xf>
    <xf numFmtId="0" fontId="18" fillId="27" borderId="33" applyNumberFormat="0" applyBorder="0" applyAlignment="0"/>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34" fillId="26" borderId="33">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31" fillId="0" borderId="33">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35" fillId="26" borderId="33">
      <alignment horizontal="right" vertical="center"/>
    </xf>
    <xf numFmtId="0" fontId="31" fillId="0" borderId="33" applyNumberFormat="0" applyFill="0" applyAlignment="0" applyProtection="0"/>
    <xf numFmtId="0" fontId="31" fillId="0" borderId="33" applyNumberFormat="0" applyFill="0" applyAlignment="0" applyProtection="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8" fillId="27" borderId="33" applyNumberFormat="0" applyBorder="0" applyAlignment="0"/>
    <xf numFmtId="0" fontId="31" fillId="32" borderId="35">
      <alignment horizontal="left" vertical="center" wrapText="1" indent="2"/>
    </xf>
    <xf numFmtId="0" fontId="34" fillId="26" borderId="33">
      <alignment horizontal="right" vertical="center"/>
    </xf>
    <xf numFmtId="0" fontId="1" fillId="22" borderId="33">
      <alignment horizontal="center" vertical="center" textRotation="90" readingOrder="2"/>
    </xf>
    <xf numFmtId="0" fontId="34" fillId="32" borderId="33">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34" fillId="32" borderId="33">
      <alignment horizontal="right" vertical="center"/>
    </xf>
    <xf numFmtId="49" fontId="31" fillId="0" borderId="33" applyNumberFormat="0" applyFont="0" applyFill="0" applyBorder="0" applyProtection="0">
      <alignment horizontal="left" vertical="center" indent="2"/>
    </xf>
    <xf numFmtId="0" fontId="18" fillId="27" borderId="33" applyNumberFormat="0" applyBorder="0" applyAlignment="0"/>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31" fillId="35" borderId="33"/>
    <xf numFmtId="0" fontId="31" fillId="0" borderId="35">
      <alignment horizontal="left" vertical="center" wrapText="1" indent="2"/>
    </xf>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34" fillId="32" borderId="34">
      <alignment horizontal="right" vertical="center"/>
    </xf>
    <xf numFmtId="0" fontId="34" fillId="32" borderId="33">
      <alignment horizontal="right" vertical="center"/>
    </xf>
    <xf numFmtId="0" fontId="34" fillId="26" borderId="33">
      <alignment horizontal="right" vertical="center"/>
    </xf>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34" fillId="26" borderId="33">
      <alignment horizontal="right" vertical="center"/>
    </xf>
    <xf numFmtId="0" fontId="35" fillId="26" borderId="33">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49" fontId="31" fillId="0" borderId="33" applyNumberFormat="0" applyFont="0" applyFill="0" applyBorder="0" applyProtection="0">
      <alignment horizontal="left" vertical="center" indent="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34" fillId="32" borderId="34">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34" fillId="32" borderId="34">
      <alignment horizontal="right" vertical="center"/>
    </xf>
    <xf numFmtId="0" fontId="31" fillId="32" borderId="35">
      <alignment horizontal="left" vertical="center" wrapText="1" indent="2"/>
    </xf>
    <xf numFmtId="0" fontId="31" fillId="0" borderId="35">
      <alignment horizontal="left" vertical="center" wrapText="1" indent="2"/>
    </xf>
    <xf numFmtId="0" fontId="31" fillId="0" borderId="33">
      <alignment horizontal="right" vertical="center"/>
    </xf>
    <xf numFmtId="0" fontId="31" fillId="0" borderId="33" applyNumberFormat="0" applyFill="0" applyAlignment="0" applyProtection="0"/>
    <xf numFmtId="0" fontId="31" fillId="35" borderId="33"/>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31" fillId="0" borderId="33" applyNumberFormat="0" applyFill="0" applyAlignment="0" applyProtection="0"/>
    <xf numFmtId="0" fontId="18" fillId="27" borderId="33" applyNumberFormat="0" applyBorder="0" applyAlignment="0"/>
    <xf numFmtId="0" fontId="34" fillId="32" borderId="33">
      <alignment horizontal="right" vertical="center"/>
    </xf>
    <xf numFmtId="0" fontId="34" fillId="32" borderId="34">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31" fillId="32" borderId="35">
      <alignment horizontal="left" vertical="center" wrapText="1" indent="2"/>
    </xf>
    <xf numFmtId="0" fontId="31" fillId="0" borderId="35">
      <alignment horizontal="left" vertical="center" wrapText="1" indent="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34" fillId="32" borderId="33">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8" fillId="27" borderId="33" applyNumberFormat="0" applyBorder="0" applyAlignment="0"/>
    <xf numFmtId="49" fontId="31" fillId="0" borderId="33" applyNumberFormat="0" applyFont="0" applyFill="0" applyBorder="0" applyProtection="0">
      <alignment horizontal="left" vertical="center" indent="2"/>
    </xf>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31" fillId="0" borderId="33">
      <alignment horizontal="right" vertical="center"/>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35" fillId="26" borderId="33">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31" fillId="0" borderId="33">
      <alignment horizontal="right" vertical="center"/>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49" fontId="31" fillId="0" borderId="33" applyNumberFormat="0" applyFont="0" applyFill="0" applyBorder="0" applyProtection="0">
      <alignment horizontal="left" vertical="center" indent="2"/>
    </xf>
    <xf numFmtId="0" fontId="1" fillId="22" borderId="33">
      <alignment horizontal="center" vertical="center" textRotation="90" readingOrder="2"/>
    </xf>
    <xf numFmtId="0" fontId="1" fillId="22" borderId="33">
      <alignment horizontal="center" vertical="center" textRotation="90" readingOrder="2"/>
    </xf>
    <xf numFmtId="0" fontId="31" fillId="0" borderId="35">
      <alignment horizontal="left" vertical="center" wrapText="1" indent="2"/>
    </xf>
    <xf numFmtId="0" fontId="31" fillId="35" borderId="33"/>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31" fillId="35" borderId="33"/>
    <xf numFmtId="0" fontId="1" fillId="22" borderId="33">
      <alignment horizontal="center" vertical="center" textRotation="90" readingOrder="2"/>
    </xf>
    <xf numFmtId="0" fontId="18" fillId="27" borderId="33" applyNumberFormat="0" applyBorder="0" applyAlignment="0"/>
    <xf numFmtId="0" fontId="34" fillId="32" borderId="34">
      <alignment horizontal="right" vertical="center"/>
    </xf>
    <xf numFmtId="0" fontId="31" fillId="32" borderId="35">
      <alignment horizontal="left" vertical="center" wrapText="1" indent="2"/>
    </xf>
    <xf numFmtId="0" fontId="31" fillId="0" borderId="35">
      <alignment horizontal="left" vertical="center" wrapText="1" indent="2"/>
    </xf>
    <xf numFmtId="0" fontId="1" fillId="22" borderId="33">
      <alignment horizontal="center" vertical="center" textRotation="90" readingOrder="2"/>
    </xf>
    <xf numFmtId="0" fontId="18" fillId="27" borderId="33" applyNumberFormat="0" applyBorder="0" applyAlignment="0"/>
    <xf numFmtId="0" fontId="35" fillId="26" borderId="33">
      <alignment horizontal="right" vertical="center"/>
    </xf>
    <xf numFmtId="0" fontId="34" fillId="32" borderId="33">
      <alignment horizontal="right" vertical="center"/>
    </xf>
    <xf numFmtId="0" fontId="34" fillId="32" borderId="33">
      <alignment horizontal="right" vertical="center"/>
    </xf>
    <xf numFmtId="0" fontId="1" fillId="22" borderId="33">
      <alignment horizontal="center" vertical="center" textRotation="90" readingOrder="2"/>
    </xf>
    <xf numFmtId="0" fontId="35" fillId="26" borderId="33">
      <alignment horizontal="right" vertical="center"/>
    </xf>
    <xf numFmtId="0" fontId="1" fillId="22" borderId="33">
      <alignment horizontal="center" vertical="center" textRotation="90" readingOrder="2"/>
    </xf>
    <xf numFmtId="0" fontId="31" fillId="0" borderId="33">
      <alignment horizontal="right" vertical="center"/>
    </xf>
    <xf numFmtId="0" fontId="31" fillId="0" borderId="33" applyNumberFormat="0" applyFill="0" applyAlignment="0" applyProtection="0"/>
    <xf numFmtId="0" fontId="31" fillId="35" borderId="33"/>
    <xf numFmtId="0" fontId="1" fillId="22" borderId="33">
      <alignment horizontal="center" vertical="center" textRotation="90" readingOrder="2"/>
    </xf>
    <xf numFmtId="0" fontId="31" fillId="0" borderId="33" applyNumberFormat="0" applyFill="0" applyAlignment="0" applyProtection="0"/>
    <xf numFmtId="0" fontId="18" fillId="27" borderId="33" applyNumberFormat="0" applyBorder="0" applyAlignment="0"/>
    <xf numFmtId="0" fontId="1" fillId="22" borderId="33">
      <alignment horizontal="center" vertical="center" textRotation="90" readingOrder="2"/>
    </xf>
    <xf numFmtId="0" fontId="34" fillId="32" borderId="33">
      <alignment horizontal="right" vertical="center"/>
    </xf>
    <xf numFmtId="0" fontId="1" fillId="22" borderId="33">
      <alignment horizontal="center" vertical="center" textRotation="90" readingOrder="2"/>
    </xf>
    <xf numFmtId="0" fontId="31" fillId="32" borderId="35">
      <alignment horizontal="left" vertical="center" wrapText="1" indent="2"/>
    </xf>
    <xf numFmtId="0" fontId="1" fillId="22" borderId="33">
      <alignment horizontal="center" vertical="center" textRotation="90" readingOrder="2"/>
    </xf>
    <xf numFmtId="0" fontId="18" fillId="27" borderId="33" applyNumberFormat="0" applyBorder="0" applyAlignment="0"/>
    <xf numFmtId="0" fontId="31" fillId="0" borderId="33">
      <alignment horizontal="right" vertical="center"/>
    </xf>
    <xf numFmtId="0" fontId="18" fillId="27" borderId="33" applyNumberFormat="0" applyBorder="0" applyAlignment="0"/>
    <xf numFmtId="49" fontId="31" fillId="0" borderId="33" applyNumberFormat="0" applyFont="0" applyFill="0" applyBorder="0" applyProtection="0">
      <alignment horizontal="left" vertical="center" indent="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1" fillId="22" borderId="33">
      <alignment horizontal="center" vertical="center" textRotation="90" readingOrder="2"/>
    </xf>
    <xf numFmtId="0" fontId="34" fillId="26" borderId="33">
      <alignment horizontal="right" vertical="center"/>
    </xf>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34" fillId="32" borderId="34">
      <alignment horizontal="right" vertical="center"/>
    </xf>
    <xf numFmtId="0" fontId="34" fillId="32" borderId="33">
      <alignment horizontal="right" vertical="center"/>
    </xf>
    <xf numFmtId="0" fontId="1" fillId="22" borderId="33">
      <alignment horizontal="center" vertical="center" textRotation="90" readingOrder="2"/>
    </xf>
    <xf numFmtId="0" fontId="18" fillId="27" borderId="33" applyNumberFormat="0" applyBorder="0" applyAlignment="0"/>
    <xf numFmtId="0" fontId="1" fillId="22" borderId="33">
      <alignment horizontal="center" vertical="center" textRotation="90" readingOrder="2"/>
    </xf>
    <xf numFmtId="0" fontId="31" fillId="0" borderId="33">
      <alignment horizontal="right" vertical="center"/>
    </xf>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1" fillId="22" borderId="33">
      <alignment horizontal="center" vertical="center" textRotation="90" readingOrder="2"/>
    </xf>
    <xf numFmtId="0" fontId="1" fillId="22" borderId="33">
      <alignment horizontal="center" vertical="center" textRotation="90" readingOrder="2"/>
    </xf>
    <xf numFmtId="0" fontId="31" fillId="35" borderId="33"/>
    <xf numFmtId="0" fontId="1" fillId="22" borderId="33">
      <alignment horizontal="center" vertical="center" textRotation="90" readingOrder="2"/>
    </xf>
    <xf numFmtId="49" fontId="31" fillId="0" borderId="33" applyNumberFormat="0" applyFont="0" applyFill="0" applyBorder="0" applyProtection="0">
      <alignment horizontal="left" vertical="center" indent="2"/>
    </xf>
    <xf numFmtId="0" fontId="35" fillId="26" borderId="33">
      <alignment horizontal="right" vertical="center"/>
    </xf>
    <xf numFmtId="0" fontId="31" fillId="0" borderId="33" applyNumberFormat="0" applyFill="0" applyAlignment="0" applyProtection="0"/>
    <xf numFmtId="0" fontId="34" fillId="32" borderId="33">
      <alignment horizontal="right" vertical="center"/>
    </xf>
    <xf numFmtId="0" fontId="18" fillId="27" borderId="33" applyNumberFormat="0" applyBorder="0" applyAlignment="0"/>
    <xf numFmtId="0" fontId="1" fillId="22" borderId="33">
      <alignment horizontal="center" vertical="center" textRotation="90" readingOrder="2"/>
    </xf>
    <xf numFmtId="0" fontId="18" fillId="27" borderId="33" applyNumberFormat="0" applyBorder="0" applyAlignment="0"/>
    <xf numFmtId="0" fontId="18" fillId="27" borderId="33" applyNumberFormat="0" applyBorder="0" applyAlignment="0"/>
    <xf numFmtId="0" fontId="34" fillId="32" borderId="33">
      <alignment horizontal="right" vertical="center"/>
    </xf>
    <xf numFmtId="0" fontId="34" fillId="32" borderId="33">
      <alignment horizontal="right" vertical="center"/>
    </xf>
    <xf numFmtId="0" fontId="31" fillId="0" borderId="33">
      <alignment horizontal="right" vertical="center"/>
    </xf>
    <xf numFmtId="0" fontId="31" fillId="0" borderId="33" applyNumberFormat="0" applyFill="0" applyAlignment="0" applyProtection="0"/>
    <xf numFmtId="0" fontId="31" fillId="35" borderId="33"/>
  </cellStyleXfs>
  <cellXfs count="89">
    <xf numFmtId="0" fontId="0" fillId="0" borderId="0" xfId="0"/>
    <xf numFmtId="0" fontId="7" fillId="0" borderId="0" xfId="0" applyFont="1" applyAlignment="1">
      <alignment horizontal="left" vertical="top"/>
    </xf>
    <xf numFmtId="0" fontId="11" fillId="0" borderId="0" xfId="0" applyFont="1" applyAlignment="1">
      <alignment horizontal="left" vertical="top"/>
    </xf>
    <xf numFmtId="0" fontId="1" fillId="0" borderId="0" xfId="0" applyFont="1"/>
    <xf numFmtId="0" fontId="6" fillId="0" borderId="0" xfId="0" applyFont="1"/>
    <xf numFmtId="0" fontId="1" fillId="4" borderId="0" xfId="2"/>
    <xf numFmtId="0" fontId="14" fillId="3" borderId="2" xfId="12"/>
    <xf numFmtId="0" fontId="13" fillId="4" borderId="0" xfId="2" applyFont="1"/>
    <xf numFmtId="0" fontId="14" fillId="0" borderId="2" xfId="13"/>
    <xf numFmtId="0" fontId="2" fillId="0" borderId="1" xfId="10"/>
    <xf numFmtId="0" fontId="9" fillId="3" borderId="0" xfId="0" applyFont="1" applyFill="1" applyAlignment="1">
      <alignment horizontal="left" vertical="top"/>
    </xf>
    <xf numFmtId="0" fontId="10" fillId="3" borderId="0" xfId="0" applyFont="1" applyFill="1" applyAlignment="1">
      <alignment horizontal="left" vertical="top"/>
    </xf>
    <xf numFmtId="0" fontId="0" fillId="3" borderId="0" xfId="0" applyFill="1" applyAlignment="1">
      <alignment horizontal="left" vertical="top"/>
    </xf>
    <xf numFmtId="0" fontId="9" fillId="3" borderId="0" xfId="0" applyFont="1" applyFill="1" applyAlignment="1">
      <alignment horizontal="left" vertical="top" wrapText="1"/>
    </xf>
    <xf numFmtId="0" fontId="8" fillId="3" borderId="0" xfId="0" applyFont="1" applyFill="1" applyAlignment="1">
      <alignment horizontal="left" vertical="top"/>
    </xf>
    <xf numFmtId="167" fontId="0" fillId="0" borderId="0" xfId="14" applyNumberFormat="1" applyFont="1"/>
    <xf numFmtId="167" fontId="15" fillId="0" borderId="0" xfId="14" applyNumberFormat="1" applyFont="1"/>
    <xf numFmtId="1" fontId="0" fillId="0" borderId="0" xfId="0" applyNumberFormat="1"/>
    <xf numFmtId="0" fontId="0" fillId="10" borderId="0" xfId="0" applyFill="1"/>
    <xf numFmtId="0" fontId="21" fillId="11" borderId="4" xfId="16" applyFont="1" applyFill="1" applyBorder="1" applyAlignment="1">
      <alignment vertical="center"/>
    </xf>
    <xf numFmtId="0" fontId="21" fillId="11" borderId="5" xfId="16" applyFont="1" applyFill="1" applyBorder="1" applyAlignment="1">
      <alignment vertical="center"/>
    </xf>
    <xf numFmtId="0" fontId="21" fillId="11" borderId="5" xfId="16" applyFont="1" applyFill="1" applyBorder="1" applyAlignment="1">
      <alignment horizontal="center" vertical="center"/>
    </xf>
    <xf numFmtId="0" fontId="21" fillId="11" borderId="6" xfId="16" applyFont="1" applyFill="1" applyBorder="1" applyAlignment="1">
      <alignment vertical="center"/>
    </xf>
    <xf numFmtId="0" fontId="21" fillId="11" borderId="0" xfId="16" applyFont="1" applyFill="1" applyAlignment="1">
      <alignment vertical="center"/>
    </xf>
    <xf numFmtId="0" fontId="21" fillId="11" borderId="0" xfId="16" applyFont="1" applyFill="1" applyAlignment="1">
      <alignment horizontal="center" vertical="center"/>
    </xf>
    <xf numFmtId="1" fontId="15" fillId="13" borderId="7" xfId="16" applyNumberFormat="1" applyFont="1" applyFill="1" applyBorder="1" applyAlignment="1">
      <alignment horizontal="center"/>
    </xf>
    <xf numFmtId="0" fontId="14" fillId="10" borderId="2" xfId="15" applyFill="1"/>
    <xf numFmtId="0" fontId="13" fillId="0" borderId="0" xfId="0" applyFont="1"/>
    <xf numFmtId="9" fontId="0" fillId="0" borderId="0" xfId="17" applyFont="1"/>
    <xf numFmtId="2" fontId="0" fillId="0" borderId="0" xfId="0" applyNumberFormat="1"/>
    <xf numFmtId="167" fontId="0" fillId="0" borderId="0" xfId="0" applyNumberFormat="1"/>
    <xf numFmtId="14" fontId="7" fillId="3" borderId="0" xfId="0" applyNumberFormat="1" applyFont="1" applyFill="1" applyAlignment="1">
      <alignment horizontal="left" vertical="top" wrapText="1"/>
    </xf>
    <xf numFmtId="168" fontId="0" fillId="0" borderId="0" xfId="14" applyNumberFormat="1" applyFont="1"/>
    <xf numFmtId="3" fontId="0" fillId="0" borderId="0" xfId="14" applyNumberFormat="1" applyFont="1" applyAlignment="1">
      <alignment vertical="center"/>
    </xf>
    <xf numFmtId="2" fontId="22" fillId="14" borderId="10" xfId="0" applyNumberFormat="1" applyFont="1" applyFill="1" applyBorder="1" applyAlignment="1">
      <alignment wrapText="1"/>
    </xf>
    <xf numFmtId="2" fontId="22" fillId="15" borderId="10" xfId="0" applyNumberFormat="1" applyFont="1" applyFill="1" applyBorder="1" applyAlignment="1">
      <alignment wrapText="1"/>
    </xf>
    <xf numFmtId="0" fontId="0" fillId="0" borderId="0" xfId="0" applyAlignment="1">
      <alignment horizontal="right"/>
    </xf>
    <xf numFmtId="0" fontId="5" fillId="0" borderId="0" xfId="0" applyFont="1"/>
    <xf numFmtId="0" fontId="23" fillId="0" borderId="1" xfId="10" applyFont="1"/>
    <xf numFmtId="0" fontId="0" fillId="4" borderId="0" xfId="2" applyFont="1"/>
    <xf numFmtId="0" fontId="15" fillId="0" borderId="0" xfId="0" applyFont="1"/>
    <xf numFmtId="0" fontId="14" fillId="0" borderId="2" xfId="13" quotePrefix="1"/>
    <xf numFmtId="169" fontId="0" fillId="0" borderId="0" xfId="17" applyNumberFormat="1" applyFont="1"/>
    <xf numFmtId="0" fontId="7" fillId="3" borderId="0" xfId="0" applyFont="1" applyFill="1" applyAlignment="1">
      <alignment horizontal="left" vertical="top"/>
    </xf>
    <xf numFmtId="0" fontId="0" fillId="10" borderId="0" xfId="0" applyFill="1" applyAlignment="1">
      <alignment horizontal="left" wrapText="1"/>
    </xf>
    <xf numFmtId="0" fontId="19" fillId="10" borderId="36" xfId="16" applyFont="1" applyFill="1" applyBorder="1" applyAlignment="1">
      <alignment horizontal="center" vertical="center"/>
    </xf>
    <xf numFmtId="0" fontId="19" fillId="10" borderId="37" xfId="16" applyFont="1" applyFill="1" applyBorder="1" applyAlignment="1">
      <alignment horizontal="center" vertical="center"/>
    </xf>
    <xf numFmtId="0" fontId="19" fillId="10" borderId="37" xfId="16" applyFont="1" applyFill="1" applyBorder="1" applyAlignment="1">
      <alignment horizontal="center" vertical="center" wrapText="1"/>
    </xf>
    <xf numFmtId="0" fontId="20" fillId="10" borderId="33" xfId="16" applyFont="1" applyFill="1" applyBorder="1" applyAlignment="1">
      <alignment horizontal="center" vertical="center" wrapText="1"/>
    </xf>
    <xf numFmtId="0" fontId="21" fillId="11" borderId="36" xfId="16" applyFont="1" applyFill="1" applyBorder="1" applyAlignment="1">
      <alignment vertical="center"/>
    </xf>
    <xf numFmtId="0" fontId="21" fillId="11" borderId="37" xfId="16" applyFont="1" applyFill="1" applyBorder="1" applyAlignment="1">
      <alignment vertical="center"/>
    </xf>
    <xf numFmtId="0" fontId="21" fillId="11" borderId="38" xfId="16" applyFont="1" applyFill="1" applyBorder="1" applyAlignment="1">
      <alignment horizontal="center" vertical="center"/>
    </xf>
    <xf numFmtId="1" fontId="15" fillId="11" borderId="33" xfId="16" applyNumberFormat="1" applyFont="1" applyFill="1" applyBorder="1" applyAlignment="1">
      <alignment horizontal="center"/>
    </xf>
    <xf numFmtId="0" fontId="21" fillId="11" borderId="37" xfId="16" applyFont="1" applyFill="1" applyBorder="1" applyAlignment="1">
      <alignment horizontal="center" vertical="center"/>
    </xf>
    <xf numFmtId="0" fontId="21" fillId="12" borderId="36" xfId="16" applyFont="1" applyFill="1" applyBorder="1" applyAlignment="1">
      <alignment vertical="center"/>
    </xf>
    <xf numFmtId="0" fontId="21" fillId="12" borderId="37" xfId="16" applyFont="1" applyFill="1" applyBorder="1" applyAlignment="1">
      <alignment vertical="center"/>
    </xf>
    <xf numFmtId="0" fontId="21" fillId="12" borderId="37" xfId="16" applyFont="1" applyFill="1" applyBorder="1" applyAlignment="1">
      <alignment horizontal="center" vertical="center"/>
    </xf>
    <xf numFmtId="1" fontId="15" fillId="12" borderId="33" xfId="16" applyNumberFormat="1" applyFont="1" applyFill="1" applyBorder="1" applyAlignment="1">
      <alignment horizontal="center"/>
    </xf>
    <xf numFmtId="0" fontId="15" fillId="13" borderId="36" xfId="16" applyFont="1" applyFill="1" applyBorder="1"/>
    <xf numFmtId="0" fontId="15" fillId="13" borderId="37" xfId="16" applyFont="1" applyFill="1" applyBorder="1"/>
    <xf numFmtId="0" fontId="15" fillId="13" borderId="37" xfId="16" applyFont="1" applyFill="1" applyBorder="1" applyAlignment="1">
      <alignment horizontal="center"/>
    </xf>
    <xf numFmtId="1" fontId="15" fillId="13" borderId="33" xfId="16" applyNumberFormat="1" applyFont="1" applyFill="1" applyBorder="1" applyAlignment="1">
      <alignment horizontal="center"/>
    </xf>
    <xf numFmtId="170" fontId="0" fillId="0" borderId="0" xfId="17" applyNumberFormat="1" applyFont="1"/>
    <xf numFmtId="167" fontId="14" fillId="0" borderId="2" xfId="14" applyNumberFormat="1" applyFont="1" applyBorder="1"/>
    <xf numFmtId="167" fontId="14" fillId="0" borderId="2" xfId="13" applyNumberFormat="1"/>
    <xf numFmtId="10" fontId="0" fillId="0" borderId="0" xfId="0" applyNumberFormat="1"/>
    <xf numFmtId="169" fontId="0" fillId="0" borderId="0" xfId="0" applyNumberFormat="1"/>
    <xf numFmtId="0" fontId="12" fillId="3" borderId="0" xfId="0" applyFont="1" applyFill="1" applyAlignment="1">
      <alignment vertical="top"/>
    </xf>
    <xf numFmtId="167" fontId="6" fillId="0" borderId="0" xfId="18" applyNumberFormat="1" applyFill="1" applyBorder="1"/>
    <xf numFmtId="167" fontId="1" fillId="0" borderId="0" xfId="19" applyNumberFormat="1" applyFill="1" applyBorder="1"/>
    <xf numFmtId="0" fontId="6" fillId="0" borderId="0" xfId="18" applyFill="1" applyBorder="1" applyAlignment="1">
      <alignment wrapText="1"/>
    </xf>
    <xf numFmtId="0" fontId="1" fillId="0" borderId="0" xfId="19" applyFill="1" applyBorder="1" applyAlignment="1">
      <alignment wrapText="1"/>
    </xf>
    <xf numFmtId="0" fontId="6" fillId="0" borderId="0" xfId="18" applyFill="1" applyBorder="1" applyAlignment="1">
      <alignment horizontal="center" vertical="center" wrapText="1"/>
    </xf>
    <xf numFmtId="0" fontId="24" fillId="0" borderId="0" xfId="18" applyFont="1" applyFill="1" applyBorder="1" applyAlignment="1">
      <alignment horizontal="center" vertical="center" wrapText="1"/>
    </xf>
    <xf numFmtId="0" fontId="1" fillId="0" borderId="0" xfId="19" applyFill="1" applyBorder="1" applyAlignment="1">
      <alignment horizontal="center" vertical="center" wrapText="1"/>
    </xf>
    <xf numFmtId="0" fontId="6" fillId="0" borderId="0" xfId="18" applyFill="1" applyBorder="1"/>
    <xf numFmtId="9" fontId="1" fillId="0" borderId="0" xfId="19" applyNumberFormat="1" applyFill="1" applyBorder="1"/>
    <xf numFmtId="167" fontId="0" fillId="0" borderId="0" xfId="14" applyNumberFormat="1" applyFont="1" applyFill="1" applyBorder="1"/>
    <xf numFmtId="167" fontId="5" fillId="0" borderId="0" xfId="14" applyNumberFormat="1" applyFont="1" applyFill="1" applyBorder="1" applyAlignment="1">
      <alignment horizontal="center" vertical="center"/>
    </xf>
    <xf numFmtId="9" fontId="0" fillId="0" borderId="0" xfId="17" applyFont="1" applyFill="1" applyBorder="1"/>
    <xf numFmtId="0" fontId="7" fillId="3" borderId="0" xfId="0" applyFont="1" applyFill="1" applyAlignment="1">
      <alignment horizontal="left" vertical="top"/>
    </xf>
    <xf numFmtId="0" fontId="7" fillId="3" borderId="0" xfId="0" applyFont="1" applyFill="1" applyAlignment="1">
      <alignment horizontal="left" vertical="top" wrapText="1"/>
    </xf>
    <xf numFmtId="0" fontId="0" fillId="0" borderId="0" xfId="0" applyAlignment="1">
      <alignment horizontal="center" vertical="center" wrapText="1"/>
    </xf>
    <xf numFmtId="0" fontId="1" fillId="0" borderId="0" xfId="19" applyFill="1" applyBorder="1" applyAlignment="1">
      <alignment horizontal="center" wrapText="1"/>
    </xf>
    <xf numFmtId="0" fontId="6" fillId="0" borderId="0" xfId="18" applyFill="1" applyBorder="1" applyAlignment="1">
      <alignment horizontal="center" wrapText="1"/>
    </xf>
    <xf numFmtId="167" fontId="5" fillId="0" borderId="0" xfId="14" applyNumberFormat="1" applyFont="1" applyFill="1" applyBorder="1" applyAlignment="1">
      <alignment horizontal="center" vertical="center"/>
    </xf>
    <xf numFmtId="0" fontId="13" fillId="0" borderId="0" xfId="0" applyFont="1" applyAlignment="1">
      <alignment horizontal="center" vertical="center"/>
    </xf>
    <xf numFmtId="0" fontId="17" fillId="10" borderId="8" xfId="0" applyFont="1" applyFill="1" applyBorder="1" applyAlignment="1">
      <alignment horizontal="left" vertical="center" wrapText="1"/>
    </xf>
    <xf numFmtId="0" fontId="0" fillId="10" borderId="0" xfId="0" applyFill="1" applyAlignment="1">
      <alignment horizontal="left" wrapText="1"/>
    </xf>
  </cellXfs>
  <cellStyles count="1836">
    <cellStyle name="%_Centre_Input" xfId="39" xr:uid="{5B4A6F60-7911-4BCE-A963-112E8271CC51}"/>
    <cellStyle name="%_Centre_Input 2" xfId="66" xr:uid="{C6A07DA2-D70E-4E94-A3D7-409DDCA6903F}"/>
    <cellStyle name="%_Centre_Input 2 2" xfId="75" xr:uid="{89043FC0-C899-45CA-8746-617197226816}"/>
    <cellStyle name="%_Centre_Input 3" xfId="71" xr:uid="{CEE5D536-A548-4390-97A7-287C1DD542EC}"/>
    <cellStyle name="20% - Accent1" xfId="2" builtinId="30"/>
    <cellStyle name="2x indented GHG Textfiels" xfId="92" xr:uid="{21903EEF-E0CB-4795-B94D-833C71E3BF49}"/>
    <cellStyle name="2x indented GHG Textfiels 10" xfId="766" xr:uid="{CB464CB0-169D-44AC-8A83-11C5A146FE4D}"/>
    <cellStyle name="2x indented GHG Textfiels 2" xfId="150" xr:uid="{2E7424B9-8049-4B21-9E6A-DA0B1366995C}"/>
    <cellStyle name="2x indented GHG Textfiels 2 2" xfId="308" xr:uid="{297DC8A3-6CCD-46C9-9A93-EE3AEC6DB80F}"/>
    <cellStyle name="2x indented GHG Textfiels 2 2 2" xfId="945" xr:uid="{F42C92D7-91FB-4A23-B782-4F511A183660}"/>
    <cellStyle name="2x indented GHG Textfiels 2 2 3" xfId="1503" xr:uid="{AD67E2F4-22A8-473F-A109-84E55413148B}"/>
    <cellStyle name="2x indented GHG Textfiels 2 3" xfId="283" xr:uid="{A83A27D4-E519-4E6C-991C-659E79FF43D7}"/>
    <cellStyle name="2x indented GHG Textfiels 2 3 2" xfId="920" xr:uid="{D9960B11-688E-48AB-B1A5-B2C3FD360D95}"/>
    <cellStyle name="2x indented GHG Textfiels 2 3 3" xfId="1478" xr:uid="{84D174C2-BA75-4FB9-A763-8FB342FE7712}"/>
    <cellStyle name="2x indented GHG Textfiels 2 4" xfId="217" xr:uid="{114D8D6A-C970-49A5-83E7-DFD5E1316F2F}"/>
    <cellStyle name="2x indented GHG Textfiels 2 4 2" xfId="856" xr:uid="{54406273-AF4A-4BFF-9616-B5F31ABF0421}"/>
    <cellStyle name="2x indented GHG Textfiels 2 4 3" xfId="1414" xr:uid="{FF613DAE-1A42-4F9D-8BC6-91446A0D5B32}"/>
    <cellStyle name="2x indented GHG Textfiels 2 5" xfId="195" xr:uid="{C9F600E0-4436-4E2A-9F6F-C86435FD5658}"/>
    <cellStyle name="2x indented GHG Textfiels 2 5 2" xfId="834" xr:uid="{E8CEAE48-2CB4-45C5-9DEC-3637B955F850}"/>
    <cellStyle name="2x indented GHG Textfiels 2 5 3" xfId="1392" xr:uid="{38630C5D-A851-4201-B675-74A71A8DBB4A}"/>
    <cellStyle name="2x indented GHG Textfiels 2 6" xfId="642" xr:uid="{74FED093-E229-4D1C-BC39-E071388DD380}"/>
    <cellStyle name="2x indented GHG Textfiels 2 6 2" xfId="1266" xr:uid="{8367FF23-2D30-48EF-ACFF-5A5536AB3C53}"/>
    <cellStyle name="2x indented GHG Textfiels 2 6 3" xfId="1823" xr:uid="{EFD8918D-D685-458C-80BA-D5A2E53E3193}"/>
    <cellStyle name="2x indented GHG Textfiels 2 7" xfId="792" xr:uid="{7908D806-9E6E-40DB-A770-FBC4D7BED0D3}"/>
    <cellStyle name="2x indented GHG Textfiels 2 8" xfId="1349" xr:uid="{6741558B-63E7-4639-8EE0-9E34686A97AF}"/>
    <cellStyle name="2x indented GHG Textfiels 3" xfId="178" xr:uid="{558F2850-7C18-4C2D-BA26-7AAD28884C8D}"/>
    <cellStyle name="2x indented GHG Textfiels 3 2" xfId="336" xr:uid="{600F30A6-D963-437F-8D23-A506CE473FE8}"/>
    <cellStyle name="2x indented GHG Textfiels 3 2 2" xfId="973" xr:uid="{FA95AF81-9B7E-4868-9FA0-E062BF3E73E6}"/>
    <cellStyle name="2x indented GHG Textfiels 3 2 3" xfId="1531" xr:uid="{9A18959F-A880-4789-9F59-4FD09594930E}"/>
    <cellStyle name="2x indented GHG Textfiels 3 3" xfId="387" xr:uid="{B309CBD5-38FB-4213-839F-18A459BB77D5}"/>
    <cellStyle name="2x indented GHG Textfiels 3 3 2" xfId="1021" xr:uid="{69A7324F-6DC8-4F95-8C5A-A639C206319D}"/>
    <cellStyle name="2x indented GHG Textfiels 3 3 3" xfId="1580" xr:uid="{9C69BFF0-C236-47FC-B01F-7F3945F36B0D}"/>
    <cellStyle name="2x indented GHG Textfiels 3 4" xfId="506" xr:uid="{955C4AAE-C6AD-486A-B34D-F521598360AE}"/>
    <cellStyle name="2x indented GHG Textfiels 3 4 2" xfId="1138" xr:uid="{591B151D-706C-42F5-A942-193DA55CE3ED}"/>
    <cellStyle name="2x indented GHG Textfiels 3 4 3" xfId="1697" xr:uid="{E69FDF88-DBF5-4CCD-9F20-F8ECF4B11F16}"/>
    <cellStyle name="2x indented GHG Textfiels 3 5" xfId="479" xr:uid="{A7C7E4A4-528D-4A23-BFD2-47DDEA43F7CE}"/>
    <cellStyle name="2x indented GHG Textfiels 3 5 2" xfId="1111" xr:uid="{5980857C-8849-414F-8D4F-36AE52BCEE93}"/>
    <cellStyle name="2x indented GHG Textfiels 3 5 3" xfId="1671" xr:uid="{2F90311C-4320-40B3-B316-8CF50A137E1F}"/>
    <cellStyle name="2x indented GHG Textfiels 3 6" xfId="547" xr:uid="{482676BF-0578-416E-A444-70D6AE21F614}"/>
    <cellStyle name="2x indented GHG Textfiels 3 6 2" xfId="1175" xr:uid="{54A6AC6A-EE0E-4AFB-8540-376FB5D7A944}"/>
    <cellStyle name="2x indented GHG Textfiels 3 6 3" xfId="1734" xr:uid="{377E65ED-DE1B-4178-8E09-11FDE9A6AFF6}"/>
    <cellStyle name="2x indented GHG Textfiels 3 7" xfId="820" xr:uid="{A9E779B3-39BA-4364-996A-D71828344C5F}"/>
    <cellStyle name="2x indented GHG Textfiels 3 8" xfId="1377" xr:uid="{451F22DA-B6FF-435D-B4EF-A51A7712852F}"/>
    <cellStyle name="2x indented GHG Textfiels 4" xfId="256" xr:uid="{3300E994-237D-4858-9C8E-41D1B662EF34}"/>
    <cellStyle name="2x indented GHG Textfiels 4 2" xfId="895" xr:uid="{4D1987E1-CE99-45AE-B797-F79EF29A72D4}"/>
    <cellStyle name="2x indented GHG Textfiels 4 3" xfId="1453" xr:uid="{FC4DAB1E-E68B-4578-A182-61E087192D3F}"/>
    <cellStyle name="2x indented GHG Textfiels 5" xfId="376" xr:uid="{4D80B683-3726-4F4C-B985-BE3666175819}"/>
    <cellStyle name="2x indented GHG Textfiels 5 2" xfId="1010" xr:uid="{EF799BAA-E547-480E-BF31-2847AFA96C85}"/>
    <cellStyle name="2x indented GHG Textfiels 5 3" xfId="1569" xr:uid="{7D4BD2EA-BE09-4A4D-83F6-12C2FEA8B611}"/>
    <cellStyle name="2x indented GHG Textfiels 6" xfId="363" xr:uid="{A27BB5C6-8FD0-461A-975D-9655748E6DF7}"/>
    <cellStyle name="2x indented GHG Textfiels 6 2" xfId="998" xr:uid="{696FFF6D-9DA6-40A3-BD97-EB051A576192}"/>
    <cellStyle name="2x indented GHG Textfiels 6 3" xfId="1556" xr:uid="{51A1266C-5595-4AC5-BCF3-B08273B06C05}"/>
    <cellStyle name="2x indented GHG Textfiels 7" xfId="569" xr:uid="{B04EDAA8-540C-4016-B925-0E7D0520F1CC}"/>
    <cellStyle name="2x indented GHG Textfiels 7 2" xfId="1197" xr:uid="{EE3C1A6F-9042-448D-98FE-7F0C46CC2C7D}"/>
    <cellStyle name="2x indented GHG Textfiels 7 3" xfId="1756" xr:uid="{0BCB27D9-7806-4695-A2DC-0849C4D7ADC7}"/>
    <cellStyle name="2x indented GHG Textfiels 8" xfId="614" xr:uid="{4B15C0B5-33D9-4189-ACAD-DCCEA08E7207}"/>
    <cellStyle name="2x indented GHG Textfiels 8 2" xfId="1238" xr:uid="{75A2237B-F814-4745-BB43-40DE35FC48F7}"/>
    <cellStyle name="2x indented GHG Textfiels 8 3" xfId="1797" xr:uid="{0E3E741F-AE98-4A28-9A38-5D77ACF84F92}"/>
    <cellStyle name="2x indented GHG Textfiels 9" xfId="760" xr:uid="{626265F4-EAE6-4B56-9ACB-DADECFF44C9B}"/>
    <cellStyle name="40% - Accent5" xfId="19" builtinId="47"/>
    <cellStyle name="5x indented GHG Textfiels" xfId="95" xr:uid="{6A00DDEA-C8CE-47A4-B953-6CCB2EE690E7}"/>
    <cellStyle name="Accent5" xfId="18" builtinId="45"/>
    <cellStyle name="Adjustable" xfId="62" xr:uid="{309A78F8-DEFB-4B24-9538-08B373A9D5FC}"/>
    <cellStyle name="AggblueBoldCels" xfId="96" xr:uid="{F50A9F97-57D8-4A2F-A178-5CD453B4396C}"/>
    <cellStyle name="AggblueCels" xfId="97" xr:uid="{04D202A1-D919-4029-A7BB-E849F2D4F068}"/>
    <cellStyle name="AggBoldCells" xfId="98" xr:uid="{AB7658FC-BF15-43E1-9E7A-00F9B007FAD0}"/>
    <cellStyle name="AggCels" xfId="99" xr:uid="{61428D91-7B84-4837-9FA3-45F8B6F81C55}"/>
    <cellStyle name="AggGreen" xfId="100" xr:uid="{26E53472-4FA0-4550-8124-07DAEF5F6BA1}"/>
    <cellStyle name="AggGreen 10" xfId="742" xr:uid="{3D1B0C64-A632-4180-A370-9192B8248DFE}"/>
    <cellStyle name="AggGreen 2" xfId="151" xr:uid="{E83B58F9-A9ED-49F5-AFCD-99256C8C9F68}"/>
    <cellStyle name="AggGreen 2 2" xfId="309" xr:uid="{4AD594F7-79C3-4A82-A3B1-56566F90A8ED}"/>
    <cellStyle name="AggGreen 2 2 2" xfId="946" xr:uid="{E28F2228-244C-436D-8612-7A5740195D7D}"/>
    <cellStyle name="AggGreen 2 2 3" xfId="1504" xr:uid="{CF720896-3434-457E-A5BA-EA689CFE99C4}"/>
    <cellStyle name="AggGreen 2 3" xfId="193" xr:uid="{725815BD-F0C4-4EF9-A47E-C2E9E15E6392}"/>
    <cellStyle name="AggGreen 2 3 2" xfId="832" xr:uid="{F2E4BB8D-48C7-4E79-A16F-A042DA112F20}"/>
    <cellStyle name="AggGreen 2 3 3" xfId="1390" xr:uid="{7DA2C1F0-18B4-4AF3-AB87-4F508C68214E}"/>
    <cellStyle name="AggGreen 2 4" xfId="501" xr:uid="{61A07E09-AAE3-4997-A71B-83677022DCE6}"/>
    <cellStyle name="AggGreen 2 4 2" xfId="1133" xr:uid="{9B4FE70E-77E3-4184-BB17-68A6EA6C8854}"/>
    <cellStyle name="AggGreen 2 4 3" xfId="1692" xr:uid="{B70F5652-8239-4B57-8C60-506461D615F5}"/>
    <cellStyle name="AggGreen 2 5" xfId="389" xr:uid="{FE97AFF7-F331-4144-978E-52D595A2EEBA}"/>
    <cellStyle name="AggGreen 2 5 2" xfId="1023" xr:uid="{6996FFBD-9BB2-4215-B79B-4D276B32F83D}"/>
    <cellStyle name="AggGreen 2 5 3" xfId="1582" xr:uid="{7A9FEBAE-482D-4A22-BCA0-34679A09EAA0}"/>
    <cellStyle name="AggGreen 2 6" xfId="496" xr:uid="{7BDCAAFA-19D6-4D16-8CCD-856A3D4A8D04}"/>
    <cellStyle name="AggGreen 2 6 2" xfId="1128" xr:uid="{BA5487BC-93F9-40CC-B0EF-97CC12231DE5}"/>
    <cellStyle name="AggGreen 2 6 3" xfId="1687" xr:uid="{8D8875CB-5914-444B-B8DE-1BE320031021}"/>
    <cellStyle name="AggGreen 2 7" xfId="793" xr:uid="{3419471F-4F37-4609-841C-66F05C6CF9E6}"/>
    <cellStyle name="AggGreen 2 8" xfId="1350" xr:uid="{25760918-25F8-4874-B764-66B9A8B78D24}"/>
    <cellStyle name="AggGreen 3" xfId="179" xr:uid="{94CC4947-00F4-40C6-8E97-61016CAA9A26}"/>
    <cellStyle name="AggGreen 3 2" xfId="337" xr:uid="{E196A273-974E-4E2D-9BA8-968D9FA578B4}"/>
    <cellStyle name="AggGreen 3 2 2" xfId="974" xr:uid="{6C9DC39F-922A-42F9-B071-F732F9AF8A90}"/>
    <cellStyle name="AggGreen 3 2 3" xfId="1532" xr:uid="{25DD5062-1356-414D-A2F4-5F0760C143A9}"/>
    <cellStyle name="AggGreen 3 3" xfId="431" xr:uid="{8C2E22AB-3AE2-4E99-A132-A558466A86F7}"/>
    <cellStyle name="AggGreen 3 3 2" xfId="1064" xr:uid="{1C0B0445-68D4-406F-87BE-9F84AE8F27C0}"/>
    <cellStyle name="AggGreen 3 3 3" xfId="1623" xr:uid="{2592465A-B3E2-4F73-A330-9A519EFB82BD}"/>
    <cellStyle name="AggGreen 3 4" xfId="416" xr:uid="{771372F7-8AE6-477B-94AC-07BA9F635A22}"/>
    <cellStyle name="AggGreen 3 4 2" xfId="1049" xr:uid="{DCB35C7A-10AC-4666-AE31-3BF2F08227B1}"/>
    <cellStyle name="AggGreen 3 4 3" xfId="1608" xr:uid="{CAABF7A7-34D6-4D23-8A27-DCF73F889A0F}"/>
    <cellStyle name="AggGreen 3 5" xfId="423" xr:uid="{29391393-168B-4A4A-B91C-2A99988A32B4}"/>
    <cellStyle name="AggGreen 3 5 2" xfId="1056" xr:uid="{26C258E0-424F-4DA6-8E9A-03735645B6E2}"/>
    <cellStyle name="AggGreen 3 5 3" xfId="1615" xr:uid="{40D15075-3B4D-4F0C-9C37-0481ADCBCDEA}"/>
    <cellStyle name="AggGreen 3 6" xfId="619" xr:uid="{4866BAAE-4EEC-47CF-8C6D-53F32EA425E9}"/>
    <cellStyle name="AggGreen 3 6 2" xfId="1243" xr:uid="{3F16A852-54F4-4973-B2A6-B7A7C7F52F71}"/>
    <cellStyle name="AggGreen 3 6 3" xfId="1802" xr:uid="{F291BFFB-C3F9-408F-BA8E-A214F00A3514}"/>
    <cellStyle name="AggGreen 3 7" xfId="821" xr:uid="{F9FBC5C1-6348-48BD-8DF3-C7C3CE689C39}"/>
    <cellStyle name="AggGreen 3 8" xfId="1378" xr:uid="{1DE2113A-E9A8-4B44-9798-BCC5799C0A23}"/>
    <cellStyle name="AggGreen 4" xfId="263" xr:uid="{E4BFE2E5-B350-4FF4-BDDC-27420E43CD9E}"/>
    <cellStyle name="AggGreen 4 2" xfId="902" xr:uid="{BD35577F-220C-432A-B657-281566E7F4D3}"/>
    <cellStyle name="AggGreen 4 3" xfId="1460" xr:uid="{88A1A60F-4AC8-4EDB-A3CD-4E52985BAB83}"/>
    <cellStyle name="AggGreen 5" xfId="208" xr:uid="{05CF4996-DB76-4C45-A411-566E92190F3C}"/>
    <cellStyle name="AggGreen 5 2" xfId="847" xr:uid="{960173EF-EC4D-4AC8-AA89-67F9D23BDCD2}"/>
    <cellStyle name="AggGreen 5 3" xfId="1405" xr:uid="{12B1350D-C924-4B7B-9FE4-4CE1EED4E860}"/>
    <cellStyle name="AggGreen 6" xfId="462" xr:uid="{2810283C-4412-4B2B-B8AB-6BDF3C95E150}"/>
    <cellStyle name="AggGreen 6 2" xfId="1094" xr:uid="{054D5D53-4535-4B76-9CF1-2C945EBE4CF1}"/>
    <cellStyle name="AggGreen 6 3" xfId="1654" xr:uid="{BFDB6965-35AA-4433-918C-476FE9F62443}"/>
    <cellStyle name="AggGreen 7" xfId="447" xr:uid="{876A4A08-7680-4D7F-B539-7ED9A6CDD520}"/>
    <cellStyle name="AggGreen 7 2" xfId="1080" xr:uid="{39B25F29-4F8A-4AF7-B95E-01D98ECBEFBC}"/>
    <cellStyle name="AggGreen 7 3" xfId="1639" xr:uid="{385D068E-713F-47C1-A12E-1F02C9F0392C}"/>
    <cellStyle name="AggGreen 8" xfId="441" xr:uid="{89C62339-0950-44F9-8D03-DF5C18E29EF1}"/>
    <cellStyle name="AggGreen 8 2" xfId="1074" xr:uid="{38C0F606-54C3-49EF-ABF2-8E4354AB62FD}"/>
    <cellStyle name="AggGreen 8 3" xfId="1633" xr:uid="{2BA867F4-E477-45CB-B444-D972CB420F43}"/>
    <cellStyle name="AggGreen 9" xfId="761" xr:uid="{CCC7E02C-3535-4603-80EB-63CBE4F0C3C1}"/>
    <cellStyle name="AggGreen12" xfId="101" xr:uid="{0C75AA36-AA20-4441-8B1F-4993B31B0D92}"/>
    <cellStyle name="AggGreen12 10" xfId="744" xr:uid="{0675A6B4-59BE-4A8D-922C-3E3B8AF573C7}"/>
    <cellStyle name="AggGreen12 2" xfId="152" xr:uid="{0F21DA8B-72DA-4BE6-981F-39E18490B008}"/>
    <cellStyle name="AggGreen12 2 2" xfId="310" xr:uid="{66B1FDD9-5D2E-4257-B068-3F088765BFCA}"/>
    <cellStyle name="AggGreen12 2 2 2" xfId="947" xr:uid="{408A6650-1C19-4151-BAEE-797FCFC1272D}"/>
    <cellStyle name="AggGreen12 2 2 3" xfId="1505" xr:uid="{1DF54D39-AD48-4871-95FE-91BDA77BB185}"/>
    <cellStyle name="AggGreen12 2 3" xfId="223" xr:uid="{09BF8ACD-F7C6-4CCB-9423-17F0CADD3015}"/>
    <cellStyle name="AggGreen12 2 3 2" xfId="862" xr:uid="{0A20E2F7-1DC1-41D3-929A-D5FBD2783CD4}"/>
    <cellStyle name="AggGreen12 2 3 3" xfId="1420" xr:uid="{CAAC00F6-D7BC-44AD-A007-DFDEA1FE397C}"/>
    <cellStyle name="AggGreen12 2 4" xfId="262" xr:uid="{3AFFCF6F-1464-4942-A738-3922A433CCBD}"/>
    <cellStyle name="AggGreen12 2 4 2" xfId="901" xr:uid="{5F0D1AE9-0AD6-4534-A319-0A335277CDF8}"/>
    <cellStyle name="AggGreen12 2 4 3" xfId="1459" xr:uid="{4CFE88D0-009E-4115-9E40-7B163CD53207}"/>
    <cellStyle name="AggGreen12 2 5" xfId="427" xr:uid="{55369979-645D-42F3-AC5B-CB505D068DBF}"/>
    <cellStyle name="AggGreen12 2 5 2" xfId="1060" xr:uid="{845C76F8-F2A7-42B8-8AC9-EC41524A0B01}"/>
    <cellStyle name="AggGreen12 2 5 3" xfId="1619" xr:uid="{685C9AB9-7794-42F7-ABE5-E43688FAD1AE}"/>
    <cellStyle name="AggGreen12 2 6" xfId="559" xr:uid="{ABE504A2-0BC5-48AE-BBCF-2FE23261E66B}"/>
    <cellStyle name="AggGreen12 2 6 2" xfId="1187" xr:uid="{628C9C54-7055-4089-BD2D-0A3143FD4AF6}"/>
    <cellStyle name="AggGreen12 2 6 3" xfId="1746" xr:uid="{DA310BE2-16C9-4484-B16F-FDE3464822B0}"/>
    <cellStyle name="AggGreen12 2 7" xfId="794" xr:uid="{F5CB0A7D-B69F-4F7B-A78E-39877B0CB0C6}"/>
    <cellStyle name="AggGreen12 2 8" xfId="1351" xr:uid="{271B69DE-A986-4B14-8E0B-331178C3F90E}"/>
    <cellStyle name="AggGreen12 3" xfId="180" xr:uid="{D496D3C5-4131-4E31-B0C7-6E45EE9039F9}"/>
    <cellStyle name="AggGreen12 3 2" xfId="338" xr:uid="{84699607-A9B4-4465-B9C0-17615ED21B71}"/>
    <cellStyle name="AggGreen12 3 2 2" xfId="975" xr:uid="{CCA7F7BB-9B0D-43FA-B605-A17F9CCA8C68}"/>
    <cellStyle name="AggGreen12 3 2 3" xfId="1533" xr:uid="{C170D154-AA79-4EDF-978A-69DD312BA18A}"/>
    <cellStyle name="AggGreen12 3 3" xfId="372" xr:uid="{25D19E3B-431C-4A02-B343-83EB45A9D831}"/>
    <cellStyle name="AggGreen12 3 3 2" xfId="1006" xr:uid="{859CC643-1AA9-4E2C-888F-B705D90BF7BD}"/>
    <cellStyle name="AggGreen12 3 3 3" xfId="1565" xr:uid="{8457775C-E805-4FF4-B94F-3991EFC37B53}"/>
    <cellStyle name="AggGreen12 3 4" xfId="454" xr:uid="{35DF91D1-7C7A-4FF7-823D-46896D0EFDC9}"/>
    <cellStyle name="AggGreen12 3 4 2" xfId="1087" xr:uid="{65C74F9F-17C5-4121-B9A3-E4746378B26F}"/>
    <cellStyle name="AggGreen12 3 4 3" xfId="1646" xr:uid="{24A891D5-989C-413E-9ABA-8EC25568075E}"/>
    <cellStyle name="AggGreen12 3 5" xfId="594" xr:uid="{81BE4522-1714-4CEC-9520-2E697ADF504D}"/>
    <cellStyle name="AggGreen12 3 5 2" xfId="1219" xr:uid="{5A43D97B-8AC5-464F-B0D6-44AD6C7C3B0C}"/>
    <cellStyle name="AggGreen12 3 5 3" xfId="1777" xr:uid="{2EF81911-08B3-48D4-B6A3-16E9819DF236}"/>
    <cellStyle name="AggGreen12 3 6" xfId="643" xr:uid="{EC076B4C-B4D1-4190-AD55-383EBC0258CC}"/>
    <cellStyle name="AggGreen12 3 6 2" xfId="1267" xr:uid="{E1B3B5C7-F1BA-4A09-9FE0-355798451D70}"/>
    <cellStyle name="AggGreen12 3 6 3" xfId="1824" xr:uid="{DBCE76C6-F95A-45CF-84CD-42CDDF058BED}"/>
    <cellStyle name="AggGreen12 3 7" xfId="822" xr:uid="{7A495C94-15FF-45E1-ADD4-C971EB195D5E}"/>
    <cellStyle name="AggGreen12 3 8" xfId="1379" xr:uid="{9557B24C-EDF7-43AB-ADFF-570C73EF90D5}"/>
    <cellStyle name="AggGreen12 4" xfId="264" xr:uid="{34CC0A48-F36B-4DC8-B601-A8A17D09848D}"/>
    <cellStyle name="AggGreen12 4 2" xfId="903" xr:uid="{8E04A2B6-F0AC-4DB1-981E-26DACBD7E3CB}"/>
    <cellStyle name="AggGreen12 4 3" xfId="1461" xr:uid="{8F84CDCF-DCE3-4D75-872C-5F02D4128A74}"/>
    <cellStyle name="AggGreen12 5" xfId="257" xr:uid="{0AD51250-FCEB-4DA5-9108-CBA977D4A213}"/>
    <cellStyle name="AggGreen12 5 2" xfId="896" xr:uid="{BD52DB89-42A6-49D7-9E02-FEB3E0A5EAA3}"/>
    <cellStyle name="AggGreen12 5 3" xfId="1454" xr:uid="{B1A68FED-5E09-452D-AF16-42BA19114F09}"/>
    <cellStyle name="AggGreen12 6" xfId="442" xr:uid="{443290B2-50C5-465C-B0C9-6E89ED2C8C50}"/>
    <cellStyle name="AggGreen12 6 2" xfId="1075" xr:uid="{670918AF-F56E-4E12-AFED-501197DC35B9}"/>
    <cellStyle name="AggGreen12 6 3" xfId="1634" xr:uid="{94739977-2850-4AF2-81DE-926A94970BF6}"/>
    <cellStyle name="AggGreen12 7" xfId="502" xr:uid="{A7CF2BE2-BA64-44DD-BF8A-59A9002070E8}"/>
    <cellStyle name="AggGreen12 7 2" xfId="1134" xr:uid="{AAF2A88F-18FD-485D-9758-832EB9D126C9}"/>
    <cellStyle name="AggGreen12 7 3" xfId="1693" xr:uid="{275C5264-C281-4B93-ADF6-0033A124362D}"/>
    <cellStyle name="AggGreen12 8" xfId="598" xr:uid="{30EA4ED8-9F26-446C-A9D1-1F09726C3791}"/>
    <cellStyle name="AggGreen12 8 2" xfId="1223" xr:uid="{029610FB-00CE-4A42-B14A-0D422996B5C0}"/>
    <cellStyle name="AggGreen12 8 3" xfId="1781" xr:uid="{29EDF82F-A8E3-4084-863D-0A6A5470CABF}"/>
    <cellStyle name="AggGreen12 9" xfId="762" xr:uid="{ADF84FDB-2E97-421F-AC2C-6012CC1C84B3}"/>
    <cellStyle name="AggOrange" xfId="102" xr:uid="{6265DD68-3833-4319-AA51-5AB76A326E8E}"/>
    <cellStyle name="AggOrange 10" xfId="739" xr:uid="{36004C7D-691E-4941-A49C-6B8FBFA10EB5}"/>
    <cellStyle name="AggOrange 2" xfId="153" xr:uid="{C3DCA546-B3A9-420D-BB5C-49FDD44BA654}"/>
    <cellStyle name="AggOrange 2 2" xfId="311" xr:uid="{DBD72409-9CA0-4151-9DC2-58B13933B88B}"/>
    <cellStyle name="AggOrange 2 2 2" xfId="948" xr:uid="{98AA1B37-F332-4481-8329-A07E8DCCAC3D}"/>
    <cellStyle name="AggOrange 2 2 3" xfId="1506" xr:uid="{4FF0051E-2EE8-46ED-B153-EACE8739A0F9}"/>
    <cellStyle name="AggOrange 2 3" xfId="369" xr:uid="{CD49034F-305B-4F11-8CDA-6711629825F1}"/>
    <cellStyle name="AggOrange 2 3 2" xfId="1004" xr:uid="{798F6ABC-782B-47E1-8362-CC5C4F8B90F2}"/>
    <cellStyle name="AggOrange 2 3 3" xfId="1562" xr:uid="{40B66FDA-CE3E-4EA7-84CB-13469DE466A0}"/>
    <cellStyle name="AggOrange 2 4" xfId="440" xr:uid="{FCEB99BD-6F50-466B-AE98-60D1D153E9EB}"/>
    <cellStyle name="AggOrange 2 4 2" xfId="1073" xr:uid="{885A8A62-FFF4-42B5-BFA6-6577BEA1490A}"/>
    <cellStyle name="AggOrange 2 4 3" xfId="1632" xr:uid="{63498F0E-A97A-41BF-94E8-9C1293991762}"/>
    <cellStyle name="AggOrange 2 5" xfId="495" xr:uid="{F6273A2B-AD5F-4555-B1DB-D1DEA8B51114}"/>
    <cellStyle name="AggOrange 2 5 2" xfId="1127" xr:uid="{94F3DA5F-890E-4022-867B-EE096465DB5F}"/>
    <cellStyle name="AggOrange 2 5 3" xfId="1686" xr:uid="{5573A518-F5C0-45AC-B73C-23CF0565F189}"/>
    <cellStyle name="AggOrange 2 6" xfId="629" xr:uid="{AD0D9BB7-D855-4589-B58C-8C576B13A6EC}"/>
    <cellStyle name="AggOrange 2 6 2" xfId="1253" xr:uid="{191485B6-FD97-4D50-A64E-40C1129F1B85}"/>
    <cellStyle name="AggOrange 2 6 3" xfId="1811" xr:uid="{B30FCBD3-237B-43DE-B109-E28E4B3B3290}"/>
    <cellStyle name="AggOrange 2 7" xfId="795" xr:uid="{09FBF848-71D5-419E-A08C-908C49664AF4}"/>
    <cellStyle name="AggOrange 2 8" xfId="1352" xr:uid="{0DD6042F-6B6D-492B-812F-5274140E6595}"/>
    <cellStyle name="AggOrange 3" xfId="181" xr:uid="{24A7F0D4-7AB0-4B3C-ADA1-ADA372BA95D6}"/>
    <cellStyle name="AggOrange 3 2" xfId="339" xr:uid="{2B74120C-5C2B-490A-B1FD-7268B602845D}"/>
    <cellStyle name="AggOrange 3 2 2" xfId="976" xr:uid="{34F0E783-645A-43C4-8F29-583A0EA9A852}"/>
    <cellStyle name="AggOrange 3 2 3" xfId="1534" xr:uid="{8AC327A1-2044-4621-8846-0729BDF08756}"/>
    <cellStyle name="AggOrange 3 3" xfId="388" xr:uid="{FD685C5C-1294-492B-A17B-7642AF836820}"/>
    <cellStyle name="AggOrange 3 3 2" xfId="1022" xr:uid="{09B1806C-1A2B-4B8F-BFB6-5722713DA6AA}"/>
    <cellStyle name="AggOrange 3 3 3" xfId="1581" xr:uid="{AC5DD444-25B7-47C3-88E1-34E114316C1C}"/>
    <cellStyle name="AggOrange 3 4" xfId="420" xr:uid="{E8CEFEB5-B0DA-4577-A8BF-65245AFFDF41}"/>
    <cellStyle name="AggOrange 3 4 2" xfId="1053" xr:uid="{CC7CAE7C-269B-4BCB-9987-D9843D89D1D8}"/>
    <cellStyle name="AggOrange 3 4 3" xfId="1612" xr:uid="{BD388F4E-113F-4F4F-AECB-1165E14D2029}"/>
    <cellStyle name="AggOrange 3 5" xfId="595" xr:uid="{506F9A5C-D8B0-4CA2-9640-6F19999B9C17}"/>
    <cellStyle name="AggOrange 3 5 2" xfId="1220" xr:uid="{4738F6F7-5507-4CFF-99AD-032079CF4FAF}"/>
    <cellStyle name="AggOrange 3 5 3" xfId="1778" xr:uid="{A8A76D9B-67B5-4C6B-85A4-FA228FA2B719}"/>
    <cellStyle name="AggOrange 3 6" xfId="650" xr:uid="{44E20B3C-9B6F-4C32-9D43-5CE113442841}"/>
    <cellStyle name="AggOrange 3 6 2" xfId="1274" xr:uid="{7A869F66-7FE2-4C3B-A688-405973B7FA6A}"/>
    <cellStyle name="AggOrange 3 6 3" xfId="1831" xr:uid="{9552460F-497C-4523-8CED-9EDB2849CDC0}"/>
    <cellStyle name="AggOrange 3 7" xfId="823" xr:uid="{AD3B14CD-E83C-468D-A275-F4F8479C88C7}"/>
    <cellStyle name="AggOrange 3 8" xfId="1380" xr:uid="{775CC9E7-AEF8-4F97-B547-4A9461DAEC13}"/>
    <cellStyle name="AggOrange 4" xfId="265" xr:uid="{565E3F59-3B52-40F0-83B9-831531ABC147}"/>
    <cellStyle name="AggOrange 4 2" xfId="904" xr:uid="{F26B4609-C70F-4143-B400-6250960B1D4E}"/>
    <cellStyle name="AggOrange 4 3" xfId="1462" xr:uid="{405CB184-7200-4F6B-A023-30B419B04724}"/>
    <cellStyle name="AggOrange 5" xfId="198" xr:uid="{5E7F4AD9-7FC1-4C21-9387-5346B64B8FE5}"/>
    <cellStyle name="AggOrange 5 2" xfId="837" xr:uid="{A3BB26DF-E5CA-4C69-8AB9-94539BB9E9FE}"/>
    <cellStyle name="AggOrange 5 3" xfId="1395" xr:uid="{41C3EFF7-5D2B-48E7-99DA-11363741B340}"/>
    <cellStyle name="AggOrange 6" xfId="426" xr:uid="{28FCFA1D-0E71-4067-9B14-CF7F4AF87B7E}"/>
    <cellStyle name="AggOrange 6 2" xfId="1059" xr:uid="{93CAA7C8-09C5-425C-8331-FE63F2BC5F11}"/>
    <cellStyle name="AggOrange 6 3" xfId="1618" xr:uid="{C6397639-8188-406C-8C9F-88D34BFEA605}"/>
    <cellStyle name="AggOrange 7" xfId="464" xr:uid="{E4FA45C5-E670-4BAD-844A-688C2C79EBD8}"/>
    <cellStyle name="AggOrange 7 2" xfId="1096" xr:uid="{CD79D97D-74EE-4D62-BBAF-7F5AE16A235A}"/>
    <cellStyle name="AggOrange 7 3" xfId="1656" xr:uid="{AF407D9A-3673-4908-925B-C59B43E0EA58}"/>
    <cellStyle name="AggOrange 8" xfId="541" xr:uid="{9DB88329-3D5B-4881-A572-2E4D99C39D29}"/>
    <cellStyle name="AggOrange 8 2" xfId="1169" xr:uid="{B0CE1F53-4BB0-4CBF-A406-91CB49B6A197}"/>
    <cellStyle name="AggOrange 8 3" xfId="1728" xr:uid="{93250739-DE80-479B-B014-680B374930F4}"/>
    <cellStyle name="AggOrange 9" xfId="763" xr:uid="{C7E90CAB-7E98-45C2-BD23-323C397CAAD0}"/>
    <cellStyle name="AggOrange9" xfId="103" xr:uid="{2112D1BF-0591-4A26-B180-08365621B8D0}"/>
    <cellStyle name="AggOrange9 10" xfId="732" xr:uid="{716D6DAA-7C98-40C3-BF86-8AF4AE86E1E0}"/>
    <cellStyle name="AggOrange9 2" xfId="154" xr:uid="{7966E9F7-9B03-4536-86DB-C8DBABCB9954}"/>
    <cellStyle name="AggOrange9 2 2" xfId="312" xr:uid="{2159BB01-3347-4417-A0F5-11D12170DD68}"/>
    <cellStyle name="AggOrange9 2 2 2" xfId="949" xr:uid="{4A574238-5C01-438B-BE3D-B06A4D77214E}"/>
    <cellStyle name="AggOrange9 2 2 3" xfId="1507" xr:uid="{9687BB63-6097-4C15-8B2E-7901FCE1892C}"/>
    <cellStyle name="AggOrange9 2 3" xfId="364" xr:uid="{D5496531-76DA-4961-AE4F-D51683DFB6AA}"/>
    <cellStyle name="AggOrange9 2 3 2" xfId="999" xr:uid="{136727B9-7B82-400A-83E7-9C2DDDCD752A}"/>
    <cellStyle name="AggOrange9 2 3 3" xfId="1557" xr:uid="{9557E0FF-59EB-44F9-84DE-48098399A0D7}"/>
    <cellStyle name="AggOrange9 2 4" xfId="422" xr:uid="{3B55D491-9DD9-457B-BAD3-206D55A9F5D0}"/>
    <cellStyle name="AggOrange9 2 4 2" xfId="1055" xr:uid="{1FC93E58-2661-4871-B808-192652B5D46F}"/>
    <cellStyle name="AggOrange9 2 4 3" xfId="1614" xr:uid="{3947E127-D7F9-418B-9C6A-7216DF749928}"/>
    <cellStyle name="AggOrange9 2 5" xfId="528" xr:uid="{80393AC3-1C11-48AB-BBAD-6B85FE92227E}"/>
    <cellStyle name="AggOrange9 2 5 2" xfId="1158" xr:uid="{2DFE6731-CB1F-4B87-89C0-48C6F3EA4C55}"/>
    <cellStyle name="AggOrange9 2 5 3" xfId="1717" xr:uid="{CF0150F6-70A5-410F-BB0A-7F43FFF3C04B}"/>
    <cellStyle name="AggOrange9 2 6" xfId="607" xr:uid="{9A5F571F-B388-47FC-883B-D85F1F356B4C}"/>
    <cellStyle name="AggOrange9 2 6 2" xfId="1232" xr:uid="{6093E1EE-C3D0-483E-87F2-D3970035DBB6}"/>
    <cellStyle name="AggOrange9 2 6 3" xfId="1790" xr:uid="{9EA4043D-0692-48B9-9E79-5D8E4F4BDE9C}"/>
    <cellStyle name="AggOrange9 2 7" xfId="796" xr:uid="{C4B3C15A-18BD-472D-A18C-D5C9EB9A7207}"/>
    <cellStyle name="AggOrange9 2 8" xfId="1353" xr:uid="{D4EE8A11-D617-4CCF-9F22-95C2E90D8EE5}"/>
    <cellStyle name="AggOrange9 3" xfId="182" xr:uid="{CAD601EF-10EA-47A5-B879-779AC1C8206D}"/>
    <cellStyle name="AggOrange9 3 2" xfId="340" xr:uid="{B455037B-7A72-46BB-A93B-89C77E84E681}"/>
    <cellStyle name="AggOrange9 3 2 2" xfId="977" xr:uid="{AE912B1D-9197-4960-9685-84F00BBAF302}"/>
    <cellStyle name="AggOrange9 3 2 3" xfId="1535" xr:uid="{B841DFDF-835E-4498-BB72-87B2EBB2892C}"/>
    <cellStyle name="AggOrange9 3 3" xfId="236" xr:uid="{509F44DF-D9C1-4D6C-B8C4-F0D93C442EDB}"/>
    <cellStyle name="AggOrange9 3 3 2" xfId="875" xr:uid="{309B3010-7B7E-4B3C-92B2-0DD0CEBDF6A7}"/>
    <cellStyle name="AggOrange9 3 3 3" xfId="1433" xr:uid="{82CBAA41-4592-4E79-A302-81239B37A803}"/>
    <cellStyle name="AggOrange9 3 4" xfId="192" xr:uid="{5491130E-2225-4974-B591-C91497F64FFD}"/>
    <cellStyle name="AggOrange9 3 4 2" xfId="831" xr:uid="{11C02AD9-30AB-45BC-A908-4DE2074DB6FA}"/>
    <cellStyle name="AggOrange9 3 4 3" xfId="1389" xr:uid="{2119C6EF-0A2D-4E10-8EE3-59FFAC7B5A15}"/>
    <cellStyle name="AggOrange9 3 5" xfId="596" xr:uid="{32BB6A22-7633-4A93-82B1-C85A3D66C732}"/>
    <cellStyle name="AggOrange9 3 5 2" xfId="1221" xr:uid="{274A6BF5-0D93-4088-89F8-BC9681D6C16A}"/>
    <cellStyle name="AggOrange9 3 5 3" xfId="1779" xr:uid="{26D8B705-1644-47F2-962A-75225382CB81}"/>
    <cellStyle name="AggOrange9 3 6" xfId="651" xr:uid="{EF3DC0E5-36EA-4F1D-AF42-D1F9666B08E3}"/>
    <cellStyle name="AggOrange9 3 6 2" xfId="1275" xr:uid="{68BB4CE1-D604-4CD0-9F94-0672C0155480}"/>
    <cellStyle name="AggOrange9 3 6 3" xfId="1832" xr:uid="{C27C3AF6-6346-4269-8CBB-88B3B88E9A15}"/>
    <cellStyle name="AggOrange9 3 7" xfId="824" xr:uid="{A1DD4363-471D-4D91-B28A-10D8CB02A412}"/>
    <cellStyle name="AggOrange9 3 8" xfId="1381" xr:uid="{F07CCB29-2764-4355-A5E3-584CC185C032}"/>
    <cellStyle name="AggOrange9 4" xfId="266" xr:uid="{3829BE73-D52C-4095-A947-2BE2675A002E}"/>
    <cellStyle name="AggOrange9 4 2" xfId="905" xr:uid="{63AFA14B-13D6-430D-8948-7AB123BEB718}"/>
    <cellStyle name="AggOrange9 4 3" xfId="1463" xr:uid="{B496BDD6-55D1-4E94-908D-6F1B41460FFC}"/>
    <cellStyle name="AggOrange9 5" xfId="429" xr:uid="{0E38A81A-437B-4553-B200-75D4B7532C77}"/>
    <cellStyle name="AggOrange9 5 2" xfId="1062" xr:uid="{3792D17F-2877-49F1-BF20-0ABA532C1708}"/>
    <cellStyle name="AggOrange9 5 3" xfId="1621" xr:uid="{D990432F-F5D5-4E4A-8DE5-E7B8CB5FBA22}"/>
    <cellStyle name="AggOrange9 6" xfId="478" xr:uid="{567738D9-BBC8-4B04-B16E-9A04E140FA3E}"/>
    <cellStyle name="AggOrange9 6 2" xfId="1110" xr:uid="{E97FC276-25E9-4333-B7A4-30CEE5AA96D8}"/>
    <cellStyle name="AggOrange9 6 3" xfId="1670" xr:uid="{FBA407DE-1841-4F0F-9B12-5553365A26C6}"/>
    <cellStyle name="AggOrange9 7" xfId="366" xr:uid="{6CC66A88-2601-4014-BCE1-6F06CBBAF91E}"/>
    <cellStyle name="AggOrange9 7 2" xfId="1001" xr:uid="{C4EE17D6-48F9-4224-B5D8-D1EEFAECFE6E}"/>
    <cellStyle name="AggOrange9 7 3" xfId="1559" xr:uid="{81E99702-C57C-4A78-A80F-5085D25AEA02}"/>
    <cellStyle name="AggOrange9 8" xfId="645" xr:uid="{3AD448BC-33A1-40CC-955E-01825BB47716}"/>
    <cellStyle name="AggOrange9 8 2" xfId="1269" xr:uid="{0C218629-7226-4CCB-A573-507AD80C38B9}"/>
    <cellStyle name="AggOrange9 8 3" xfId="1826" xr:uid="{8537A7A0-CC64-4BBC-8713-E6C01370EBDF}"/>
    <cellStyle name="AggOrange9 9" xfId="764" xr:uid="{1D3E0ECE-5BC6-44C5-89F3-21B9954B137F}"/>
    <cellStyle name="AggOrangeLB_2x" xfId="104" xr:uid="{A3237F88-89F1-4B5A-A287-8CF5B707FFF6}"/>
    <cellStyle name="AggOrangeLBorder" xfId="105" xr:uid="{5DE132BD-5642-4CBC-852E-3F6E837209D1}"/>
    <cellStyle name="AggOrangeLBorder 2" xfId="183" xr:uid="{B89AC121-176D-4309-B498-6A5465279BDB}"/>
    <cellStyle name="AggOrangeLBorder 2 2" xfId="341" xr:uid="{7EC41ECA-CCB3-49D3-AC7F-DA55C9AD7D8C}"/>
    <cellStyle name="AggOrangeLBorder 2 2 2" xfId="668" xr:uid="{DB2CD509-A177-42DC-9B19-3FA0905C4CBB}"/>
    <cellStyle name="AggOrangeLBorder 2 2 2 2" xfId="698" xr:uid="{4EB3D663-2693-45E3-AC59-76C65959FE39}"/>
    <cellStyle name="AggOrangeLBorder 2 2 2 2 2" xfId="1309" xr:uid="{75232E00-D49B-4402-99C8-25778E379093}"/>
    <cellStyle name="AggOrangeLBorder 2 2 2 3" xfId="1287" xr:uid="{9A0ACC37-2135-4E29-BD73-E192A8F38F27}"/>
    <cellStyle name="AggOrangeLBorder 2 2 3" xfId="978" xr:uid="{C7C1316F-5EBA-46E3-8F1A-74E924A6E3C3}"/>
    <cellStyle name="AggOrangeLBorder 2 3" xfId="513" xr:uid="{5F2AA316-9395-4A1C-8CA9-29029EA2BE67}"/>
    <cellStyle name="AggOrangeLBorder 2 3 2" xfId="673" xr:uid="{E33A5209-A22D-41A4-8BDC-223BB7B40FC2}"/>
    <cellStyle name="AggOrangeLBorder 2 3 2 2" xfId="702" xr:uid="{68A517E1-B22E-4F1B-9972-C9D8F1CDA71B}"/>
    <cellStyle name="AggOrangeLBorder 2 3 2 2 2" xfId="1313" xr:uid="{AE7DB546-CF65-4C96-9187-AE5E90C39B5F}"/>
    <cellStyle name="AggOrangeLBorder 2 3 2 3" xfId="1291" xr:uid="{2CDFD82C-5337-493A-A857-8669B4AAF2C9}"/>
    <cellStyle name="AggOrangeLBorder 2 3 3" xfId="1145" xr:uid="{B25F9583-DCA4-4DC3-AEC1-31F9B96AE61E}"/>
    <cellStyle name="AggOrangeLBorder 2 4" xfId="587" xr:uid="{4DDF8765-2624-4D5D-B830-4FE4495B2492}"/>
    <cellStyle name="AggOrangeLBorder 2 4 2" xfId="679" xr:uid="{19D25421-35D4-4A06-9995-074A1D794CB4}"/>
    <cellStyle name="AggOrangeLBorder 2 4 2 2" xfId="708" xr:uid="{118CB10C-9C03-4809-8F0B-BBB3FB00250C}"/>
    <cellStyle name="AggOrangeLBorder 2 4 2 2 2" xfId="1319" xr:uid="{F1182269-C5DE-4D7E-9917-B4A0E9DFAB46}"/>
    <cellStyle name="AggOrangeLBorder 2 4 2 3" xfId="1297" xr:uid="{CA057E53-A167-439A-8F9A-1632BFBE284F}"/>
    <cellStyle name="AggOrangeLBorder 2 4 3" xfId="1214" xr:uid="{9D787F19-9693-4D7A-A304-2041F727E9BB}"/>
    <cellStyle name="AggOrangeLBorder 2 5" xfId="571" xr:uid="{309CDAB4-FC48-4CA5-85DD-56ABCA199BC7}"/>
    <cellStyle name="AggOrangeLBorder 2 5 2" xfId="677" xr:uid="{E12284E7-5CED-4FF1-8AFA-E94D945D6808}"/>
    <cellStyle name="AggOrangeLBorder 2 5 2 2" xfId="706" xr:uid="{44571CC5-7550-45CE-A063-CCF17B94A4CD}"/>
    <cellStyle name="AggOrangeLBorder 2 5 2 2 2" xfId="1317" xr:uid="{BFDA542C-EF3D-4CBF-A771-D76C18BCF35D}"/>
    <cellStyle name="AggOrangeLBorder 2 5 2 3" xfId="1295" xr:uid="{C6F9414B-F239-42C6-B9AC-1A56DD355CC2}"/>
    <cellStyle name="AggOrangeLBorder 2 5 3" xfId="1199" xr:uid="{DC5DF337-F24D-41A5-8EE8-A6F896BC92C6}"/>
    <cellStyle name="AggOrangeLBorder 2 6" xfId="664" xr:uid="{A17B7E68-9033-4A1E-8051-321E65884C0D}"/>
    <cellStyle name="AggOrangeLBorder 2 6 2" xfId="694" xr:uid="{77EF674B-510F-4B76-9521-11E8F7EBC22E}"/>
    <cellStyle name="AggOrangeLBorder 2 6 2 2" xfId="1305" xr:uid="{3A8A8F03-29A8-482B-AD29-93197E009EB8}"/>
    <cellStyle name="AggOrangeLBorder 2 6 3" xfId="1283" xr:uid="{68AB30FD-0C0C-46BD-BA96-23A42655159E}"/>
    <cellStyle name="AggOrangeLBorder 2 7" xfId="825" xr:uid="{B5CFBEF1-7B25-4FC8-9F74-43E5871A6AB1}"/>
    <cellStyle name="AggOrangeLBorder 3" xfId="267" xr:uid="{9A0805AB-20C5-4556-AE1F-57CBDC546AE7}"/>
    <cellStyle name="AggOrangeLBorder 3 2" xfId="666" xr:uid="{A5CAEFAC-B40B-4A3A-B1E9-D2054D143BC4}"/>
    <cellStyle name="AggOrangeLBorder 3 2 2" xfId="696" xr:uid="{B6FA1221-8734-40A9-B8B3-B421F7E83840}"/>
    <cellStyle name="AggOrangeLBorder 3 2 2 2" xfId="1307" xr:uid="{C9BA1C82-9A74-426E-A195-11C12919D871}"/>
    <cellStyle name="AggOrangeLBorder 3 2 3" xfId="1285" xr:uid="{7979B602-CFA0-47F6-836A-D3CE07A116A2}"/>
    <cellStyle name="AggOrangeLBorder 3 3" xfId="906" xr:uid="{63266AA4-DD4D-455D-8812-95E6768BC9A5}"/>
    <cellStyle name="AggOrangeLBorder 4" xfId="397" xr:uid="{3572246E-B0A2-48CD-8899-4EDCABCBA0A3}"/>
    <cellStyle name="AggOrangeLBorder 4 2" xfId="670" xr:uid="{D7FC3571-AC15-466B-9E59-F3DB19FE1A16}"/>
    <cellStyle name="AggOrangeLBorder 4 2 2" xfId="700" xr:uid="{1E3DEC42-B2BC-496D-8970-91A0AB4B61F2}"/>
    <cellStyle name="AggOrangeLBorder 4 2 2 2" xfId="1311" xr:uid="{CE3D9546-F546-4CDD-B135-41860241B59E}"/>
    <cellStyle name="AggOrangeLBorder 4 2 3" xfId="1289" xr:uid="{D8CED675-1B3E-4517-A918-57A85C6C9533}"/>
    <cellStyle name="AggOrangeLBorder 4 3" xfId="1030" xr:uid="{509AB3D9-9A74-4D8D-920A-5BAE6231C739}"/>
    <cellStyle name="AggOrangeLBorder 5" xfId="529" xr:uid="{055D607B-F9E2-43B7-A2F9-28B6ED0FAF18}"/>
    <cellStyle name="AggOrangeLBorder 5 2" xfId="675" xr:uid="{850131CA-6744-4C4A-BFBA-006149110285}"/>
    <cellStyle name="AggOrangeLBorder 5 2 2" xfId="704" xr:uid="{EDF17D32-DA5A-4C18-B2EC-AC3FACF5B749}"/>
    <cellStyle name="AggOrangeLBorder 5 2 2 2" xfId="1315" xr:uid="{B246AA92-081A-4E34-B334-A67A4CC5DEA9}"/>
    <cellStyle name="AggOrangeLBorder 5 2 3" xfId="1293" xr:uid="{86BA11C7-663F-463A-A4F1-9D82F0ABCDFE}"/>
    <cellStyle name="AggOrangeLBorder 5 3" xfId="1159" xr:uid="{AD78195A-2E48-4CDA-91DD-D01A74F1A339}"/>
    <cellStyle name="AggOrangeLBorder 6" xfId="630" xr:uid="{1D2BA9DF-070B-4CB5-9DCA-20C6EF219D7D}"/>
    <cellStyle name="AggOrangeLBorder 6 2" xfId="682" xr:uid="{55D4241A-A8B9-489C-903C-CE71BE68B0B0}"/>
    <cellStyle name="AggOrangeLBorder 6 2 2" xfId="711" xr:uid="{FFE84DA1-0AF6-48D0-8DAA-1CC840D2415B}"/>
    <cellStyle name="AggOrangeLBorder 6 2 2 2" xfId="1322" xr:uid="{1CA9608D-1459-4577-8F3A-282BE60FFAA4}"/>
    <cellStyle name="AggOrangeLBorder 6 2 3" xfId="1300" xr:uid="{5F9196FF-91F4-40F9-A17C-1BFAB3DB419F}"/>
    <cellStyle name="AggOrangeLBorder 6 3" xfId="1254" xr:uid="{D5B6D6E4-3E1E-4846-96F3-DF16B8759000}"/>
    <cellStyle name="AggOrangeLBorder 7" xfId="661" xr:uid="{4C50A09D-63E0-47C9-92A3-54B50AFF79E2}"/>
    <cellStyle name="AggOrangeLBorder 7 2" xfId="692" xr:uid="{F3DFB84D-9A5B-41D2-A464-E6051728976E}"/>
    <cellStyle name="AggOrangeLBorder 7 2 2" xfId="1303" xr:uid="{43A82292-27BD-4E03-A2B2-82FAB8305CA8}"/>
    <cellStyle name="AggOrangeLBorder 7 3" xfId="1281" xr:uid="{BC4AC3A7-EFC5-4967-8B7E-1E4769ECA27C}"/>
    <cellStyle name="AggOrangeLBorder 8" xfId="765" xr:uid="{EB77EC60-1778-46F8-BBEF-5F9C391DDC49}"/>
    <cellStyle name="AggOrangeRBorder" xfId="106" xr:uid="{23CE50F6-85C4-41A3-8900-CBE06C80FED7}"/>
    <cellStyle name="AggOrangeRBorder 2" xfId="184" xr:uid="{39E6FD08-67F2-476F-B6EE-F95AB3EE3C61}"/>
    <cellStyle name="AggOrangeRBorder 2 2" xfId="342" xr:uid="{60FBC2BD-3A88-4B7C-8BEF-DD961A7F578A}"/>
    <cellStyle name="AggOrangeRBorder 2 2 2" xfId="1536" xr:uid="{D211E7DD-6429-4FAB-B28C-9BAEDD49300A}"/>
    <cellStyle name="AggOrangeRBorder 2 3" xfId="514" xr:uid="{7833C676-1236-40F7-852B-1CFE39FABDE7}"/>
    <cellStyle name="AggOrangeRBorder 2 3 2" xfId="1704" xr:uid="{3CF0E2B2-0532-471E-8750-E137AFC51A4A}"/>
    <cellStyle name="AggOrangeRBorder 2 4" xfId="588" xr:uid="{3F44B8E2-45DB-4A05-8881-B41AC644A088}"/>
    <cellStyle name="AggOrangeRBorder 2 4 2" xfId="1772" xr:uid="{B338689F-10A3-43D7-88A6-7F1E2F3806B2}"/>
    <cellStyle name="AggOrangeRBorder 2 5" xfId="628" xr:uid="{CE8C878E-7CC1-4C38-B8B1-F832567735E4}"/>
    <cellStyle name="AggOrangeRBorder 2 5 2" xfId="1810" xr:uid="{CC93F15C-7091-463E-93B4-8EDC9D8F115C}"/>
    <cellStyle name="AggOrangeRBorder 2 6" xfId="1382" xr:uid="{68399403-2C06-43A8-AF24-82EA84CE5F00}"/>
    <cellStyle name="AggOrangeRBorder 3" xfId="268" xr:uid="{7FAA8775-43D5-431D-AE91-CA0A4EEF7486}"/>
    <cellStyle name="AggOrangeRBorder 3 2" xfId="1464" xr:uid="{0E15952C-6E9C-4F9F-A2F2-D7F71413F8C7}"/>
    <cellStyle name="AggOrangeRBorder 4" xfId="510" xr:uid="{D85F98DF-1F52-4419-BFD4-CCEDDD398D68}"/>
    <cellStyle name="AggOrangeRBorder 4 2" xfId="1701" xr:uid="{E258980C-9815-4387-8D5D-3D63C734774C}"/>
    <cellStyle name="AggOrangeRBorder 5" xfId="530" xr:uid="{AB66B6B4-3187-4866-9F55-2436931A2BD1}"/>
    <cellStyle name="AggOrangeRBorder 5 2" xfId="1718" xr:uid="{87C01E6E-3A20-4CB1-89DE-812DEA616F81}"/>
    <cellStyle name="AggOrangeRBorder 6" xfId="494" xr:uid="{FF40F03A-870D-4518-BB8B-02FECC37B758}"/>
    <cellStyle name="AggOrangeRBorder 6 2" xfId="1685" xr:uid="{09D67631-5718-4B22-902E-A4B26E161C39}"/>
    <cellStyle name="AggOrangeRBorder 7" xfId="1323" xr:uid="{62E98580-9436-4DB1-932A-9DA9804D81CB}"/>
    <cellStyle name="Background" xfId="22" xr:uid="{73BFFEDB-67BA-4F04-8393-A1498B3698B5}"/>
    <cellStyle name="Best" xfId="63" xr:uid="{2B1069B9-2011-46DA-BF04-06D50E26767B}"/>
    <cellStyle name="Calculation 1" xfId="4" xr:uid="{00000000-0005-0000-0000-000001000000}"/>
    <cellStyle name="Calculation 2" xfId="5" xr:uid="{00000000-0005-0000-0000-000002000000}"/>
    <cellStyle name="Calculation 2 2" xfId="41" xr:uid="{D9BE3F0B-BE2A-44D3-A4D7-8D39F7543EF7}"/>
    <cellStyle name="Calculation 3" xfId="58" xr:uid="{D97E99FD-7B69-47B4-9BEB-E86954C62809}"/>
    <cellStyle name="Centre_locked" xfId="26" xr:uid="{5F3F5EF3-D75E-4172-94DC-E1A2E9F3F4C1}"/>
    <cellStyle name="Comma" xfId="14" builtinId="3"/>
    <cellStyle name="Comma 12" xfId="715" xr:uid="{671ED5EA-5725-4ED0-B963-2DB393353DAD}"/>
    <cellStyle name="Comma 2" xfId="29" xr:uid="{049B7ACE-7026-4B10-A530-7CD2176EBDDF}"/>
    <cellStyle name="Comma 2 2" xfId="107" xr:uid="{B61E4D90-CD8D-4C58-AEA6-35295F63C7FE}"/>
    <cellStyle name="Comma 2 2 2" xfId="662" xr:uid="{D3FCE2DD-C27E-4F35-B7BE-25CB929F19EF}"/>
    <cellStyle name="Comma 2 2 3" xfId="689" xr:uid="{C56CD17D-9526-4356-8637-F12561565AF3}"/>
    <cellStyle name="Comma 2 3" xfId="659" xr:uid="{6F84AD33-4AC9-4A5D-91BE-7EF6624B8F9A}"/>
    <cellStyle name="Comma 2 4" xfId="687" xr:uid="{50038EBC-7E91-4B9B-9F54-AC16A27818EE}"/>
    <cellStyle name="Comma 3" xfId="93" xr:uid="{A7C5435E-DCF7-4CDF-9FA6-522AB19E8938}"/>
    <cellStyle name="Comma 3 2" xfId="660" xr:uid="{B4A542E7-ABC0-4614-A9E8-C306344007EA}"/>
    <cellStyle name="Comma 3 3" xfId="688" xr:uid="{20339358-5105-4CB9-A566-FAE6C582AA1E}"/>
    <cellStyle name="Comma 4" xfId="655" xr:uid="{0DA29E4E-E3AC-4319-8248-6BC92EAB5B62}"/>
    <cellStyle name="Comma 4 2" xfId="683" xr:uid="{EC572F54-3587-4A73-A4A9-CF1D0D218CBE}"/>
    <cellStyle name="Comma 4 3" xfId="690" xr:uid="{D56CA928-1D52-45EE-B751-994D8A722F86}"/>
    <cellStyle name="Comma 5" xfId="656" xr:uid="{4A783619-6517-4D76-A60C-03D766D7F6D0}"/>
    <cellStyle name="Comma 5 2" xfId="684" xr:uid="{58CFCC96-71E2-47C6-AA71-B4C5B248353B}"/>
    <cellStyle name="Comma 5 3" xfId="691" xr:uid="{3BA278B0-1FD8-48B0-B386-2CD23230973B}"/>
    <cellStyle name="Comma 6" xfId="657" xr:uid="{B7144128-B4D6-47D8-99A3-9F5B701D499B}"/>
    <cellStyle name="Comma 7" xfId="685" xr:uid="{3E0E2E67-DD91-4359-8553-1FE0FE966BAE}"/>
    <cellStyle name="Constant" xfId="1" xr:uid="{00000000-0005-0000-0000-000003000000}"/>
    <cellStyle name="Constants" xfId="108" xr:uid="{838CBD3D-4072-46DA-918F-E4B235F495AE}"/>
    <cellStyle name="Currency 2" xfId="658" xr:uid="{7D71D307-BD00-4F33-9681-9BE6D8910DD2}"/>
    <cellStyle name="Currency 3" xfId="686" xr:uid="{67B3B07E-99C1-4B72-AD64-8EF338F54DB5}"/>
    <cellStyle name="CustomCellsOrange" xfId="109" xr:uid="{403896CF-65DD-4ED1-9B8C-2FE3DBC00520}"/>
    <cellStyle name="CustomCellsOrange 2" xfId="185" xr:uid="{3D97BC0B-A51D-47E4-A5C4-01C358BE9F78}"/>
    <cellStyle name="CustomCellsOrange 2 2" xfId="343" xr:uid="{D1F33D4C-B23F-4F24-A18C-66E4CC9D30E4}"/>
    <cellStyle name="CustomCellsOrange 2 2 2" xfId="1537" xr:uid="{75EF13C4-E4FF-4299-98DC-121B95AD285C}"/>
    <cellStyle name="CustomCellsOrange 2 3" xfId="515" xr:uid="{D3C82F0D-44D2-4D58-8E9E-157D6D01DC24}"/>
    <cellStyle name="CustomCellsOrange 2 3 2" xfId="1705" xr:uid="{FF70CF34-C256-4057-B82A-8BC084004882}"/>
    <cellStyle name="CustomCellsOrange 2 4" xfId="589" xr:uid="{775B4EC4-BDCA-4501-8847-16EF7B34138D}"/>
    <cellStyle name="CustomCellsOrange 2 4 2" xfId="1773" xr:uid="{9840AD64-8D77-4FF9-A3A9-B47D0B5037A7}"/>
    <cellStyle name="CustomCellsOrange 2 5" xfId="393" xr:uid="{026FC465-9F79-4CBB-BE78-96B22F60BB5D}"/>
    <cellStyle name="CustomCellsOrange 2 5 2" xfId="1586" xr:uid="{FCAA2CDD-AC51-43F9-9E6E-1A1D27153F5C}"/>
    <cellStyle name="CustomCellsOrange 2 6" xfId="1383" xr:uid="{C81BD0F3-CEE4-4010-8A52-ED1FCDAB4977}"/>
    <cellStyle name="CustomCellsOrange 3" xfId="270" xr:uid="{586A4B73-AF78-4074-9F28-DECBB8B8A2E1}"/>
    <cellStyle name="CustomCellsOrange 3 2" xfId="1466" xr:uid="{A2E5C1FE-4D0B-440D-B0CB-25A28CB592BD}"/>
    <cellStyle name="CustomCellsOrange 4" xfId="461" xr:uid="{031D1B95-0ED5-43D0-AF8E-062BEF13E5D8}"/>
    <cellStyle name="CustomCellsOrange 4 2" xfId="1653" xr:uid="{EFD8DB9B-542F-4DEA-B3D9-CB47689DD217}"/>
    <cellStyle name="CustomCellsOrange 5" xfId="533" xr:uid="{0BEB9962-B769-4238-97FE-2BFA71B26470}"/>
    <cellStyle name="CustomCellsOrange 5 2" xfId="1721" xr:uid="{1602356F-0E45-4613-8ECF-56EDE044F7F3}"/>
    <cellStyle name="CustomCellsOrange 6" xfId="609" xr:uid="{33CA05AB-8435-43D1-9094-F047A15E4A60}"/>
    <cellStyle name="CustomCellsOrange 6 2" xfId="1792" xr:uid="{72EA215B-032C-4D39-888E-AF61F6719961}"/>
    <cellStyle name="CustomCellsOrange 7" xfId="1324" xr:uid="{883A5E38-25BD-41DD-9A50-EC6C20B435B1}"/>
    <cellStyle name="CustomizationCells" xfId="110" xr:uid="{BB7863FB-5C89-472D-A985-1193615A24F3}"/>
    <cellStyle name="CustomizationCells 2" xfId="186" xr:uid="{DFCCA2D7-1878-4131-92DC-30AE424C3796}"/>
    <cellStyle name="CustomizationCells 2 2" xfId="344" xr:uid="{4690B598-AD71-43AA-B0D6-5793FBC82756}"/>
    <cellStyle name="CustomizationCells 2 2 2" xfId="1538" xr:uid="{49BACDD8-1089-4168-A773-C41085414A7F}"/>
    <cellStyle name="CustomizationCells 2 3" xfId="516" xr:uid="{12EB2392-9E99-4D3D-984E-D06D6FA844E4}"/>
    <cellStyle name="CustomizationCells 2 3 2" xfId="1706" xr:uid="{9CABC680-520B-409D-9EB3-2E5F0268BD2D}"/>
    <cellStyle name="CustomizationCells 2 4" xfId="590" xr:uid="{001F67CC-F954-48F9-8233-4F76895D8049}"/>
    <cellStyle name="CustomizationCells 2 4 2" xfId="1774" xr:uid="{ED4AEB02-B654-4135-B37B-6A584F3387F5}"/>
    <cellStyle name="CustomizationCells 2 5" xfId="487" xr:uid="{7100CD68-6D8F-4B8D-B2D6-24B23144BACC}"/>
    <cellStyle name="CustomizationCells 2 5 2" xfId="1678" xr:uid="{12C12C2D-10A5-4481-A19E-FBA3835C2880}"/>
    <cellStyle name="CustomizationCells 2 6" xfId="1384" xr:uid="{99B0F8DE-3B95-41E9-B58F-4A91E100B16F}"/>
    <cellStyle name="CustomizationCells 3" xfId="271" xr:uid="{DF04AF03-4EA6-4B1F-9A2F-C9F71FF50D89}"/>
    <cellStyle name="CustomizationCells 3 2" xfId="1467" xr:uid="{57CFFD67-4D83-49A4-8619-92A11FC5F936}"/>
    <cellStyle name="CustomizationCells 4" xfId="371" xr:uid="{3D778B6C-6AFF-485B-9A35-2D9D88E8116F}"/>
    <cellStyle name="CustomizationCells 4 2" xfId="1564" xr:uid="{3816404E-0F07-4DE1-8C27-D68E90761F8F}"/>
    <cellStyle name="CustomizationCells 5" xfId="534" xr:uid="{0E7AD569-64E6-4885-A2F7-AED4BC0C49EE}"/>
    <cellStyle name="CustomizationCells 5 2" xfId="1722" xr:uid="{C03C1AAE-C08D-4C1A-A425-FCDF4195C83F}"/>
    <cellStyle name="CustomizationCells 6" xfId="573" xr:uid="{42168446-A2C7-4C3E-B5CF-D0DDDCC16880}"/>
    <cellStyle name="CustomizationCells 6 2" xfId="1759" xr:uid="{C9A794EE-C226-4438-8819-8E31E99EDA91}"/>
    <cellStyle name="CustomizationCells 7" xfId="1325" xr:uid="{B0830522-B88E-48E3-8F96-8FB776D7EB8D}"/>
    <cellStyle name="CustomizationGreenCells" xfId="111" xr:uid="{17C0E382-5C7E-47C7-BA9D-8ACAF84FC682}"/>
    <cellStyle name="CustomizationGreenCells 2" xfId="187" xr:uid="{E27919F8-0591-4DC6-9203-B6601E736D64}"/>
    <cellStyle name="CustomizationGreenCells 2 2" xfId="345" xr:uid="{962D945E-3625-450E-A163-E9D3B65CDD90}"/>
    <cellStyle name="CustomizationGreenCells 2 2 2" xfId="669" xr:uid="{B71C331C-F7BE-4106-94C5-77DB455E025A}"/>
    <cellStyle name="CustomizationGreenCells 2 2 2 2" xfId="699" xr:uid="{3E3043A1-5090-457D-B207-A3637CEC973F}"/>
    <cellStyle name="CustomizationGreenCells 2 2 2 2 2" xfId="1310" xr:uid="{29148089-1B77-4E13-AF53-EEBF4A166EC3}"/>
    <cellStyle name="CustomizationGreenCells 2 2 2 3" xfId="1288" xr:uid="{355B5B67-12EB-4AD8-833E-022BCAAFF5A2}"/>
    <cellStyle name="CustomizationGreenCells 2 2 3" xfId="980" xr:uid="{7B964722-7D1C-4721-B505-10B6E05CCD58}"/>
    <cellStyle name="CustomizationGreenCells 2 3" xfId="517" xr:uid="{EFF67125-6DC1-44B5-92F8-5112B2C9B1DF}"/>
    <cellStyle name="CustomizationGreenCells 2 3 2" xfId="674" xr:uid="{A110ABFE-75AC-475A-B296-1EA690021251}"/>
    <cellStyle name="CustomizationGreenCells 2 3 2 2" xfId="703" xr:uid="{35DDB821-D280-41F0-96AD-5D2F331C24AF}"/>
    <cellStyle name="CustomizationGreenCells 2 3 2 2 2" xfId="1314" xr:uid="{D943CE76-FD6B-466F-BCA6-5C95B3A264BE}"/>
    <cellStyle name="CustomizationGreenCells 2 3 2 3" xfId="1292" xr:uid="{26F5B0CD-DF68-4EC3-BB65-3B66D038D320}"/>
    <cellStyle name="CustomizationGreenCells 2 3 3" xfId="1147" xr:uid="{C7B01629-11CC-48B1-8B9D-7A298C2555E0}"/>
    <cellStyle name="CustomizationGreenCells 2 4" xfId="591" xr:uid="{0335583A-B038-44C2-B522-3B714BFC7649}"/>
    <cellStyle name="CustomizationGreenCells 2 4 2" xfId="680" xr:uid="{EDB930A1-0679-4F41-94D4-6CC3EB1B945E}"/>
    <cellStyle name="CustomizationGreenCells 2 4 2 2" xfId="709" xr:uid="{BFAE1F33-C911-4148-9FC5-5BF58E3B6144}"/>
    <cellStyle name="CustomizationGreenCells 2 4 2 2 2" xfId="1320" xr:uid="{65744D94-9754-4424-89D0-22D8A88B613C}"/>
    <cellStyle name="CustomizationGreenCells 2 4 2 3" xfId="1298" xr:uid="{F74A6C4C-F72B-448E-B4BA-F85242BF7526}"/>
    <cellStyle name="CustomizationGreenCells 2 4 3" xfId="1216" xr:uid="{817654D2-E16B-43A4-98F2-D1C296CC0C4F}"/>
    <cellStyle name="CustomizationGreenCells 2 5" xfId="581" xr:uid="{47C48ADB-042F-4CCB-9E6E-95B3EBC82458}"/>
    <cellStyle name="CustomizationGreenCells 2 5 2" xfId="678" xr:uid="{79B0EF4D-023D-4D92-B568-3B667D5AF6A8}"/>
    <cellStyle name="CustomizationGreenCells 2 5 2 2" xfId="707" xr:uid="{6B33D801-281F-4335-95E9-87DB33B7BB71}"/>
    <cellStyle name="CustomizationGreenCells 2 5 2 2 2" xfId="1318" xr:uid="{6FBD1672-BA91-4B5D-A949-0CE07F9E7944}"/>
    <cellStyle name="CustomizationGreenCells 2 5 2 3" xfId="1296" xr:uid="{0C4F5D5E-E767-4780-BE0E-99CD30D32E17}"/>
    <cellStyle name="CustomizationGreenCells 2 5 3" xfId="1208" xr:uid="{B3DDF713-27FC-4B47-B0BD-0333524CF3E1}"/>
    <cellStyle name="CustomizationGreenCells 2 6" xfId="665" xr:uid="{D927202F-0C9E-40ED-9F1E-C59162835FD1}"/>
    <cellStyle name="CustomizationGreenCells 2 6 2" xfId="695" xr:uid="{A89544C8-5311-49A1-91AE-3A3A7E17726D}"/>
    <cellStyle name="CustomizationGreenCells 2 6 2 2" xfId="1306" xr:uid="{3B19349B-0F81-4846-894B-848F32B9C777}"/>
    <cellStyle name="CustomizationGreenCells 2 6 3" xfId="1284" xr:uid="{DF302DAF-5A31-4A5A-A7A6-B125FF21C280}"/>
    <cellStyle name="CustomizationGreenCells 2 7" xfId="826" xr:uid="{849E77DF-2F03-49A0-8A35-B1F746ED8023}"/>
    <cellStyle name="CustomizationGreenCells 3" xfId="272" xr:uid="{F22F10CB-B5AE-474D-8262-553943F6F138}"/>
    <cellStyle name="CustomizationGreenCells 3 2" xfId="667" xr:uid="{0C39D7A6-C64B-41F3-BD40-3A6FD1C7D266}"/>
    <cellStyle name="CustomizationGreenCells 3 2 2" xfId="697" xr:uid="{C29AE947-E51E-40C5-8DB9-469F8A78301C}"/>
    <cellStyle name="CustomizationGreenCells 3 2 2 2" xfId="1308" xr:uid="{6D9E48F3-A885-4798-B7C2-9BBEF4C2A522}"/>
    <cellStyle name="CustomizationGreenCells 3 2 3" xfId="1286" xr:uid="{F87E1856-70AD-4225-8D89-76DDEE0CF217}"/>
    <cellStyle name="CustomizationGreenCells 3 3" xfId="909" xr:uid="{DC93BF34-57C7-42D6-B1AE-A66C3CC452B5}"/>
    <cellStyle name="CustomizationGreenCells 4" xfId="481" xr:uid="{A553BF9B-E746-4A21-8295-4032811C6F5F}"/>
    <cellStyle name="CustomizationGreenCells 4 2" xfId="671" xr:uid="{B86EA905-2F93-41BB-8789-7E136C5EBC24}"/>
    <cellStyle name="CustomizationGreenCells 4 2 2" xfId="701" xr:uid="{B02B0818-531D-417F-9A5A-F28C1DF3CB75}"/>
    <cellStyle name="CustomizationGreenCells 4 2 2 2" xfId="1312" xr:uid="{5137FA80-808A-43D5-88A5-64DA129EABAB}"/>
    <cellStyle name="CustomizationGreenCells 4 2 3" xfId="1290" xr:uid="{DCCB7622-93BA-4647-A43F-1894A252B82F}"/>
    <cellStyle name="CustomizationGreenCells 4 3" xfId="1113" xr:uid="{AFD48060-2664-4DB8-9756-1C77567910B3}"/>
    <cellStyle name="CustomizationGreenCells 5" xfId="535" xr:uid="{ECDA9BBD-1BA7-4F02-9BBA-7AD25F490323}"/>
    <cellStyle name="CustomizationGreenCells 5 2" xfId="676" xr:uid="{C51A43D3-B12C-4FAD-953D-9A278A075270}"/>
    <cellStyle name="CustomizationGreenCells 5 2 2" xfId="705" xr:uid="{36CAED82-FEE6-4BF4-A47B-8562D47505B2}"/>
    <cellStyle name="CustomizationGreenCells 5 2 2 2" xfId="1316" xr:uid="{AEBEBC99-54DD-403E-AA4B-2D7E9BFB520E}"/>
    <cellStyle name="CustomizationGreenCells 5 2 3" xfId="1294" xr:uid="{80199BB8-AEA1-429F-A9C4-9EB9D4E5CA24}"/>
    <cellStyle name="CustomizationGreenCells 5 3" xfId="1163" xr:uid="{2AB69B4C-250C-4C37-B2DB-21BF06A71DEE}"/>
    <cellStyle name="CustomizationGreenCells 6" xfId="625" xr:uid="{50D3BDAE-DF5F-43A8-A654-329986B534E5}"/>
    <cellStyle name="CustomizationGreenCells 6 2" xfId="681" xr:uid="{40979726-3302-4CED-AF93-CBD06DC06EB5}"/>
    <cellStyle name="CustomizationGreenCells 6 2 2" xfId="710" xr:uid="{7DC67289-F836-4A7A-A657-10A072B4207D}"/>
    <cellStyle name="CustomizationGreenCells 6 2 2 2" xfId="1321" xr:uid="{5621EC0F-7144-4BF8-8C89-BEBA4186DFD0}"/>
    <cellStyle name="CustomizationGreenCells 6 2 3" xfId="1299" xr:uid="{357FBBA6-5B1C-4595-8D0F-BF6D2A4F61CF}"/>
    <cellStyle name="CustomizationGreenCells 6 3" xfId="1249" xr:uid="{26615509-C817-4EE9-B4FC-3CD71C63AEFE}"/>
    <cellStyle name="CustomizationGreenCells 7" xfId="663" xr:uid="{2C5ED83F-9D66-4728-9F41-BB541D1C5573}"/>
    <cellStyle name="CustomizationGreenCells 7 2" xfId="693" xr:uid="{7EA24F31-BFC2-4392-BC62-DC1394B53961}"/>
    <cellStyle name="CustomizationGreenCells 7 2 2" xfId="1304" xr:uid="{BA91AA45-4824-4C25-8F64-940C1C97C111}"/>
    <cellStyle name="CustomizationGreenCells 7 3" xfId="1282" xr:uid="{96484835-F935-499C-811D-483E97A30561}"/>
    <cellStyle name="CustomizationGreenCells 8" xfId="768" xr:uid="{66D86B99-7511-4D65-A91A-8B86AC82D941}"/>
    <cellStyle name="Data" xfId="3" xr:uid="{00000000-0005-0000-0000-000004000000}"/>
    <cellStyle name="Datasheet" xfId="36" xr:uid="{6CF9DC6C-4645-4602-8E92-BE2B6C58723F}"/>
    <cellStyle name="Datasheet 2" xfId="64" xr:uid="{C922DE1F-1BA0-4E3D-8264-9C1F4CA59151}"/>
    <cellStyle name="Datasheet 2 2" xfId="72" xr:uid="{F0F09558-7BE1-478E-A6CE-EC15C377A2F0}"/>
    <cellStyle name="Datasheet 3" xfId="68" xr:uid="{6D241F26-50C9-4D5B-8649-7C541A166885}"/>
    <cellStyle name="Description" xfId="30" xr:uid="{87336156-CC38-4D2E-8362-273E9D0557FC}"/>
    <cellStyle name="DocBox_EmptyRow" xfId="112" xr:uid="{DA5C2FA4-79F4-4D33-97C0-03E44DF74BB0}"/>
    <cellStyle name="EEMS Header" xfId="113" xr:uid="{C12E60F6-4A31-4BA4-96B2-25B943A24542}"/>
    <cellStyle name="EEMS row" xfId="114" xr:uid="{C1F833DC-5408-4233-A101-BCD998EE3EE1}"/>
    <cellStyle name="Empty_B_border" xfId="115" xr:uid="{A39D6C2F-5D1A-41F8-9A33-3F0775E97CDC}"/>
    <cellStyle name="Foreground" xfId="23" xr:uid="{87ECE628-9207-4EBA-8A12-46F56F479AB2}"/>
    <cellStyle name="Foreground 2" xfId="672" xr:uid="{D1918240-7F2E-47A0-8A3B-BBBF1EAE44F3}"/>
    <cellStyle name="Header" xfId="24" xr:uid="{EB4FE5F2-EFCC-49E3-9DB3-EB322E9996B7}"/>
    <cellStyle name="Heading" xfId="10" xr:uid="{00000000-0005-0000-0000-000005000000}"/>
    <cellStyle name="Heading 2" xfId="15" builtinId="17"/>
    <cellStyle name="Headline" xfId="116" xr:uid="{D3B4DA6A-54D5-4CEA-9DA1-C0044E49C802}"/>
    <cellStyle name="Info" xfId="42" xr:uid="{72D7C1B3-0439-4CE2-860F-5C8D2AB59826}"/>
    <cellStyle name="Info 10" xfId="355" xr:uid="{7978DD8A-32A4-4218-BA4D-537FA7E35BAA}"/>
    <cellStyle name="Info 10 2" xfId="990" xr:uid="{E09A76E0-8061-4FC3-A9B6-EC71344AC4E4}"/>
    <cellStyle name="Info 10 3" xfId="1548" xr:uid="{F395F43B-9A5A-4790-BCE8-31ADF386A14C}"/>
    <cellStyle name="Info 11" xfId="557" xr:uid="{D5D79BCB-92E5-428D-BBC1-C5E3112514BC}"/>
    <cellStyle name="Info 11 2" xfId="1185" xr:uid="{3E5BC072-A3AB-46D2-BA6B-675D17BF7E5F}"/>
    <cellStyle name="Info 11 3" xfId="1744" xr:uid="{31CC061E-A60B-4CAA-A50E-59D0DD277C32}"/>
    <cellStyle name="Info 12" xfId="605" xr:uid="{621DF118-4DC1-46F5-9344-1763AD028BE1}"/>
    <cellStyle name="Info 12 2" xfId="1230" xr:uid="{325FAA90-3B30-47CC-8D5E-5B6021115F1C}"/>
    <cellStyle name="Info 12 3" xfId="1788" xr:uid="{B644AF14-4F5A-40BE-A77C-B29AC0E0F008}"/>
    <cellStyle name="Info 13" xfId="734" xr:uid="{070529A6-9695-4791-A332-6C75193C0659}"/>
    <cellStyle name="Info 14" xfId="1119" xr:uid="{7F6808E4-4110-45A0-A1CD-AE52C75207E6}"/>
    <cellStyle name="Info 2" xfId="55" xr:uid="{06AFC7A1-4031-4200-B5A0-2A39715A71DB}"/>
    <cellStyle name="Info 2 2" xfId="67" xr:uid="{F40B7A96-B204-49E0-99D1-3803980B1EAC}"/>
    <cellStyle name="Info 2 2 10" xfId="550" xr:uid="{020FF77A-E470-4918-B9A6-8E6C59B0E4E5}"/>
    <cellStyle name="Info 2 2 10 2" xfId="1178" xr:uid="{534518CF-4F73-4BF2-9DB3-12264F4188F6}"/>
    <cellStyle name="Info 2 2 10 3" xfId="1737" xr:uid="{AB6ABC1C-949D-4B12-AFDB-CCE0460825FF}"/>
    <cellStyle name="Info 2 2 11" xfId="488" xr:uid="{D2C4EFDA-8709-4596-9844-402D478A2CA2}"/>
    <cellStyle name="Info 2 2 11 2" xfId="1120" xr:uid="{9E1238DD-33F5-4F5E-A76D-323AD49DEA96}"/>
    <cellStyle name="Info 2 2 11 3" xfId="1679" xr:uid="{7682291D-943F-494B-B31C-E00EA4C76631}"/>
    <cellStyle name="Info 2 2 12" xfId="740" xr:uid="{0CB4A2BB-C763-4649-95A6-0B6558DA4A89}"/>
    <cellStyle name="Info 2 2 13" xfId="1301" xr:uid="{E35B31D9-DC0E-48A2-A851-BE8CE2D963A5}"/>
    <cellStyle name="Info 2 2 2" xfId="84" xr:uid="{89A92EAD-9377-4AE1-88FB-12BBFAE1F4A9}"/>
    <cellStyle name="Info 2 2 2 10" xfId="1160" xr:uid="{21CE7FF4-78EE-4D51-A4BD-4370CED45B5F}"/>
    <cellStyle name="Info 2 2 2 2" xfId="143" xr:uid="{25847E62-C478-4B57-8D5C-6260291F6148}"/>
    <cellStyle name="Info 2 2 2 2 2" xfId="301" xr:uid="{D2FDE856-2272-4BAE-BF8B-5902FA425EB4}"/>
    <cellStyle name="Info 2 2 2 2 2 2" xfId="938" xr:uid="{2C95903F-A5C6-4CAE-A321-1625589FBC74}"/>
    <cellStyle name="Info 2 2 2 2 2 3" xfId="1496" xr:uid="{FFFC9DF0-DA20-430C-9D07-64FE9927D5E8}"/>
    <cellStyle name="Info 2 2 2 2 3" xfId="206" xr:uid="{28107AAB-E9D8-4867-8FD5-48C7F60EE2DD}"/>
    <cellStyle name="Info 2 2 2 2 3 2" xfId="845" xr:uid="{62003A62-4F84-42F4-8032-55F3EE6BCBDF}"/>
    <cellStyle name="Info 2 2 2 2 3 3" xfId="1403" xr:uid="{47B452FA-F8D3-412C-B8EF-7DA089BCAB48}"/>
    <cellStyle name="Info 2 2 2 2 4" xfId="492" xr:uid="{CFC532EA-D832-4BC4-A32F-5FDFFFDE8C22}"/>
    <cellStyle name="Info 2 2 2 2 4 2" xfId="1124" xr:uid="{7A1AA83D-C263-4B03-AC72-F4EFAC043B54}"/>
    <cellStyle name="Info 2 2 2 2 4 3" xfId="1683" xr:uid="{C5EFB418-7122-4EEA-870F-72D32FDBF702}"/>
    <cellStyle name="Info 2 2 2 2 5" xfId="500" xr:uid="{3BDD50ED-6B05-4B80-98AF-CA39853C05AD}"/>
    <cellStyle name="Info 2 2 2 2 5 2" xfId="1132" xr:uid="{3FDAE3E8-A376-46B1-B2A6-3E8888F24B7D}"/>
    <cellStyle name="Info 2 2 2 2 5 3" xfId="1691" xr:uid="{BA2CD61E-48F2-4253-A86C-52BAA782FEE7}"/>
    <cellStyle name="Info 2 2 2 2 6" xfId="568" xr:uid="{40B11ECB-8421-4E83-A0D2-C25A6AF51ECB}"/>
    <cellStyle name="Info 2 2 2 2 6 2" xfId="1196" xr:uid="{D5722D1A-557F-458A-96AB-A5DD142C2DA6}"/>
    <cellStyle name="Info 2 2 2 2 6 3" xfId="1755" xr:uid="{F04778C0-FF3D-4367-8024-603EED29EECD}"/>
    <cellStyle name="Info 2 2 2 2 7" xfId="785" xr:uid="{2DFAB726-F294-49F7-BB14-C7E824C81525}"/>
    <cellStyle name="Info 2 2 2 2 8" xfId="1342" xr:uid="{55565290-1790-4FD8-A589-3273E1C9CBB7}"/>
    <cellStyle name="Info 2 2 2 3" xfId="171" xr:uid="{BEB86585-C623-4309-A83F-536384B25E6F}"/>
    <cellStyle name="Info 2 2 2 3 2" xfId="329" xr:uid="{5D99F8FD-061E-40B2-BA27-147C737645A6}"/>
    <cellStyle name="Info 2 2 2 3 2 2" xfId="966" xr:uid="{37827EBF-8716-4962-AF4E-FD3E4E123954}"/>
    <cellStyle name="Info 2 2 2 3 2 3" xfId="1524" xr:uid="{E3871BD1-3848-494D-B694-4D8F1D98F506}"/>
    <cellStyle name="Info 2 2 2 3 3" xfId="194" xr:uid="{40C5A1B5-3836-44C0-B655-20DFF29D7378}"/>
    <cellStyle name="Info 2 2 2 3 3 2" xfId="833" xr:uid="{A5A613EF-AFFC-4293-A186-AD36C9281FBE}"/>
    <cellStyle name="Info 2 2 2 3 3 3" xfId="1391" xr:uid="{3BE3285B-AC53-458A-B71B-BF6DE43770A2}"/>
    <cellStyle name="Info 2 2 2 3 4" xfId="360" xr:uid="{8461666F-7136-4094-AF0A-070588501A52}"/>
    <cellStyle name="Info 2 2 2 3 4 2" xfId="995" xr:uid="{5276A9CA-BB8C-4737-9902-C62F3CC2AFC8}"/>
    <cellStyle name="Info 2 2 2 3 4 3" xfId="1553" xr:uid="{F4CEFDDE-84C1-4FFA-AEE7-433D3854155D}"/>
    <cellStyle name="Info 2 2 2 3 5" xfId="405" xr:uid="{4007DA41-BC83-4F60-A30C-306D883AB1F4}"/>
    <cellStyle name="Info 2 2 2 3 5 2" xfId="1038" xr:uid="{86A93F10-DBF6-4F9F-A90F-73C2388CD5BD}"/>
    <cellStyle name="Info 2 2 2 3 5 3" xfId="1597" xr:uid="{A46AAA19-4EBC-40E3-861D-18B44A01512A}"/>
    <cellStyle name="Info 2 2 2 3 6" xfId="623" xr:uid="{1213985F-1781-4A37-BBB1-D13B616D0A1C}"/>
    <cellStyle name="Info 2 2 2 3 6 2" xfId="1247" xr:uid="{7CC34D5E-AA93-4BFF-BAB3-2425EE1A42D6}"/>
    <cellStyle name="Info 2 2 2 3 6 3" xfId="1806" xr:uid="{767DAEBD-44F7-4C2C-BB70-CF0E54FAEFD5}"/>
    <cellStyle name="Info 2 2 2 3 7" xfId="813" xr:uid="{514D937D-4D05-4B8C-88C8-A670CC7D3CFB}"/>
    <cellStyle name="Info 2 2 2 3 8" xfId="1370" xr:uid="{0A8945D7-4FAB-44AF-9852-2A7443E7D8D8}"/>
    <cellStyle name="Info 2 2 2 4" xfId="248" xr:uid="{6AEC4364-35B1-4780-B1BD-6B77532EED80}"/>
    <cellStyle name="Info 2 2 2 4 2" xfId="887" xr:uid="{ABEBE263-10B7-4D78-968D-771942DACDBA}"/>
    <cellStyle name="Info 2 2 2 4 3" xfId="1445" xr:uid="{14E9F1FD-B766-4220-8DA4-905E2B402420}"/>
    <cellStyle name="Info 2 2 2 5" xfId="433" xr:uid="{68497A60-6387-4FFF-BAFE-41F6303C0BF3}"/>
    <cellStyle name="Info 2 2 2 5 2" xfId="1066" xr:uid="{3E0AF321-2630-4A58-AB82-99B1FD650D1D}"/>
    <cellStyle name="Info 2 2 2 5 3" xfId="1625" xr:uid="{FEA00318-12A1-4066-80E6-BB96B6C930A9}"/>
    <cellStyle name="Info 2 2 2 6" xfId="480" xr:uid="{F4844892-6322-472C-B646-263D226074F4}"/>
    <cellStyle name="Info 2 2 2 6 2" xfId="1112" xr:uid="{E3CF6362-50FE-4EFB-8000-2B8B6FC5C47F}"/>
    <cellStyle name="Info 2 2 2 6 3" xfId="1672" xr:uid="{630FE8D7-CF2C-43CC-B028-3F89F255FCC0}"/>
    <cellStyle name="Info 2 2 2 7" xfId="544" xr:uid="{84740ED3-7039-441C-B1D0-9391441D46B2}"/>
    <cellStyle name="Info 2 2 2 7 2" xfId="1172" xr:uid="{123C2140-F331-4E54-8328-53625460E477}"/>
    <cellStyle name="Info 2 2 2 7 3" xfId="1731" xr:uid="{0D7CB5CB-6AFE-4AA7-9B34-A713B936F917}"/>
    <cellStyle name="Info 2 2 2 8" xfId="648" xr:uid="{E19D233D-6655-4B01-96F1-7B17EE06091B}"/>
    <cellStyle name="Info 2 2 2 8 2" xfId="1272" xr:uid="{A40821C1-03CB-4D3E-94F7-DB324B9D1AD6}"/>
    <cellStyle name="Info 2 2 2 8 3" xfId="1829" xr:uid="{8C3D3641-0BC0-4445-B9BA-19D9CB13D94A}"/>
    <cellStyle name="Info 2 2 2 9" xfId="753" xr:uid="{10D96790-F936-4FB6-96C4-B3486231E33E}"/>
    <cellStyle name="Info 2 2 3" xfId="76" xr:uid="{9E3C20DD-677F-4A34-889D-AD0525F3A8A7}"/>
    <cellStyle name="Info 2 2 3 10" xfId="767" xr:uid="{7D75FBC8-EF5D-4F92-8229-AF57981FD40C}"/>
    <cellStyle name="Info 2 2 3 2" xfId="135" xr:uid="{45D1A488-9D43-466A-ADAF-19FC5A4D2925}"/>
    <cellStyle name="Info 2 2 3 2 2" xfId="293" xr:uid="{DA6430CA-C3C4-4A2B-ABB1-C1FC73674CD8}"/>
    <cellStyle name="Info 2 2 3 2 2 2" xfId="930" xr:uid="{DB275FC1-2203-485D-9C70-168CC3924131}"/>
    <cellStyle name="Info 2 2 3 2 2 3" xfId="1488" xr:uid="{DE1F0DA8-E6FD-43FB-B634-9EF8D63B72A5}"/>
    <cellStyle name="Info 2 2 3 2 3" xfId="261" xr:uid="{1F18D4E8-8C71-48BA-83BC-F0E6FA2F18D7}"/>
    <cellStyle name="Info 2 2 3 2 3 2" xfId="900" xr:uid="{53D9176D-CC1F-49D0-90B7-239AE33888E7}"/>
    <cellStyle name="Info 2 2 3 2 3 3" xfId="1458" xr:uid="{7B6C2F9B-93DF-4F75-9538-ADDA261C26FC}"/>
    <cellStyle name="Info 2 2 3 2 4" xfId="413" xr:uid="{E6DE0FB8-263F-47E9-9BCF-D9E5EAC52DEC}"/>
    <cellStyle name="Info 2 2 3 2 4 2" xfId="1046" xr:uid="{70116A4B-C0D9-40CD-815C-C6C3F55AE1C4}"/>
    <cellStyle name="Info 2 2 3 2 4 3" xfId="1605" xr:uid="{E1DEF348-67A4-40FB-AA13-BDFADAAA7B07}"/>
    <cellStyle name="Info 2 2 3 2 5" xfId="358" xr:uid="{E8C427CD-E2A0-4A1B-B0EF-C0A06F4D5520}"/>
    <cellStyle name="Info 2 2 3 2 5 2" xfId="993" xr:uid="{8011C26B-867C-4C60-84E9-13BDF331B95D}"/>
    <cellStyle name="Info 2 2 3 2 5 3" xfId="1551" xr:uid="{160336ED-B955-4FD4-A77F-386522312954}"/>
    <cellStyle name="Info 2 2 3 2 6" xfId="578" xr:uid="{A51D8634-1BD6-4A14-A08C-A0DE928B0A5A}"/>
    <cellStyle name="Info 2 2 3 2 6 2" xfId="1205" xr:uid="{62D07934-E72C-42FE-8425-E80620AA2899}"/>
    <cellStyle name="Info 2 2 3 2 6 3" xfId="1764" xr:uid="{38B62480-F37A-4735-AE0F-18FC823C69C7}"/>
    <cellStyle name="Info 2 2 3 2 7" xfId="777" xr:uid="{239E30C6-D7D2-4FE7-8004-066686EE9B7A}"/>
    <cellStyle name="Info 2 2 3 2 8" xfId="1334" xr:uid="{3D11CFA4-1577-4FC7-A2BA-12D6CF669119}"/>
    <cellStyle name="Info 2 2 3 3" xfId="163" xr:uid="{6619FDFE-FEEA-40B1-9175-CF34C51F5EFF}"/>
    <cellStyle name="Info 2 2 3 3 2" xfId="321" xr:uid="{760A8A91-AE55-43B9-A9DD-BDC17F51EA91}"/>
    <cellStyle name="Info 2 2 3 3 2 2" xfId="958" xr:uid="{9685E194-6777-4D29-BECD-484ED4D39610}"/>
    <cellStyle name="Info 2 2 3 3 2 3" xfId="1516" xr:uid="{1237B6F1-8CA3-425B-8960-B1A3109C57C3}"/>
    <cellStyle name="Info 2 2 3 3 3" xfId="286" xr:uid="{85D408E8-6DFF-48F2-9939-AFEA5E956131}"/>
    <cellStyle name="Info 2 2 3 3 3 2" xfId="923" xr:uid="{D155CE42-E090-46B0-86E4-7D54AA89665D}"/>
    <cellStyle name="Info 2 2 3 3 3 3" xfId="1481" xr:uid="{8C0482C4-8AA8-40AF-8CAB-BD19257F5DDB}"/>
    <cellStyle name="Info 2 2 3 3 4" xfId="351" xr:uid="{B3DA5E0B-6C73-4BC5-9645-669CDA2CFB11}"/>
    <cellStyle name="Info 2 2 3 3 4 2" xfId="986" xr:uid="{552614C9-5002-4190-841F-F14FD07CFF38}"/>
    <cellStyle name="Info 2 2 3 3 4 3" xfId="1544" xr:uid="{96986591-FFFA-4804-AB98-1213C7CF4EB5}"/>
    <cellStyle name="Info 2 2 3 3 5" xfId="525" xr:uid="{ED7BD1A7-8BAD-484D-A140-072AE09B1830}"/>
    <cellStyle name="Info 2 2 3 3 5 2" xfId="1155" xr:uid="{0B4B3D87-066D-4113-B548-75F2ED8A033D}"/>
    <cellStyle name="Info 2 2 3 3 5 3" xfId="1714" xr:uid="{35F26BEC-2020-4D46-B49C-FFF5BD5E7725}"/>
    <cellStyle name="Info 2 2 3 3 6" xfId="649" xr:uid="{E2406AFD-2583-434A-A134-4649575F58D7}"/>
    <cellStyle name="Info 2 2 3 3 6 2" xfId="1273" xr:uid="{656D2998-6BFD-4A88-963E-D117122ED0CC}"/>
    <cellStyle name="Info 2 2 3 3 6 3" xfId="1830" xr:uid="{34A2A070-2C92-4F6D-91B8-C4E7F1A967AB}"/>
    <cellStyle name="Info 2 2 3 3 7" xfId="805" xr:uid="{7797ED28-14FC-45B9-9DC5-DB08DAF0EE3F}"/>
    <cellStyle name="Info 2 2 3 3 8" xfId="1362" xr:uid="{8CC69B24-2B39-4D64-AC46-B1219DA8EF87}"/>
    <cellStyle name="Info 2 2 3 4" xfId="240" xr:uid="{D046921D-3026-4D02-A8DD-B79047C06EA2}"/>
    <cellStyle name="Info 2 2 3 4 2" xfId="879" xr:uid="{0CABB7CE-DF43-4CCC-92FB-E92A50AE8E75}"/>
    <cellStyle name="Info 2 2 3 4 3" xfId="1437" xr:uid="{0BD56B4D-8791-462B-993A-F8FA470C9DA3}"/>
    <cellStyle name="Info 2 2 3 5" xfId="287" xr:uid="{222B3F89-8A8F-45AD-9C6F-8DC2B9B5F64D}"/>
    <cellStyle name="Info 2 2 3 5 2" xfId="924" xr:uid="{BF27BEB1-FD5C-4734-B090-DCD220436BF3}"/>
    <cellStyle name="Info 2 2 3 5 3" xfId="1482" xr:uid="{814E0539-3D1A-4095-B648-310E4FCA4E9A}"/>
    <cellStyle name="Info 2 2 3 6" xfId="227" xr:uid="{207AB81A-4CB6-4E66-B5A0-078177FCBECE}"/>
    <cellStyle name="Info 2 2 3 6 2" xfId="866" xr:uid="{271C2AF5-5217-4992-8A3B-E1132E379298}"/>
    <cellStyle name="Info 2 2 3 6 3" xfId="1424" xr:uid="{1F51157E-608D-44B4-A594-FDBE5A25356E}"/>
    <cellStyle name="Info 2 2 3 7" xfId="593" xr:uid="{0D1AAC05-1AB7-4E57-B848-FAF51FD6E416}"/>
    <cellStyle name="Info 2 2 3 7 2" xfId="1218" xr:uid="{2EB25AF3-74CB-4237-89F5-0228B1CADA8A}"/>
    <cellStyle name="Info 2 2 3 7 3" xfId="1776" xr:uid="{69E78783-B5D9-4F70-8C86-29073479B823}"/>
    <cellStyle name="Info 2 2 3 8" xfId="475" xr:uid="{F05450DA-71CF-4581-9C3D-1948B1B923C4}"/>
    <cellStyle name="Info 2 2 3 8 2" xfId="1107" xr:uid="{9BB4719D-1BFD-428F-B20B-4D8A56AC8E4D}"/>
    <cellStyle name="Info 2 2 3 8 3" xfId="1667" xr:uid="{5D85874F-33EB-49A2-B59E-0854909BBDDF}"/>
    <cellStyle name="Info 2 2 3 9" xfId="745" xr:uid="{4F6B42BD-E216-4B2C-8441-F89371D8C218}"/>
    <cellStyle name="Info 2 2 4" xfId="81" xr:uid="{C08A550C-5192-44C2-9601-C6284BC961A7}"/>
    <cellStyle name="Info 2 2 4 10" xfId="737" xr:uid="{2728AED3-823B-4528-9BCC-E7B9AE211526}"/>
    <cellStyle name="Info 2 2 4 2" xfId="140" xr:uid="{8C4D1E2F-4B63-41D5-8CE4-16B4E20F2961}"/>
    <cellStyle name="Info 2 2 4 2 2" xfId="298" xr:uid="{B577FA90-6D95-49E9-91A1-56DE10F74C59}"/>
    <cellStyle name="Info 2 2 4 2 2 2" xfId="935" xr:uid="{70398129-BE6A-4BDF-A248-EB02DC766DB9}"/>
    <cellStyle name="Info 2 2 4 2 2 3" xfId="1493" xr:uid="{CDB1671B-3AFE-4A75-81AC-B47D017ACA9A}"/>
    <cellStyle name="Info 2 2 4 2 3" xfId="199" xr:uid="{116AF944-1F25-4CB9-B731-071DA18E8A15}"/>
    <cellStyle name="Info 2 2 4 2 3 2" xfId="838" xr:uid="{297DFFC3-118B-49CA-AF45-BD309A0DFDE7}"/>
    <cellStyle name="Info 2 2 4 2 3 3" xfId="1396" xr:uid="{3E55FBFE-2D2A-44BF-9633-32633D9BD57E}"/>
    <cellStyle name="Info 2 2 4 2 4" xfId="218" xr:uid="{02A6991C-D42F-412E-95C7-D63441FD8F1E}"/>
    <cellStyle name="Info 2 2 4 2 4 2" xfId="857" xr:uid="{9E55C625-7DC8-46A5-A18C-C225FF3AFC07}"/>
    <cellStyle name="Info 2 2 4 2 4 3" xfId="1415" xr:uid="{65AE3FD4-8266-44A2-8E86-407E53E38897}"/>
    <cellStyle name="Info 2 2 4 2 5" xfId="538" xr:uid="{1BBAF471-A2C7-426A-9146-97C7EED7FDDC}"/>
    <cellStyle name="Info 2 2 4 2 5 2" xfId="1166" xr:uid="{51412D54-5623-487A-BA35-2790EE46C339}"/>
    <cellStyle name="Info 2 2 4 2 5 3" xfId="1725" xr:uid="{B07185B8-5C37-4F2F-8E67-3C169F2DF0DA}"/>
    <cellStyle name="Info 2 2 4 2 6" xfId="549" xr:uid="{0BFE9B71-9107-4886-A7AA-D89C74772181}"/>
    <cellStyle name="Info 2 2 4 2 6 2" xfId="1177" xr:uid="{598EE534-3D50-422F-953C-7EE736B5E551}"/>
    <cellStyle name="Info 2 2 4 2 6 3" xfId="1736" xr:uid="{F18A830E-F7BC-4A73-B9E6-98182986FA09}"/>
    <cellStyle name="Info 2 2 4 2 7" xfId="782" xr:uid="{CCFB1471-012A-427D-B219-A00237F37E02}"/>
    <cellStyle name="Info 2 2 4 2 8" xfId="1339" xr:uid="{C0B052DF-8BF3-412C-A078-DB0A3E9D5CB3}"/>
    <cellStyle name="Info 2 2 4 3" xfId="168" xr:uid="{34E4658D-3F34-4465-93D3-256AB93EF208}"/>
    <cellStyle name="Info 2 2 4 3 2" xfId="326" xr:uid="{3E9A1A60-A4AC-4D85-A7D1-3CCD531BE5C0}"/>
    <cellStyle name="Info 2 2 4 3 2 2" xfId="963" xr:uid="{347BF045-85B8-428B-B430-B14ECF1AC561}"/>
    <cellStyle name="Info 2 2 4 3 2 3" xfId="1521" xr:uid="{561915FB-93D1-4A15-A1B0-11BC2DB66FCB}"/>
    <cellStyle name="Info 2 2 4 3 3" xfId="418" xr:uid="{768BC069-3F4F-4C89-8969-D66467C83757}"/>
    <cellStyle name="Info 2 2 4 3 3 2" xfId="1051" xr:uid="{60438085-75E7-4EEE-8E8D-368AAB187BDB}"/>
    <cellStyle name="Info 2 2 4 3 3 3" xfId="1610" xr:uid="{1DAD6E9C-66D0-4031-91C9-B2AB2EC01D23}"/>
    <cellStyle name="Info 2 2 4 3 4" xfId="191" xr:uid="{A9C35910-3022-4E78-9ED3-AE3182F3D7C4}"/>
    <cellStyle name="Info 2 2 4 3 4 2" xfId="830" xr:uid="{DEEDD35A-15E3-4319-A061-E70C33D59F50}"/>
    <cellStyle name="Info 2 2 4 3 4 3" xfId="1388" xr:uid="{F791F9D2-1FD1-480F-A5E7-B05BA02F786B}"/>
    <cellStyle name="Info 2 2 4 3 5" xfId="522" xr:uid="{6AD8958A-A841-4291-90BF-B4AB65D59E17}"/>
    <cellStyle name="Info 2 2 4 3 5 2" xfId="1152" xr:uid="{27904386-971A-4AE4-ACF2-DB63FD01A700}"/>
    <cellStyle name="Info 2 2 4 3 5 3" xfId="1711" xr:uid="{0BEBB2EF-BB00-4ECD-AA1B-EEA472E2947C}"/>
    <cellStyle name="Info 2 2 4 3 6" xfId="622" xr:uid="{DDCA1007-2C6B-42A8-80F5-ACF415C142BD}"/>
    <cellStyle name="Info 2 2 4 3 6 2" xfId="1246" xr:uid="{E29A03D4-0925-4FBD-8092-3C6BAC70DD68}"/>
    <cellStyle name="Info 2 2 4 3 6 3" xfId="1805" xr:uid="{9D41025C-442C-461D-B19E-814721DE31F3}"/>
    <cellStyle name="Info 2 2 4 3 7" xfId="810" xr:uid="{6838E567-F92B-46D8-B450-6951C54F310B}"/>
    <cellStyle name="Info 2 2 4 3 8" xfId="1367" xr:uid="{659872D3-838D-4A2B-AB97-0EF309425D2C}"/>
    <cellStyle name="Info 2 2 4 4" xfId="245" xr:uid="{BC50927B-C666-4690-9C69-62DC9347A5CA}"/>
    <cellStyle name="Info 2 2 4 4 2" xfId="884" xr:uid="{3478E1A3-188A-47A6-81A9-5E8686603C60}"/>
    <cellStyle name="Info 2 2 4 4 3" xfId="1442" xr:uid="{B663055B-0255-4475-9B9F-17C27C24C261}"/>
    <cellStyle name="Info 2 2 4 5" xfId="212" xr:uid="{BDFF71A6-071E-4DDE-A126-DBA05551F3E5}"/>
    <cellStyle name="Info 2 2 4 5 2" xfId="851" xr:uid="{06417E90-BF79-40FA-A925-E415CCF89C3E}"/>
    <cellStyle name="Info 2 2 4 5 3" xfId="1409" xr:uid="{D40E6A25-C9CD-43EB-AA35-DF202106FD9C}"/>
    <cellStyle name="Info 2 2 4 6" xfId="443" xr:uid="{3A1F01F6-E753-4746-983E-EABC269F4DE0}"/>
    <cellStyle name="Info 2 2 4 6 2" xfId="1076" xr:uid="{C595E6F0-A705-48A5-80D0-CDA60A42C252}"/>
    <cellStyle name="Info 2 2 4 6 3" xfId="1635" xr:uid="{C05CB78E-F5D3-4544-A69D-4773ECE7A3EF}"/>
    <cellStyle name="Info 2 2 4 7" xfId="458" xr:uid="{99702D6A-941F-4FDA-A5DF-69262FF53DD1}"/>
    <cellStyle name="Info 2 2 4 7 2" xfId="1091" xr:uid="{4DADAF6D-C722-4B48-8B75-2CEE8433E3CD}"/>
    <cellStyle name="Info 2 2 4 7 3" xfId="1650" xr:uid="{E406ABD3-0EF2-4172-8502-4F6FE955D919}"/>
    <cellStyle name="Info 2 2 4 8" xfId="580" xr:uid="{19D994A7-32E0-4BD0-9FD2-2A20CAB5CBF7}"/>
    <cellStyle name="Info 2 2 4 8 2" xfId="1207" xr:uid="{871E0908-D3E3-488A-9509-1CC90CFD2862}"/>
    <cellStyle name="Info 2 2 4 8 3" xfId="1766" xr:uid="{4A88C47F-3311-4809-81B0-F35F4F363091}"/>
    <cellStyle name="Info 2 2 4 9" xfId="750" xr:uid="{A1F77EC5-40CE-4F51-B2CA-A5A6BBE6AB61}"/>
    <cellStyle name="Info 2 2 5" xfId="132" xr:uid="{FF547226-EE90-4DC6-AE96-B130A500D95A}"/>
    <cellStyle name="Info 2 2 5 2" xfId="290" xr:uid="{B40B86B9-91C5-4532-A1C5-D372225E04F2}"/>
    <cellStyle name="Info 2 2 5 2 2" xfId="927" xr:uid="{FF7670B4-E974-4CC3-8AAA-7ABB2CCBD220}"/>
    <cellStyle name="Info 2 2 5 2 3" xfId="1485" xr:uid="{0F181B66-F890-4886-87F7-05C8584E3041}"/>
    <cellStyle name="Info 2 2 5 3" xfId="430" xr:uid="{E0CED52F-F8DC-4D82-926C-3C438E13622B}"/>
    <cellStyle name="Info 2 2 5 3 2" xfId="1063" xr:uid="{31C03A7B-073A-4239-942E-9EEB18BF2B1B}"/>
    <cellStyle name="Info 2 2 5 3 3" xfId="1622" xr:uid="{B47B8F1E-EAAC-4925-9AC7-779996678459}"/>
    <cellStyle name="Info 2 2 5 4" xfId="444" xr:uid="{D3BF8C27-4285-4444-9928-82820B10066E}"/>
    <cellStyle name="Info 2 2 5 4 2" xfId="1077" xr:uid="{34E7AA2E-38C8-427D-945A-42CD93A72D30}"/>
    <cellStyle name="Info 2 2 5 4 3" xfId="1636" xr:uid="{8317AAAB-623F-4BC5-85F1-376F069D4E4E}"/>
    <cellStyle name="Info 2 2 5 5" xfId="554" xr:uid="{A04D3EF7-4CB1-4AE0-83D3-0A7D9812D2F2}"/>
    <cellStyle name="Info 2 2 5 5 2" xfId="1182" xr:uid="{C05034C3-3559-4020-A7E3-9EB7C91B57DE}"/>
    <cellStyle name="Info 2 2 5 5 3" xfId="1741" xr:uid="{B82AD817-4DBB-4C3A-9F1E-3E6444D1E669}"/>
    <cellStyle name="Info 2 2 5 6" xfId="646" xr:uid="{6A4FA015-AD50-4CA6-8F58-FA3A81E2BF59}"/>
    <cellStyle name="Info 2 2 5 6 2" xfId="1270" xr:uid="{98284EB8-14FF-4F7F-8FE4-4FB0C890F4CD}"/>
    <cellStyle name="Info 2 2 5 6 3" xfId="1827" xr:uid="{2C07CA63-D0C7-428C-A9EC-FB36D086C2EF}"/>
    <cellStyle name="Info 2 2 5 7" xfId="774" xr:uid="{1A154025-09B3-4F2C-A169-5A61235F5EE4}"/>
    <cellStyle name="Info 2 2 5 8" xfId="1331" xr:uid="{87DD830E-6D37-4F06-8F55-92AD4C72E1EA}"/>
    <cellStyle name="Info 2 2 6" xfId="155" xr:uid="{5C0C7F20-20A5-49B8-AE40-3F1ADD78F1F1}"/>
    <cellStyle name="Info 2 2 6 2" xfId="313" xr:uid="{03A09CD4-ED0E-456B-96E4-B479939DD076}"/>
    <cellStyle name="Info 2 2 6 2 2" xfId="950" xr:uid="{57EC6BFD-DB8D-4A36-96E5-79527EDA9DC5}"/>
    <cellStyle name="Info 2 2 6 2 3" xfId="1508" xr:uid="{E828D9CB-A23D-422A-9C23-D0BD737165B7}"/>
    <cellStyle name="Info 2 2 6 3" xfId="370" xr:uid="{1547E6E0-F75B-4EE2-B7EA-66CD318BEBCF}"/>
    <cellStyle name="Info 2 2 6 3 2" xfId="1005" xr:uid="{93D37BE6-8C58-44E6-B431-5D62DC6EA7DE}"/>
    <cellStyle name="Info 2 2 6 3 3" xfId="1563" xr:uid="{5B251DAF-E590-484F-948C-844A3644F316}"/>
    <cellStyle name="Info 2 2 6 4" xfId="414" xr:uid="{3E1D095D-3414-440D-8E20-CD03C0575992}"/>
    <cellStyle name="Info 2 2 6 4 2" xfId="1047" xr:uid="{05E27D45-8A15-40E0-A401-276215190FA5}"/>
    <cellStyle name="Info 2 2 6 4 3" xfId="1606" xr:uid="{4259BF5B-B53F-4F13-93CF-E8E7146BA5C8}"/>
    <cellStyle name="Info 2 2 6 5" xfId="586" xr:uid="{7D2ABA30-E53A-4E9A-B180-771AB7701ADD}"/>
    <cellStyle name="Info 2 2 6 5 2" xfId="1213" xr:uid="{D9223BE3-EE20-4528-830D-7BC38165F423}"/>
    <cellStyle name="Info 2 2 6 5 3" xfId="1771" xr:uid="{C5E7ED48-FDE3-4BC4-B9C6-4125383750BE}"/>
    <cellStyle name="Info 2 2 6 6" xfId="636" xr:uid="{CD618CCE-948A-4509-8269-65C52ED1052F}"/>
    <cellStyle name="Info 2 2 6 6 2" xfId="1260" xr:uid="{9943C0EF-86BB-4E57-A0BF-FABC866A0EB2}"/>
    <cellStyle name="Info 2 2 6 6 3" xfId="1817" xr:uid="{7BA5182B-AD93-4623-8A48-C6DBC96C1099}"/>
    <cellStyle name="Info 2 2 6 7" xfId="797" xr:uid="{23E176D9-4485-489C-973B-77F1D5A0E687}"/>
    <cellStyle name="Info 2 2 6 8" xfId="1354" xr:uid="{64B4BE28-C48F-4C5E-8A73-DD162CC254E2}"/>
    <cellStyle name="Info 2 2 7" xfId="232" xr:uid="{9F5491AA-29DD-4D63-9D77-A15E75E3FA75}"/>
    <cellStyle name="Info 2 2 7 2" xfId="871" xr:uid="{437EB221-72F4-45C9-BC13-FA38B07392FA}"/>
    <cellStyle name="Info 2 2 7 3" xfId="1429" xr:uid="{39605AA2-FF87-4D54-94F2-6A7DDC312145}"/>
    <cellStyle name="Info 2 2 8" xfId="278" xr:uid="{754E55F0-DB99-4B13-97EC-468DEFEDE561}"/>
    <cellStyle name="Info 2 2 8 2" xfId="915" xr:uid="{6D8A6486-B6FE-4466-B587-00754606EEB2}"/>
    <cellStyle name="Info 2 2 8 3" xfId="1473" xr:uid="{BD43C7AA-3F28-4E0C-AF99-361378D4E776}"/>
    <cellStyle name="Info 2 2 9" xfId="498" xr:uid="{558248EE-AADE-43DC-A27E-331592C3EC4D}"/>
    <cellStyle name="Info 2 2 9 2" xfId="1130" xr:uid="{7E4FE02C-2AB0-47DA-8AC6-FBC9AD75DFB1}"/>
    <cellStyle name="Info 2 2 9 3" xfId="1689" xr:uid="{9E8021D5-96BC-4D3E-B63F-5DCBA1B40EE0}"/>
    <cellStyle name="Info 2 3" xfId="459" xr:uid="{14C520D1-27D3-4209-83AE-9118449172D2}"/>
    <cellStyle name="Info 2 3 2" xfId="1092" xr:uid="{FFB70E55-EF53-464C-99BA-D573F448213B}"/>
    <cellStyle name="Info 2 3 3" xfId="1651" xr:uid="{D20A6E8F-09A9-45F7-84B9-EDEA50C5C2E3}"/>
    <cellStyle name="Info 2 4" xfId="384" xr:uid="{1452203F-B728-4710-938B-DB801208EE89}"/>
    <cellStyle name="Info 2 4 2" xfId="1018" xr:uid="{5AA865AC-298D-4B29-A4E6-D96547FB2091}"/>
    <cellStyle name="Info 2 4 3" xfId="1577" xr:uid="{32DA3905-0115-4879-806D-97B39F9D1235}"/>
    <cellStyle name="Info 2 5" xfId="735" xr:uid="{A568404A-192B-461E-906A-D3D11AD6E0C8}"/>
    <cellStyle name="Info 3" xfId="78" xr:uid="{D475449D-2E15-4FB7-922F-2ACAB6780A4B}"/>
    <cellStyle name="Info 3 10" xfId="729" xr:uid="{AABEEAF4-D706-4F8A-9103-561905C74D4E}"/>
    <cellStyle name="Info 3 2" xfId="137" xr:uid="{187B2AB6-779D-4A5A-A363-31F86F44B3B8}"/>
    <cellStyle name="Info 3 2 2" xfId="295" xr:uid="{AC35AF97-9217-485A-BDE4-25FCE3CC03BA}"/>
    <cellStyle name="Info 3 2 2 2" xfId="932" xr:uid="{F402976E-7F75-4DE7-A573-2BE989A716EA}"/>
    <cellStyle name="Info 3 2 2 3" xfId="1490" xr:uid="{63497377-3AEF-498B-9F45-15CE49D03F69}"/>
    <cellStyle name="Info 3 2 3" xfId="401" xr:uid="{5DB0A15C-00D8-4B06-B5B5-DFB15E708849}"/>
    <cellStyle name="Info 3 2 3 2" xfId="1034" xr:uid="{8D675F53-20F5-4813-9F7A-6EDE813A7386}"/>
    <cellStyle name="Info 3 2 3 3" xfId="1593" xr:uid="{75A9B842-D6D5-4A60-9DB8-9AFDC194ED87}"/>
    <cellStyle name="Info 3 2 4" xfId="437" xr:uid="{358B5C5C-E076-4BEF-ADBD-136402F7FF2B}"/>
    <cellStyle name="Info 3 2 4 2" xfId="1070" xr:uid="{C0D01901-532F-4454-90BD-22F486B625A8}"/>
    <cellStyle name="Info 3 2 4 3" xfId="1629" xr:uid="{56F2B3A5-8C70-4C04-9982-8B297EC4154A}"/>
    <cellStyle name="Info 3 2 5" xfId="349" xr:uid="{BF731EB3-2A6E-4972-A190-3C40310AC2EF}"/>
    <cellStyle name="Info 3 2 5 2" xfId="984" xr:uid="{11929340-3C11-46E4-8F1D-D5B6A4E39A22}"/>
    <cellStyle name="Info 3 2 5 3" xfId="1542" xr:uid="{986513A6-52EE-4356-AFD2-B6CEC85C6B6F}"/>
    <cellStyle name="Info 3 2 6" xfId="632" xr:uid="{6B02EF77-CFD5-4584-A02F-2F707DEB66B0}"/>
    <cellStyle name="Info 3 2 6 2" xfId="1256" xr:uid="{E345C9BA-AB8E-4CC3-879B-ACA1D9F6EFC4}"/>
    <cellStyle name="Info 3 2 6 3" xfId="1813" xr:uid="{184ECB46-8E61-404E-ACD4-AF61D64012A6}"/>
    <cellStyle name="Info 3 2 7" xfId="779" xr:uid="{44189DB7-CA4E-4578-87FC-6FBA87832592}"/>
    <cellStyle name="Info 3 2 8" xfId="1336" xr:uid="{8D45922E-D8C9-4B03-B4D7-A49F7BF58567}"/>
    <cellStyle name="Info 3 3" xfId="165" xr:uid="{FAB24DF3-3771-4295-A934-06ECFF78587B}"/>
    <cellStyle name="Info 3 3 2" xfId="323" xr:uid="{B8E58BF6-8CBF-4B53-8205-E5CDCF894F21}"/>
    <cellStyle name="Info 3 3 2 2" xfId="960" xr:uid="{DCC209EE-D26B-4FBA-A0E9-C31AE884238F}"/>
    <cellStyle name="Info 3 3 2 3" xfId="1518" xr:uid="{2406822E-26F6-4EE0-AB8E-B75D2F9FB7E6}"/>
    <cellStyle name="Info 3 3 3" xfId="406" xr:uid="{EA66CAF8-25D0-4697-B3EA-D52DDF919170}"/>
    <cellStyle name="Info 3 3 3 2" xfId="1039" xr:uid="{E0A345BC-89D3-44D0-8C28-C2F53FCE5AD9}"/>
    <cellStyle name="Info 3 3 3 3" xfId="1598" xr:uid="{C6785786-0E82-445A-AC84-525E208EFB79}"/>
    <cellStyle name="Info 3 3 4" xfId="445" xr:uid="{E5B38983-C5CF-420E-BF57-3D4376D64C57}"/>
    <cellStyle name="Info 3 3 4 2" xfId="1078" xr:uid="{BD942885-F63D-4A33-B085-C8FE8CBC29C6}"/>
    <cellStyle name="Info 3 3 4 3" xfId="1637" xr:uid="{21901E33-7902-4BAD-B811-3B0AEEEEE30C}"/>
    <cellStyle name="Info 3 3 5" xfId="562" xr:uid="{952CD08E-7689-4687-86CE-A950D71994DE}"/>
    <cellStyle name="Info 3 3 5 2" xfId="1190" xr:uid="{BA3D739C-7DC5-4433-90F4-90298C82ED55}"/>
    <cellStyle name="Info 3 3 5 3" xfId="1749" xr:uid="{66468131-0365-46E9-A691-5D81C2A74FEC}"/>
    <cellStyle name="Info 3 3 6" xfId="637" xr:uid="{B7C4F566-DF1B-4977-A7CD-A14725375143}"/>
    <cellStyle name="Info 3 3 6 2" xfId="1261" xr:uid="{11E05426-BB95-44DF-9D6C-479391CAD752}"/>
    <cellStyle name="Info 3 3 6 3" xfId="1818" xr:uid="{26D745C8-C5D3-4C07-8177-7B16E0928B3C}"/>
    <cellStyle name="Info 3 3 7" xfId="807" xr:uid="{3F10DF8F-14C7-49B2-BA66-5B7EDEDC24BD}"/>
    <cellStyle name="Info 3 3 8" xfId="1364" xr:uid="{5CBAC54F-70E3-41D6-8B6E-F32295B6D8EA}"/>
    <cellStyle name="Info 3 4" xfId="242" xr:uid="{09EC1F68-E0CB-4CF2-AEA4-09E252C37013}"/>
    <cellStyle name="Info 3 4 2" xfId="881" xr:uid="{67CF2C3C-8D16-42A7-8629-4424DD434BF7}"/>
    <cellStyle name="Info 3 4 3" xfId="1439" xr:uid="{E6B7CA10-5AF7-4AFB-8685-53879F18AAE5}"/>
    <cellStyle name="Info 3 5" xfId="230" xr:uid="{4155D514-9FC6-47CB-A9C0-5536E9B7C682}"/>
    <cellStyle name="Info 3 5 2" xfId="869" xr:uid="{3E77966E-03F6-48F7-84F4-3624288B1DE3}"/>
    <cellStyle name="Info 3 5 3" xfId="1427" xr:uid="{E932FFA1-DA65-459B-8C69-9057AC412D43}"/>
    <cellStyle name="Info 3 6" xfId="202" xr:uid="{EAF2257C-58C2-4D92-9F16-8965C176FFAB}"/>
    <cellStyle name="Info 3 6 2" xfId="841" xr:uid="{A118DAF1-194B-4B95-B6E6-69DB93C23BD3}"/>
    <cellStyle name="Info 3 6 3" xfId="1399" xr:uid="{3EAA651F-2C62-4B87-8AA9-5AAD49828BCB}"/>
    <cellStyle name="Info 3 7" xfId="545" xr:uid="{2CD43102-A1EC-4F40-994E-107A375B34BB}"/>
    <cellStyle name="Info 3 7 2" xfId="1173" xr:uid="{BC19734C-F623-4ACD-B677-2FDBAC312DC7}"/>
    <cellStyle name="Info 3 7 3" xfId="1732" xr:uid="{632175C6-06AD-4543-BFF7-BA6778A81442}"/>
    <cellStyle name="Info 3 8" xfId="552" xr:uid="{5A55EB5C-A979-480B-B3D2-61C62C598DF7}"/>
    <cellStyle name="Info 3 8 2" xfId="1180" xr:uid="{320CB164-6BF9-4ECF-85CD-F845675BFE14}"/>
    <cellStyle name="Info 3 8 3" xfId="1739" xr:uid="{F46EFBD6-F806-40D6-809A-ABAE4C1C3406}"/>
    <cellStyle name="Info 3 9" xfId="747" xr:uid="{AC50579C-5FED-4E1C-89C0-1CD74D79F4DE}"/>
    <cellStyle name="Info 4" xfId="83" xr:uid="{1E138398-7293-45C6-9C28-2FDA4AAE4D74}"/>
    <cellStyle name="Info 4 10" xfId="1126" xr:uid="{AECCD13E-9787-4E2C-9C65-2A968A8846E9}"/>
    <cellStyle name="Info 4 2" xfId="142" xr:uid="{35C9E54A-6507-4AF9-8C9D-FADB2F8616A0}"/>
    <cellStyle name="Info 4 2 2" xfId="300" xr:uid="{238C3462-965F-4932-8941-94AA360EA4A1}"/>
    <cellStyle name="Info 4 2 2 2" xfId="937" xr:uid="{3AAB735F-35E4-493A-88BE-3E7BD7883D05}"/>
    <cellStyle name="Info 4 2 2 3" xfId="1495" xr:uid="{956EC3C8-0E10-4819-B12B-2F569CD39234}"/>
    <cellStyle name="Info 4 2 3" xfId="375" xr:uid="{67A92D79-86C5-43BE-8564-72BEE01EED95}"/>
    <cellStyle name="Info 4 2 3 2" xfId="1009" xr:uid="{B920EC55-CA3D-40BE-93BE-25F50377620D}"/>
    <cellStyle name="Info 4 2 3 3" xfId="1568" xr:uid="{AD683BCA-E9EF-4664-B7B9-F5B66B2F5FF4}"/>
    <cellStyle name="Info 4 2 4" xfId="428" xr:uid="{290B177B-45EB-4C26-8503-0CB3D6C17413}"/>
    <cellStyle name="Info 4 2 4 2" xfId="1061" xr:uid="{A2EF0E7F-FD2A-4718-A161-4B1BE1E999E1}"/>
    <cellStyle name="Info 4 2 4 3" xfId="1620" xr:uid="{0E3D69D3-AAB7-4C5A-92CB-95DC42E04A7D}"/>
    <cellStyle name="Info 4 2 5" xfId="536" xr:uid="{161EAA1F-AF1B-424B-9FAA-EFB2D130242C}"/>
    <cellStyle name="Info 4 2 5 2" xfId="1164" xr:uid="{56CBC5E3-9E42-4C85-B4C3-EB6E51BDC85B}"/>
    <cellStyle name="Info 4 2 5 3" xfId="1723" xr:uid="{0D71208C-8B16-4506-83F6-2D603A8856BE}"/>
    <cellStyle name="Info 4 2 6" xfId="613" xr:uid="{A5DB3574-7B9A-41BD-8E8A-9EECCE3BFFB5}"/>
    <cellStyle name="Info 4 2 6 2" xfId="1237" xr:uid="{0DC8C22A-3435-45E2-955B-7822F1A895AA}"/>
    <cellStyle name="Info 4 2 6 3" xfId="1796" xr:uid="{CB5175DF-3695-46BA-9303-097C8211E1F3}"/>
    <cellStyle name="Info 4 2 7" xfId="784" xr:uid="{DC2BBE7A-18D1-4B2F-8CBD-9D684B50152A}"/>
    <cellStyle name="Info 4 2 8" xfId="1341" xr:uid="{A6BB5236-765B-4F07-B19F-54ACDC33B4C0}"/>
    <cellStyle name="Info 4 3" xfId="170" xr:uid="{E8911D36-C91C-4E57-ABAA-AA294136C28B}"/>
    <cellStyle name="Info 4 3 2" xfId="328" xr:uid="{48757742-12D4-42D7-9292-86ED2D3073BC}"/>
    <cellStyle name="Info 4 3 2 2" xfId="965" xr:uid="{49AD0427-AB71-40EB-BFB5-26456C73EF80}"/>
    <cellStyle name="Info 4 3 2 3" xfId="1523" xr:uid="{57A102A3-6AD7-445F-9359-3775C80CF896}"/>
    <cellStyle name="Info 4 3 3" xfId="361" xr:uid="{F45B3D2E-1148-4D15-875B-89B0743B01EA}"/>
    <cellStyle name="Info 4 3 3 2" xfId="996" xr:uid="{2CEC48AD-42DA-416E-981F-9C40CF55F78F}"/>
    <cellStyle name="Info 4 3 3 3" xfId="1554" xr:uid="{4C747665-12C6-4821-AB67-F3BDA2738509}"/>
    <cellStyle name="Info 4 3 4" xfId="226" xr:uid="{4DBB2B25-F6C5-4BA4-95CF-5F55DD5C614D}"/>
    <cellStyle name="Info 4 3 4 2" xfId="865" xr:uid="{7BE2DD4A-672C-444D-8C25-5463E9F34E1F}"/>
    <cellStyle name="Info 4 3 4 3" xfId="1423" xr:uid="{D2C2ADBF-C544-4974-80F6-47F1C8195F02}"/>
    <cellStyle name="Info 4 3 5" xfId="209" xr:uid="{23272C4D-D9AF-4FBE-B65D-47BB1D11D883}"/>
    <cellStyle name="Info 4 3 5 2" xfId="848" xr:uid="{2A937915-4217-4B96-99BF-7D94B166B409}"/>
    <cellStyle name="Info 4 3 5 3" xfId="1406" xr:uid="{384A961C-D2A5-49EB-BE33-32B556BD54A5}"/>
    <cellStyle name="Info 4 3 6" xfId="611" xr:uid="{C8BC598B-7A0B-4595-BCD6-7674B9BC7933}"/>
    <cellStyle name="Info 4 3 6 2" xfId="1235" xr:uid="{38701FC1-F5BE-418B-9C12-062F5A1F2B46}"/>
    <cellStyle name="Info 4 3 6 3" xfId="1794" xr:uid="{1C620FDA-CBAA-440F-AC84-2A199A9C43F2}"/>
    <cellStyle name="Info 4 3 7" xfId="812" xr:uid="{398BB35F-64FD-4D40-A9C3-038DC1A86896}"/>
    <cellStyle name="Info 4 3 8" xfId="1369" xr:uid="{F07C9229-5282-4C60-B2CC-8FB373466E0D}"/>
    <cellStyle name="Info 4 4" xfId="247" xr:uid="{D4445250-B260-4C62-A05C-9CE5BC688267}"/>
    <cellStyle name="Info 4 4 2" xfId="886" xr:uid="{B53AB4B6-13A1-4D77-B7C6-C5067200AEC0}"/>
    <cellStyle name="Info 4 4 3" xfId="1444" xr:uid="{F7EA6D08-8CAC-4C73-9580-BA406C54F85F}"/>
    <cellStyle name="Info 4 5" xfId="353" xr:uid="{6AA260AC-89F4-46AC-A68F-F355DA1DC2B1}"/>
    <cellStyle name="Info 4 5 2" xfId="988" xr:uid="{8133CA19-F3E7-421A-A8BC-97059F3A4AAD}"/>
    <cellStyle name="Info 4 5 3" xfId="1546" xr:uid="{D77FBE1A-EEB8-45E4-86C0-602551330535}"/>
    <cellStyle name="Info 4 6" xfId="438" xr:uid="{F09518FD-DA2A-4EBF-9A1F-A29D105CF3A9}"/>
    <cellStyle name="Info 4 6 2" xfId="1071" xr:uid="{140EF19A-FD1A-4863-92A6-F334DF067D0B}"/>
    <cellStyle name="Info 4 6 3" xfId="1630" xr:uid="{F6BD958F-EB53-4F0D-B69F-59F7D1AB3B19}"/>
    <cellStyle name="Info 4 7" xfId="483" xr:uid="{5216A2B8-3E41-4CDE-B627-68421B53A3BB}"/>
    <cellStyle name="Info 4 7 2" xfId="1115" xr:uid="{DC65C330-6FF0-4CB5-B640-6938D7FE9DC1}"/>
    <cellStyle name="Info 4 7 3" xfId="1674" xr:uid="{BD85A8CC-CCB7-4CC4-9CC6-9D9A514A9F7A}"/>
    <cellStyle name="Info 4 8" xfId="460" xr:uid="{6138440F-2C27-4E48-8953-A0EBA1E96845}"/>
    <cellStyle name="Info 4 8 2" xfId="1093" xr:uid="{1E933355-9B7C-48D5-9EBC-FFA291E324DC}"/>
    <cellStyle name="Info 4 8 3" xfId="1652" xr:uid="{66D182B9-1163-40CA-85E7-1765828250A8}"/>
    <cellStyle name="Info 4 9" xfId="752" xr:uid="{02D0E021-D066-455E-A53E-D3B245D6E53C}"/>
    <cellStyle name="Info 5" xfId="80" xr:uid="{9E66B23B-FA6E-4B82-B42F-F659CA87E5D7}"/>
    <cellStyle name="Info 5 10" xfId="733" xr:uid="{71A6C165-1ACA-44BE-971D-DD5437686A69}"/>
    <cellStyle name="Info 5 2" xfId="139" xr:uid="{DDA78871-F03B-438D-8005-7F8E5272CF4D}"/>
    <cellStyle name="Info 5 2 2" xfId="297" xr:uid="{A4E2B834-8B7C-40FC-B9BA-A1B103BC785E}"/>
    <cellStyle name="Info 5 2 2 2" xfId="934" xr:uid="{E3B23C7C-3C6A-45A7-94BE-860C6B0D06AB}"/>
    <cellStyle name="Info 5 2 2 3" xfId="1492" xr:uid="{92058346-59B1-416F-9345-2D3D21F0330B}"/>
    <cellStyle name="Info 5 2 3" xfId="390" xr:uid="{875232D4-1169-4C75-821D-8950540D279F}"/>
    <cellStyle name="Info 5 2 3 2" xfId="1024" xr:uid="{944434FF-F027-46D6-A760-284B05BF0529}"/>
    <cellStyle name="Info 5 2 3 3" xfId="1583" xr:uid="{A8D4B0D6-2C1C-48E4-BDA5-E89BF0F24A8A}"/>
    <cellStyle name="Info 5 2 4" xfId="470" xr:uid="{BDFC0C43-B376-445A-9C11-29218E6E654A}"/>
    <cellStyle name="Info 5 2 4 2" xfId="1102" xr:uid="{BD56D894-C029-4DC1-823A-483D97507614}"/>
    <cellStyle name="Info 5 2 4 3" xfId="1662" xr:uid="{DE69C7ED-7517-4481-8582-3EEFF9BE6491}"/>
    <cellStyle name="Info 5 2 5" xfId="539" xr:uid="{816C55E5-EF82-4874-8BBF-85AA02EE1D11}"/>
    <cellStyle name="Info 5 2 5 2" xfId="1167" xr:uid="{B3C223A8-76DA-4FC1-BA95-6EC65D55917D}"/>
    <cellStyle name="Info 5 2 5 3" xfId="1726" xr:uid="{1B20E339-D3E9-4D49-AAC5-AFC8092738D3}"/>
    <cellStyle name="Info 5 2 6" xfId="624" xr:uid="{922426F9-6812-4D4A-A227-E38AAA875CA3}"/>
    <cellStyle name="Info 5 2 6 2" xfId="1248" xr:uid="{C88CFE71-BE41-4611-A1DC-ED7B77B2694A}"/>
    <cellStyle name="Info 5 2 6 3" xfId="1807" xr:uid="{6D000665-08B2-4FFC-9228-8AD350CB5B77}"/>
    <cellStyle name="Info 5 2 7" xfId="781" xr:uid="{003C2BCE-C950-4A41-91B6-E5D1A49A50F8}"/>
    <cellStyle name="Info 5 2 8" xfId="1338" xr:uid="{BD88C40B-A866-44E8-9806-B1E7133219D7}"/>
    <cellStyle name="Info 5 3" xfId="167" xr:uid="{68AE16E3-7123-4E37-802A-70B1D94402A0}"/>
    <cellStyle name="Info 5 3 2" xfId="325" xr:uid="{61E36527-1A6C-4E4F-9554-5B547927939B}"/>
    <cellStyle name="Info 5 3 2 2" xfId="962" xr:uid="{61F9145F-6DF6-4703-99EC-3B5EFBB73C88}"/>
    <cellStyle name="Info 5 3 2 3" xfId="1520" xr:uid="{BB33AAB1-3460-4063-9DB2-3BFF90516C4B}"/>
    <cellStyle name="Info 5 3 3" xfId="394" xr:uid="{F9D31034-2E0A-4384-821E-BDEF00839521}"/>
    <cellStyle name="Info 5 3 3 2" xfId="1027" xr:uid="{459CAB57-D3EC-4AD7-81C3-6060074D12F0}"/>
    <cellStyle name="Info 5 3 3 3" xfId="1587" xr:uid="{03EC5DB1-15DB-431B-AE09-99FA07EFB490}"/>
    <cellStyle name="Info 5 3 4" xfId="219" xr:uid="{FED2664C-27B3-4BC1-9EA8-FE8C8F4E7B87}"/>
    <cellStyle name="Info 5 3 4 2" xfId="858" xr:uid="{F4A9C1AB-89D9-4A15-800B-9104ACF7D427}"/>
    <cellStyle name="Info 5 3 4 3" xfId="1416" xr:uid="{F10E82A3-71E7-4100-B49C-C7C0106667FE}"/>
    <cellStyle name="Info 5 3 5" xfId="523" xr:uid="{44D645C2-06A3-4BC7-BE40-44DCA1C90F3B}"/>
    <cellStyle name="Info 5 3 5 2" xfId="1153" xr:uid="{749C0B45-A138-4E7C-BABC-02B2917E4725}"/>
    <cellStyle name="Info 5 3 5 3" xfId="1712" xr:uid="{7D282F66-6F7A-45E7-B222-D0E456368805}"/>
    <cellStyle name="Info 5 3 6" xfId="621" xr:uid="{1B4D289A-6B4E-4A83-830D-2365458A8485}"/>
    <cellStyle name="Info 5 3 6 2" xfId="1245" xr:uid="{064E4568-0FCC-4005-846D-E19729BB7EB8}"/>
    <cellStyle name="Info 5 3 6 3" xfId="1804" xr:uid="{070AA3B7-904D-43F2-B6CC-D331C58BC529}"/>
    <cellStyle name="Info 5 3 7" xfId="809" xr:uid="{0D1EEF76-FA92-43B8-A2DF-F4D097E72D45}"/>
    <cellStyle name="Info 5 3 8" xfId="1366" xr:uid="{A2C358D8-00A3-4343-9BF7-1665DD18B1DF}"/>
    <cellStyle name="Info 5 4" xfId="244" xr:uid="{0539D693-FDE9-44FC-9C0F-C5EF3EB7CE83}"/>
    <cellStyle name="Info 5 4 2" xfId="883" xr:uid="{B52577D9-6C94-4560-A632-0C12FC2CEB38}"/>
    <cellStyle name="Info 5 4 3" xfId="1441" xr:uid="{1B0CBE07-68C8-428F-8DC8-58BC7BD455AA}"/>
    <cellStyle name="Info 5 5" xfId="210" xr:uid="{0E66F18E-3153-4EB4-983C-4F0605385912}"/>
    <cellStyle name="Info 5 5 2" xfId="849" xr:uid="{ACA60C65-5A1F-4E72-A0ED-27553FFBD933}"/>
    <cellStyle name="Info 5 5 3" xfId="1407" xr:uid="{FC81CB80-404E-44A7-9C6D-04E59CAF0946}"/>
    <cellStyle name="Info 5 6" xfId="228" xr:uid="{66B60A65-0543-432D-A699-6D92B8F4A733}"/>
    <cellStyle name="Info 5 6 2" xfId="867" xr:uid="{4BAA76D2-6D4F-4F9D-B3E1-26C6B421888E}"/>
    <cellStyle name="Info 5 6 3" xfId="1425" xr:uid="{AD1A896A-9BE1-43FF-AB97-F7F271F25225}"/>
    <cellStyle name="Info 5 7" xfId="379" xr:uid="{36F00CC9-4CCC-4B98-BDBE-F95563770BD7}"/>
    <cellStyle name="Info 5 7 2" xfId="1013" xr:uid="{6A18DA62-9EE0-4EEE-8AFF-C4CF4FD832A3}"/>
    <cellStyle name="Info 5 7 3" xfId="1572" xr:uid="{CFBF9000-34B8-4604-8A64-280DAA144175}"/>
    <cellStyle name="Info 5 8" xfId="546" xr:uid="{0B2839C3-5FA6-4854-9CD1-73B56B1364E6}"/>
    <cellStyle name="Info 5 8 2" xfId="1174" xr:uid="{1539C09C-4C5D-4507-89B1-194497363BBF}"/>
    <cellStyle name="Info 5 8 3" xfId="1733" xr:uid="{93319498-CADB-4538-99A6-0C154F885CE7}"/>
    <cellStyle name="Info 5 9" xfId="749" xr:uid="{B0CDACF7-4C50-43AB-A7BB-8CB696A284AB}"/>
    <cellStyle name="Info 6" xfId="130" xr:uid="{A1758917-1837-42C5-81DE-7CFF86A6C11A}"/>
    <cellStyle name="Info 6 2" xfId="288" xr:uid="{5F1DFE5B-F1C6-443D-B04A-19F2FC8B8608}"/>
    <cellStyle name="Info 6 2 2" xfId="925" xr:uid="{AB3C1231-0F11-468C-A68F-C8C10271EFAF}"/>
    <cellStyle name="Info 6 2 3" xfId="1483" xr:uid="{EC1E122E-BAE4-4BA4-B847-C5DA4767668A}"/>
    <cellStyle name="Info 6 3" xfId="203" xr:uid="{8974CAF4-CCC9-4213-AE3A-9CF3E1B12814}"/>
    <cellStyle name="Info 6 3 2" xfId="842" xr:uid="{5B436BCA-DDE9-4A46-B080-9BC8D2FC1D46}"/>
    <cellStyle name="Info 6 3 3" xfId="1400" xr:uid="{015452DC-F225-40E8-9E7E-EADEE7AFCC4A}"/>
    <cellStyle name="Info 6 4" xfId="473" xr:uid="{797ED800-6D65-42E8-851E-E0929D4C8212}"/>
    <cellStyle name="Info 6 4 2" xfId="1105" xr:uid="{BF17B98E-044B-4A97-A2C8-39A847EB6E91}"/>
    <cellStyle name="Info 6 4 3" xfId="1665" xr:uid="{66D41CE8-69EE-4065-B6A8-BABF85E16DD0}"/>
    <cellStyle name="Info 6 5" xfId="482" xr:uid="{31A3DCCE-411D-4B3B-B458-D37BE7227D84}"/>
    <cellStyle name="Info 6 5 2" xfId="1114" xr:uid="{06A7C4DB-4AF7-41C6-A068-07F2C906A6DB}"/>
    <cellStyle name="Info 6 5 3" xfId="1673" xr:uid="{12A84266-B2CC-4A3C-9F3C-4D52C68280A8}"/>
    <cellStyle name="Info 6 6" xfId="556" xr:uid="{1718D24E-8C60-47CF-B462-17E4BAAD42E8}"/>
    <cellStyle name="Info 6 6 2" xfId="1184" xr:uid="{6A83694F-B5AF-4810-8846-89F01C04BD2A}"/>
    <cellStyle name="Info 6 6 3" xfId="1743" xr:uid="{B7AF52A3-BDCE-4758-9E39-D84A80FE9E0B}"/>
    <cellStyle name="Info 6 7" xfId="772" xr:uid="{1708DB5D-C7E1-4B5B-BD08-25C684CAD296}"/>
    <cellStyle name="Info 6 8" xfId="1329" xr:uid="{93B00C3E-7F65-4CEF-90F5-E3D9EDA51AD7}"/>
    <cellStyle name="Info 7" xfId="157" xr:uid="{31AC538C-0512-4001-8656-B034731B3DC4}"/>
    <cellStyle name="Info 7 2" xfId="315" xr:uid="{3C111633-4EC7-4A30-8039-C40076E03110}"/>
    <cellStyle name="Info 7 2 2" xfId="952" xr:uid="{FBB77819-9AC8-4040-A5C9-A8522AB72F96}"/>
    <cellStyle name="Info 7 2 3" xfId="1510" xr:uid="{F96F23F1-EE0E-42D0-8180-16AFB7A98037}"/>
    <cellStyle name="Info 7 3" xfId="239" xr:uid="{27A00EC8-2B6C-402B-AFDB-D9042951F54C}"/>
    <cellStyle name="Info 7 3 2" xfId="878" xr:uid="{53437CDD-DADD-4E50-B2CF-7FE059724DA4}"/>
    <cellStyle name="Info 7 3 3" xfId="1436" xr:uid="{74F4BCD4-D282-4145-94C4-6DDCDFAD1C1E}"/>
    <cellStyle name="Info 7 4" xfId="213" xr:uid="{4B603C38-A4F3-4688-98B3-2A23D0DE76FD}"/>
    <cellStyle name="Info 7 4 2" xfId="852" xr:uid="{D5D8C42B-8999-4E01-AF13-EA347717C5DD}"/>
    <cellStyle name="Info 7 4 3" xfId="1410" xr:uid="{5059EA8B-96F3-4005-AADA-DE0FD0B15865}"/>
    <cellStyle name="Info 7 5" xfId="527" xr:uid="{FA2B8C27-63E7-4F9D-B69E-087AD1321D8E}"/>
    <cellStyle name="Info 7 5 2" xfId="1157" xr:uid="{598658C0-F639-4720-B62B-831E959C1D49}"/>
    <cellStyle name="Info 7 5 3" xfId="1716" xr:uid="{A5D19192-CE24-4738-916A-3B6D643DF112}"/>
    <cellStyle name="Info 7 6" xfId="627" xr:uid="{C8D93B1B-BED9-4A0B-8FAA-C72A6E7813A5}"/>
    <cellStyle name="Info 7 6 2" xfId="1251" xr:uid="{6394EE0A-89DF-4A09-A80A-40BC986CF376}"/>
    <cellStyle name="Info 7 6 3" xfId="1809" xr:uid="{2B2EAE8A-58EB-4825-9B56-5452725F8C43}"/>
    <cellStyle name="Info 7 7" xfId="799" xr:uid="{E6A72BCB-E0F0-4659-8558-ADB43834A514}"/>
    <cellStyle name="Info 7 8" xfId="1356" xr:uid="{7CBAF7AE-2596-47FA-85D4-02E6FBA3A063}"/>
    <cellStyle name="Info 8" xfId="207" xr:uid="{CB3B1FF8-2419-49FC-BB30-2E710F691F0D}"/>
    <cellStyle name="Info 8 2" xfId="846" xr:uid="{A3994740-2E03-4EE1-834C-4746D594C12C}"/>
    <cellStyle name="Info 8 3" xfId="1404" xr:uid="{722D04BC-1AE3-4398-94D5-52E77788AC73}"/>
    <cellStyle name="Info 9" xfId="362" xr:uid="{E6F2B3DB-4FCE-4935-82D1-4316E99DB7B9}"/>
    <cellStyle name="Info 9 2" xfId="997" xr:uid="{CEC6ADF3-E382-4D71-ACA4-622E0D1B5BDF}"/>
    <cellStyle name="Info 9 3" xfId="1555" xr:uid="{0FE69390-5E3D-4928-9098-50F8AA7E8ADC}"/>
    <cellStyle name="Input 2" xfId="43" xr:uid="{AF20F81C-60A0-4EA2-AC5D-432ACFACD14E}"/>
    <cellStyle name="Input 3" xfId="59" xr:uid="{2E80F0ED-EB0B-4941-9FCC-BB9A7C634645}"/>
    <cellStyle name="Input Assumption" xfId="9" xr:uid="{00000000-0005-0000-0000-000006000000}"/>
    <cellStyle name="InputCell" xfId="28" xr:uid="{CEC62268-7673-493C-AFA7-AAA39701AD06}"/>
    <cellStyle name="InputCells" xfId="117" xr:uid="{EB4C5D11-BFB6-4315-8E45-D656C1F5D0BF}"/>
    <cellStyle name="InputCells12" xfId="118" xr:uid="{E422966F-F91D-45CD-8849-540AF787639B}"/>
    <cellStyle name="InputCells12 10" xfId="1326" xr:uid="{F10199CB-F13A-4ABD-AE62-09E0961BC02C}"/>
    <cellStyle name="InputCells12 2" xfId="159" xr:uid="{D2BABE5E-0AE8-4DA4-9AFC-07BFB30ADDBA}"/>
    <cellStyle name="InputCells12 2 2" xfId="317" xr:uid="{864D55C4-B94C-4928-80B6-6D34B9C556C8}"/>
    <cellStyle name="InputCells12 2 2 2" xfId="954" xr:uid="{3AA1B6FE-F1D1-4254-B74E-3794A8550FB4}"/>
    <cellStyle name="InputCells12 2 2 3" xfId="1512" xr:uid="{DCDC224E-060A-4B29-8CD7-BB8C08A31B74}"/>
    <cellStyle name="InputCells12 2 3" xfId="396" xr:uid="{FDCE0127-E935-4F6E-964B-4301F059F38F}"/>
    <cellStyle name="InputCells12 2 3 2" xfId="1029" xr:uid="{10DB8613-4603-4E58-84CB-E9F4F2AD28FD}"/>
    <cellStyle name="InputCells12 2 3 3" xfId="1589" xr:uid="{15F912F1-6075-4238-B989-9B308CF4110C}"/>
    <cellStyle name="InputCells12 2 4" xfId="450" xr:uid="{0B19D5C5-98AF-40A5-A70B-DF5A8DA73341}"/>
    <cellStyle name="InputCells12 2 4 2" xfId="1083" xr:uid="{2752E290-BC41-4737-AB00-A9A84844337D}"/>
    <cellStyle name="InputCells12 2 4 3" xfId="1642" xr:uid="{16D0B398-B878-4650-9BE1-666C13F5E52B}"/>
    <cellStyle name="InputCells12 2 5" xfId="564" xr:uid="{5026F55D-FC71-41CB-8643-3FA0DBE8A46F}"/>
    <cellStyle name="InputCells12 2 5 2" xfId="1192" xr:uid="{18974116-9ABA-47CF-9408-0904790D5AFA}"/>
    <cellStyle name="InputCells12 2 5 3" xfId="1751" xr:uid="{00A4402D-8162-4718-AFC9-22E664176E5D}"/>
    <cellStyle name="InputCells12 2 6" xfId="612" xr:uid="{8E5C7551-756A-4AAC-8928-A5C9C4650564}"/>
    <cellStyle name="InputCells12 2 6 2" xfId="1236" xr:uid="{0C5B527E-C511-4A26-BF28-0F31B2F46F3D}"/>
    <cellStyle name="InputCells12 2 6 3" xfId="1795" xr:uid="{A9EB4440-97B1-4ABB-BD4B-1530DDB6A9DD}"/>
    <cellStyle name="InputCells12 2 7" xfId="801" xr:uid="{7FD43F22-D715-49DF-A303-82F5E60141AC}"/>
    <cellStyle name="InputCells12 2 8" xfId="1358" xr:uid="{3C8DEAB0-A2CD-41D2-9CE5-501BBE1C12A4}"/>
    <cellStyle name="InputCells12 3" xfId="188" xr:uid="{107360E1-AE4F-46A0-AF78-72BA342ADA9C}"/>
    <cellStyle name="InputCells12 3 2" xfId="346" xr:uid="{CDF26E6E-A17C-423F-9E79-DC59A05CE5D7}"/>
    <cellStyle name="InputCells12 3 2 2" xfId="981" xr:uid="{A539E90E-9302-42A2-B77F-A2741A461B0D}"/>
    <cellStyle name="InputCells12 3 2 3" xfId="1539" xr:uid="{5021C4D4-881B-43F0-9BBF-B56677D31AA4}"/>
    <cellStyle name="InputCells12 3 3" xfId="350" xr:uid="{C80DAC4E-45E9-427D-9341-E5A38955BB31}"/>
    <cellStyle name="InputCells12 3 3 2" xfId="985" xr:uid="{C9B9F420-A0D9-46CA-A4FD-A6E5CB57090D}"/>
    <cellStyle name="InputCells12 3 3 3" xfId="1543" xr:uid="{ACC344A3-513E-49D0-9DFC-C5B74371C909}"/>
    <cellStyle name="InputCells12 3 4" xfId="518" xr:uid="{7B42CECB-F979-440C-AEE4-DFEC41F6B532}"/>
    <cellStyle name="InputCells12 3 4 2" xfId="1148" xr:uid="{7827104F-412E-47EC-8AA6-7FCAF13314E4}"/>
    <cellStyle name="InputCells12 3 4 3" xfId="1707" xr:uid="{89F2616E-557C-4BD6-9F86-118D5AA456FE}"/>
    <cellStyle name="InputCells12 3 5" xfId="600" xr:uid="{D700D0CC-7C8B-4801-A9AB-2B847D3372CA}"/>
    <cellStyle name="InputCells12 3 5 2" xfId="1225" xr:uid="{5B9ABB9A-B757-44B4-97C8-912B8C324C58}"/>
    <cellStyle name="InputCells12 3 5 3" xfId="1783" xr:uid="{969C6ACE-5F55-48AF-A253-FB44D87047D8}"/>
    <cellStyle name="InputCells12 3 6" xfId="652" xr:uid="{465C2B79-F0BF-4BF5-8BC9-A24074EB86D9}"/>
    <cellStyle name="InputCells12 3 6 2" xfId="1276" xr:uid="{9929FDDB-FAB2-4F94-923D-533AB15FA0EA}"/>
    <cellStyle name="InputCells12 3 6 3" xfId="1833" xr:uid="{DF5EC630-5383-4E1F-A62A-53864FE74964}"/>
    <cellStyle name="InputCells12 3 7" xfId="827" xr:uid="{91771A5E-1E12-4DAC-87AA-8FE69A320180}"/>
    <cellStyle name="InputCells12 3 8" xfId="1385" xr:uid="{FB405010-B0D6-4E79-A3A4-E7B03170CC4F}"/>
    <cellStyle name="InputCells12 4" xfId="279" xr:uid="{8D601568-5A9C-4672-951F-56418D7B2FB9}"/>
    <cellStyle name="InputCells12 4 2" xfId="916" xr:uid="{4EE9E8B0-8B02-452C-AF55-66EC90E389B7}"/>
    <cellStyle name="InputCells12 4 3" xfId="1474" xr:uid="{C29D63D4-CB04-4DA4-80EA-0C7C36C726CF}"/>
    <cellStyle name="InputCells12 5" xfId="403" xr:uid="{C1F8213C-A515-4E6B-B8AF-868D62B57F7A}"/>
    <cellStyle name="InputCells12 5 2" xfId="1036" xr:uid="{1A726FF3-C0E5-4185-9BCB-04233BDB5B2F}"/>
    <cellStyle name="InputCells12 5 3" xfId="1595" xr:uid="{6979ABC0-35B4-4F11-8A7D-43A1AF192DCB}"/>
    <cellStyle name="InputCells12 6" xfId="435" xr:uid="{8C2045F9-8412-4B49-9CD7-0EE4AB2ED247}"/>
    <cellStyle name="InputCells12 6 2" xfId="1068" xr:uid="{6C796CE0-F825-4F9D-9658-00144FDA68AB}"/>
    <cellStyle name="InputCells12 6 3" xfId="1627" xr:uid="{EA472322-6A23-4ABF-8B0C-CF1D6683109C}"/>
    <cellStyle name="InputCells12 7" xfId="553" xr:uid="{A69CF737-69CA-4054-8250-7E66E1E682FD}"/>
    <cellStyle name="InputCells12 7 2" xfId="1181" xr:uid="{C736BACA-2E1D-4E51-A644-3E8234655853}"/>
    <cellStyle name="InputCells12 7 3" xfId="1740" xr:uid="{CA017912-24DF-49A5-94F8-2BB6F0A2D478}"/>
    <cellStyle name="InputCells12 8" xfId="634" xr:uid="{D9BB5327-E69B-4F04-A8A7-317F05CC8AD8}"/>
    <cellStyle name="InputCells12 8 2" xfId="1258" xr:uid="{30C45C87-433F-4054-9516-FF9CEC6FB449}"/>
    <cellStyle name="InputCells12 8 3" xfId="1815" xr:uid="{BDB1DFC5-96DD-464C-9BAB-237C8F863FC9}"/>
    <cellStyle name="InputCells12 9" xfId="769" xr:uid="{5C7F287A-6F09-442B-BAAA-541DE21A7E32}"/>
    <cellStyle name="IntCells" xfId="119" xr:uid="{1BF713E9-2244-45C5-87C9-D9DD7B2C3272}"/>
    <cellStyle name="Left_locked" xfId="25" xr:uid="{5F9AC150-CA7D-42AF-BA05-E38B543E5FE6}"/>
    <cellStyle name="Linked (External)" xfId="8" xr:uid="{00000000-0005-0000-0000-000007000000}"/>
    <cellStyle name="Linked Cell 1" xfId="6" xr:uid="{00000000-0005-0000-0000-000008000000}"/>
    <cellStyle name="Linked Cell 2" xfId="7" xr:uid="{00000000-0005-0000-0000-000009000000}"/>
    <cellStyle name="Normal" xfId="0" builtinId="0"/>
    <cellStyle name="Normal 10" xfId="713" xr:uid="{4E3132A5-205A-4E2D-A3AE-2B541A909932}"/>
    <cellStyle name="Normal 10 2" xfId="717" xr:uid="{B0DC3B1D-4E0D-43DE-A83E-F9E3D5FB8F8E}"/>
    <cellStyle name="Normal 11" xfId="714" xr:uid="{2D4A89E8-47AD-4DDA-9C53-D03D800DC328}"/>
    <cellStyle name="Normal 11 2" xfId="718" xr:uid="{0577D530-65BE-4B38-9D8A-03B5FAEC922F}"/>
    <cellStyle name="Normal 11 3" xfId="722" xr:uid="{DFBFD209-D5D3-4C27-A344-ABCD630FE76C}"/>
    <cellStyle name="Normal 2" xfId="16" xr:uid="{E213AD38-C2C5-4A45-A038-86EB58BD49C4}"/>
    <cellStyle name="Normal 2 2" xfId="32" xr:uid="{70494521-28DB-40C8-9BA8-00732BFE8B42}"/>
    <cellStyle name="Normal 2 2 2" xfId="54" xr:uid="{555DB48A-3D4D-4EBE-9207-3E5FA6769F68}"/>
    <cellStyle name="Normal 2 3" xfId="61" xr:uid="{DE822F9E-F5DD-496C-A501-6AE165B8188B}"/>
    <cellStyle name="Normal 2 4" xfId="31" xr:uid="{95C2055F-0674-4EA0-A877-7211358106A5}"/>
    <cellStyle name="Normal 3" xfId="33" xr:uid="{39D90141-0009-4122-B7CA-70C162BAC469}"/>
    <cellStyle name="Normal 3 2" xfId="91" xr:uid="{67A21116-05F7-4D66-9CDC-15B0F29DF4F3}"/>
    <cellStyle name="Normal 3 3" xfId="720" xr:uid="{C519E5CB-4774-4C5A-A775-B9B42ACBC620}"/>
    <cellStyle name="Normal 4" xfId="129" xr:uid="{4A820F5C-B02B-4B43-84C8-4F6A70C7B471}"/>
    <cellStyle name="Normal 4 2" xfId="719" xr:uid="{1AC36816-E209-4087-883E-142BE35A5798}"/>
    <cellStyle name="Normal 5" xfId="21" xr:uid="{C95319FC-D08B-4D7D-98B3-D828C29A7F12}"/>
    <cellStyle name="Normal 5 2 2 3" xfId="724" xr:uid="{CFBC6DCF-D329-4FBE-9C2B-FFA524A37C73}"/>
    <cellStyle name="Normal 6" xfId="20" xr:uid="{80FE74C9-6E5C-4B51-9D94-FD785B476C05}"/>
    <cellStyle name="Normal 6 2" xfId="712" xr:uid="{D9CCB219-7A8D-43C0-BA7B-D66914218F25}"/>
    <cellStyle name="Normal 6 2 3" xfId="723" xr:uid="{E24C27D1-11A1-4AAF-8FFF-6EDA635FF79A}"/>
    <cellStyle name="Normal 6 4" xfId="716" xr:uid="{DEECC10F-96D4-43F1-A137-E55DE96009F1}"/>
    <cellStyle name="Normal 7" xfId="721" xr:uid="{8AC08AEC-21ED-4EAA-8AF3-88B17B0C3A42}"/>
    <cellStyle name="Normal 9 2 2" xfId="725" xr:uid="{0FF4BFE7-1AED-45A9-AE26-43F612981DE5}"/>
    <cellStyle name="Normal 9 2 2 2" xfId="726" xr:uid="{88AB1409-A467-4F9F-9C0C-4E8D0EE8833E}"/>
    <cellStyle name="Normal 9 2 2 3" xfId="727" xr:uid="{8696C52B-CC92-4EE2-862E-61AD11A6449B}"/>
    <cellStyle name="Normal GHG Numbers (0.00)" xfId="120" xr:uid="{FFFAF6AB-C0E1-4E53-962B-A91C8C11E5C0}"/>
    <cellStyle name="Normal GHG Textfiels Bold" xfId="121" xr:uid="{81065764-E307-4BCF-AD6B-C12877A324B6}"/>
    <cellStyle name="Normal GHG whole table" xfId="122" xr:uid="{A9BE64CF-3ED4-4FB8-942D-0A1A23AD15E8}"/>
    <cellStyle name="Normal GHG whole table 10" xfId="1327" xr:uid="{9EBB5BD0-BE84-43E0-9D08-B7E53FB60B52}"/>
    <cellStyle name="Normal GHG whole table 2" xfId="160" xr:uid="{75C066DB-4010-4197-9924-C791ECD31A65}"/>
    <cellStyle name="Normal GHG whole table 2 2" xfId="318" xr:uid="{AC02966B-8A92-4DB5-9FA5-17E6EAE7B25E}"/>
    <cellStyle name="Normal GHG whole table 2 2 2" xfId="955" xr:uid="{E5B37B03-8563-4FBB-9632-10FD1D56BD41}"/>
    <cellStyle name="Normal GHG whole table 2 2 3" xfId="1513" xr:uid="{8880E73C-021D-49CE-8C53-200288D4C455}"/>
    <cellStyle name="Normal GHG whole table 2 3" xfId="365" xr:uid="{1DF4CEFC-F15C-4549-BA59-ADFE6086E04F}"/>
    <cellStyle name="Normal GHG whole table 2 3 2" xfId="1000" xr:uid="{400BFEA9-D95F-492F-87C0-F28EE20CC80D}"/>
    <cellStyle name="Normal GHG whole table 2 3 3" xfId="1558" xr:uid="{CFACE740-642F-4B2B-A4C8-7F9FC01E1A66}"/>
    <cellStyle name="Normal GHG whole table 2 4" xfId="456" xr:uid="{70E4173D-A7E8-42B4-B6CC-AAE24F1DA18D}"/>
    <cellStyle name="Normal GHG whole table 2 4 2" xfId="1089" xr:uid="{2F6EC914-49AE-4E0C-B4E4-12978C222FF2}"/>
    <cellStyle name="Normal GHG whole table 2 4 3" xfId="1648" xr:uid="{979651E6-9657-44F6-823D-4DEACF4B52AA}"/>
    <cellStyle name="Normal GHG whole table 2 5" xfId="526" xr:uid="{3853B4E9-8C02-4471-98D9-DB85620AF5CF}"/>
    <cellStyle name="Normal GHG whole table 2 5 2" xfId="1156" xr:uid="{BA863E2D-06F6-477E-B0F8-69B9C353DA9A}"/>
    <cellStyle name="Normal GHG whole table 2 5 3" xfId="1715" xr:uid="{E8686700-D225-4E87-8B43-5E7FD018E881}"/>
    <cellStyle name="Normal GHG whole table 2 6" xfId="604" xr:uid="{AAF1253B-7325-4744-B046-08B03936EA51}"/>
    <cellStyle name="Normal GHG whole table 2 6 2" xfId="1229" xr:uid="{716E614E-9DFB-4AE4-86C6-EB99899AE163}"/>
    <cellStyle name="Normal GHG whole table 2 6 3" xfId="1787" xr:uid="{7D795316-AD1D-44BB-9F24-EE14812B24D1}"/>
    <cellStyle name="Normal GHG whole table 2 7" xfId="802" xr:uid="{4A716AEC-AD6C-4686-8D36-696C30FA7F3D}"/>
    <cellStyle name="Normal GHG whole table 2 8" xfId="1359" xr:uid="{5761CF7F-0807-4025-B88A-97D3C543F4FA}"/>
    <cellStyle name="Normal GHG whole table 3" xfId="189" xr:uid="{D778FB97-D3BE-4E01-8EC9-42A3A721BF78}"/>
    <cellStyle name="Normal GHG whole table 3 2" xfId="347" xr:uid="{B1A11F73-B974-4471-ACEF-58A2BF1F1A0D}"/>
    <cellStyle name="Normal GHG whole table 3 2 2" xfId="982" xr:uid="{085B1729-6B08-4F93-9CE1-5A6098F713A5}"/>
    <cellStyle name="Normal GHG whole table 3 2 3" xfId="1540" xr:uid="{91BF26F7-DB1D-4924-9DA5-941E0B3CA07D}"/>
    <cellStyle name="Normal GHG whole table 3 3" xfId="383" xr:uid="{E989A25E-86C1-44CC-B234-2BDA0D867440}"/>
    <cellStyle name="Normal GHG whole table 3 3 2" xfId="1017" xr:uid="{61980E0D-2836-4758-8B35-6DA5293A974F}"/>
    <cellStyle name="Normal GHG whole table 3 3 3" xfId="1576" xr:uid="{F19F5423-2592-46C8-A7F3-08F8717C59FE}"/>
    <cellStyle name="Normal GHG whole table 3 4" xfId="519" xr:uid="{2466A319-7B6E-4EF1-8D9D-7A17EB128D99}"/>
    <cellStyle name="Normal GHG whole table 3 4 2" xfId="1149" xr:uid="{040576B6-5E66-47D0-9158-4344FBA9DC12}"/>
    <cellStyle name="Normal GHG whole table 3 4 3" xfId="1708" xr:uid="{8FEEED1D-B552-4F59-9775-69D6D6867994}"/>
    <cellStyle name="Normal GHG whole table 3 5" xfId="601" xr:uid="{63EE84CC-88C9-4C3F-AC9C-A2717E2C9A52}"/>
    <cellStyle name="Normal GHG whole table 3 5 2" xfId="1226" xr:uid="{1B2451CC-6FCA-4C20-BFCD-1208D6C4BFC1}"/>
    <cellStyle name="Normal GHG whole table 3 5 3" xfId="1784" xr:uid="{3A26C9A4-03CF-4150-853F-5A2B381810C9}"/>
    <cellStyle name="Normal GHG whole table 3 6" xfId="653" xr:uid="{6B9A5384-8DD6-439D-A985-19D01B595397}"/>
    <cellStyle name="Normal GHG whole table 3 6 2" xfId="1277" xr:uid="{37C5FB9E-740C-4B34-AB2F-E7D63713D0F2}"/>
    <cellStyle name="Normal GHG whole table 3 6 3" xfId="1834" xr:uid="{5FF6D062-21D8-4AE4-8E77-27DD0BD80362}"/>
    <cellStyle name="Normal GHG whole table 3 7" xfId="828" xr:uid="{FECDD407-242A-4672-ABCA-929827578CA1}"/>
    <cellStyle name="Normal GHG whole table 3 8" xfId="1386" xr:uid="{03444B91-885A-4746-917C-4CAB5047D41C}"/>
    <cellStyle name="Normal GHG whole table 4" xfId="282" xr:uid="{CB53A3A9-96C7-4FD8-8101-7D3CD5B1869F}"/>
    <cellStyle name="Normal GHG whole table 4 2" xfId="919" xr:uid="{912F48D7-4C1B-499F-B84E-F486116AA794}"/>
    <cellStyle name="Normal GHG whole table 4 3" xfId="1477" xr:uid="{A776593E-500A-4DA7-A84F-3BDB2A7170EA}"/>
    <cellStyle name="Normal GHG whole table 5" xfId="425" xr:uid="{DCEDFE65-C75D-4C76-81C6-F9210670E85B}"/>
    <cellStyle name="Normal GHG whole table 5 2" xfId="1058" xr:uid="{9CF10430-CF7E-4055-9986-125A14EA7E9B}"/>
    <cellStyle name="Normal GHG whole table 5 3" xfId="1617" xr:uid="{E7F53A77-0E8A-46D2-9E93-207CD4C832B1}"/>
    <cellStyle name="Normal GHG whole table 6" xfId="200" xr:uid="{0184013F-B594-4E9E-B6BC-19107F321899}"/>
    <cellStyle name="Normal GHG whole table 6 2" xfId="839" xr:uid="{C105ED25-C8AA-48D3-887F-03CCAF6DB456}"/>
    <cellStyle name="Normal GHG whole table 6 3" xfId="1397" xr:uid="{81BA9D5A-11C0-4A84-9151-6AC9F32B22D9}"/>
    <cellStyle name="Normal GHG whole table 7" xfId="455" xr:uid="{35F268B7-E4EF-43A4-AB4E-27B183125000}"/>
    <cellStyle name="Normal GHG whole table 7 2" xfId="1088" xr:uid="{65DE4FEC-3AF8-4E92-80A1-4D56846BB623}"/>
    <cellStyle name="Normal GHG whole table 7 3" xfId="1647" xr:uid="{992D374D-8438-4F93-923E-355548EB72CA}"/>
    <cellStyle name="Normal GHG whole table 8" xfId="644" xr:uid="{2C631BE4-DCF4-4B17-B1EB-FED274DDD5C0}"/>
    <cellStyle name="Normal GHG whole table 8 2" xfId="1268" xr:uid="{02A1B9D4-9049-4FEF-AFBA-3D9F321A8139}"/>
    <cellStyle name="Normal GHG whole table 8 3" xfId="1825" xr:uid="{8520617A-10BB-4365-AD76-A66805DFEE17}"/>
    <cellStyle name="Normal GHG whole table 9" xfId="770" xr:uid="{90D8B393-07C9-4799-87C3-5A7D16B84DD8}"/>
    <cellStyle name="Normal GHG-Shade" xfId="123" xr:uid="{36A7A58D-3825-4CD5-BDC3-B9E21DCDEB60}"/>
    <cellStyle name="Note 2" xfId="47" xr:uid="{84981D9A-2558-4744-943F-1D2512E368CC}"/>
    <cellStyle name="Note 3" xfId="60" xr:uid="{65B042F9-24EB-4F10-8966-FB80818DD65C}"/>
    <cellStyle name="Per cent" xfId="17" builtinId="5"/>
    <cellStyle name="Percent 2" xfId="27" xr:uid="{57FD8A64-698F-44B7-B212-648295ABC94F}"/>
    <cellStyle name="Percent 2 2" xfId="74" xr:uid="{2CEB8408-6036-4DA7-85BD-64558F170369}"/>
    <cellStyle name="Percent 2 3" xfId="124" xr:uid="{0DC55060-0F20-4F6D-95D2-30571ACFE657}"/>
    <cellStyle name="Percent 3" xfId="70" xr:uid="{E8A3BF7C-BF80-49FF-BB72-2166D4C1B9FE}"/>
    <cellStyle name="Percent 3 2" xfId="94" xr:uid="{A24F8E0E-6E8C-4D33-9AAE-35581A31DCB2}"/>
    <cellStyle name="Percent 4" xfId="38" xr:uid="{A06313BC-7D09-4116-BECF-E8669E211E21}"/>
    <cellStyle name="Right_locked" xfId="40" xr:uid="{DB92C0C9-8B8F-415C-A8B2-4E4DC9BBBD6C}"/>
    <cellStyle name="Screen_Title" xfId="34" xr:uid="{56B50BB8-C20D-49FD-8289-1E48D3CABEA9}"/>
    <cellStyle name="Section title" xfId="13" xr:uid="{00000000-0005-0000-0000-00000B000000}"/>
    <cellStyle name="Shade" xfId="125" xr:uid="{0EDA1DF5-78CD-45C6-A540-24A4B9FBB8A7}"/>
    <cellStyle name="Shade 10" xfId="1328" xr:uid="{10698184-0079-4926-ABA6-A2343A555C87}"/>
    <cellStyle name="Shade 2" xfId="161" xr:uid="{B0BD8B99-1561-4F75-AA81-77F0389D1211}"/>
    <cellStyle name="Shade 2 2" xfId="319" xr:uid="{5AC93E3B-2B2F-4872-99AD-A4ED5EBDDDD3}"/>
    <cellStyle name="Shade 2 2 2" xfId="956" xr:uid="{913555AB-24A7-429A-BB8D-52BD6E6F86B7}"/>
    <cellStyle name="Shade 2 2 3" xfId="1514" xr:uid="{F2D76A81-00A0-4215-97FA-4B40D2A2CF0C}"/>
    <cellStyle name="Shade 2 3" xfId="395" xr:uid="{496BA4DD-B61D-4E4C-AC88-7BDD68E35A90}"/>
    <cellStyle name="Shade 2 3 2" xfId="1028" xr:uid="{59AE22DF-D5AB-4F54-BF62-81D8EBF53714}"/>
    <cellStyle name="Shade 2 3 3" xfId="1588" xr:uid="{EB5EFF81-B97E-40C1-B4D5-1DAA1D217C2F}"/>
    <cellStyle name="Shade 2 4" xfId="486" xr:uid="{DC81B09C-8C8B-41E6-BA57-18C7F5704AAA}"/>
    <cellStyle name="Shade 2 4 2" xfId="1118" xr:uid="{0E4256F4-E776-44E5-B20C-54DA38AAFF50}"/>
    <cellStyle name="Shade 2 4 3" xfId="1677" xr:uid="{7BC53551-9CA2-4120-8A9E-F5B2A6B25132}"/>
    <cellStyle name="Shade 2 5" xfId="584" xr:uid="{B1FEA517-AA0B-4A56-9A23-B3D88A35AE15}"/>
    <cellStyle name="Shade 2 5 2" xfId="1211" xr:uid="{E749B742-C1E3-4D99-84A9-44F47CBC3E3E}"/>
    <cellStyle name="Shade 2 5 3" xfId="1769" xr:uid="{A402C0E8-170E-4CFC-8DC7-1BA238426D1B}"/>
    <cellStyle name="Shade 2 6" xfId="417" xr:uid="{5A8539BC-2852-4E98-9DBC-CB22A96B75FA}"/>
    <cellStyle name="Shade 2 6 2" xfId="1050" xr:uid="{7E6AB541-C512-4107-A79E-B09C4E1984D1}"/>
    <cellStyle name="Shade 2 6 3" xfId="1609" xr:uid="{7237771E-9C7C-4916-AD31-97458F0299E1}"/>
    <cellStyle name="Shade 2 7" xfId="803" xr:uid="{CFDE31F0-7DD7-4FAC-8257-C4C497FCC1A5}"/>
    <cellStyle name="Shade 2 8" xfId="1360" xr:uid="{432B3935-43E6-4826-9250-367D99C4CB47}"/>
    <cellStyle name="Shade 3" xfId="190" xr:uid="{4C7E2781-6CAD-42EB-A163-6C4CCBDC7E49}"/>
    <cellStyle name="Shade 3 2" xfId="348" xr:uid="{7814AACF-30EE-40D0-A66F-C26D4D44EAF9}"/>
    <cellStyle name="Shade 3 2 2" xfId="983" xr:uid="{E388EAC8-014E-4EBA-B139-FCF8CC52B1CD}"/>
    <cellStyle name="Shade 3 2 3" xfId="1541" xr:uid="{59DA55A0-EB3A-4021-BF3D-5B948E719D1E}"/>
    <cellStyle name="Shade 3 3" xfId="424" xr:uid="{C24F13FF-94A4-4BE6-A3D1-EDE63BC840C8}"/>
    <cellStyle name="Shade 3 3 2" xfId="1057" xr:uid="{0D31BDAB-3751-4033-8B04-EFA636F825CD}"/>
    <cellStyle name="Shade 3 3 3" xfId="1616" xr:uid="{7D4E3F7D-1A51-4E02-A397-2687F271791A}"/>
    <cellStyle name="Shade 3 4" xfId="520" xr:uid="{FEBA13D9-8955-4DE9-B1FC-2947F1AFBD38}"/>
    <cellStyle name="Shade 3 4 2" xfId="1150" xr:uid="{2313CF67-A549-493F-8029-0F9C15F09472}"/>
    <cellStyle name="Shade 3 4 3" xfId="1709" xr:uid="{57AEC412-DE4F-41A7-AD1B-F6969FFC55EE}"/>
    <cellStyle name="Shade 3 5" xfId="602" xr:uid="{4FF2282C-78CA-446E-B311-44CC81994438}"/>
    <cellStyle name="Shade 3 5 2" xfId="1227" xr:uid="{DF439913-0E12-405D-BCB7-8998F6BE929E}"/>
    <cellStyle name="Shade 3 5 3" xfId="1785" xr:uid="{354EA6F0-90FE-4899-8929-75BAA94594F1}"/>
    <cellStyle name="Shade 3 6" xfId="654" xr:uid="{6BEFAE85-00B5-4CD6-A365-F2B7EB2DC24E}"/>
    <cellStyle name="Shade 3 6 2" xfId="1278" xr:uid="{9CDDD41E-7655-49C4-8940-52FE49C0B29B}"/>
    <cellStyle name="Shade 3 6 3" xfId="1835" xr:uid="{62FF5EEF-0BC5-4EE8-8889-8CD32396D5E9}"/>
    <cellStyle name="Shade 3 7" xfId="829" xr:uid="{E9B2EE3A-375A-4B13-A529-75822762CE0F}"/>
    <cellStyle name="Shade 3 8" xfId="1387" xr:uid="{5362C18F-FDBE-4EBA-9E4B-A1935D92334B}"/>
    <cellStyle name="Shade 4" xfId="284" xr:uid="{4734BC49-F937-459C-A8E9-4B1185D7ADEC}"/>
    <cellStyle name="Shade 4 2" xfId="921" xr:uid="{AADE1072-1BDD-4058-B580-0B006E92B281}"/>
    <cellStyle name="Shade 4 3" xfId="1479" xr:uid="{2FECB4AC-B1D1-4BF2-9918-EEDF6742D51D}"/>
    <cellStyle name="Shade 5" xfId="415" xr:uid="{1CC96BD3-92CB-4883-B941-98468D46CBCA}"/>
    <cellStyle name="Shade 5 2" xfId="1048" xr:uid="{8FA6B1ED-A57A-4192-ABCA-794A639EEB6B}"/>
    <cellStyle name="Shade 5 3" xfId="1607" xr:uid="{11256EA2-1D9F-4FFD-BE85-4F8E41000C35}"/>
    <cellStyle name="Shade 6" xfId="211" xr:uid="{89E224BC-9685-4DAC-9E67-F4615E0055D4}"/>
    <cellStyle name="Shade 6 2" xfId="850" xr:uid="{5907FE7B-F168-4BB3-928C-658764AF2A72}"/>
    <cellStyle name="Shade 6 3" xfId="1408" xr:uid="{7B0661C4-F0D3-46D0-9595-0D0C7341CCCF}"/>
    <cellStyle name="Shade 7" xfId="574" xr:uid="{9A921415-D628-4653-9F7C-D2EFDE6377B9}"/>
    <cellStyle name="Shade 7 2" xfId="1201" xr:uid="{15DAF3C4-CA4B-4D71-9213-41FD3ECC8299}"/>
    <cellStyle name="Shade 7 3" xfId="1760" xr:uid="{F5CBD7C3-E3D2-4125-8159-AE84ED89480F}"/>
    <cellStyle name="Shade 8" xfId="640" xr:uid="{FC110082-FE74-4BCD-8C45-94D65AC4520E}"/>
    <cellStyle name="Shade 8 2" xfId="1264" xr:uid="{843BE270-9B51-4042-9DC2-EB8378DD257D}"/>
    <cellStyle name="Shade 8 3" xfId="1821" xr:uid="{5FEDC721-BE45-4BB8-A43F-EABE732BAC3B}"/>
    <cellStyle name="Shade 9" xfId="771" xr:uid="{05BD73EC-0603-4EA7-9D12-D41A2DCD4D01}"/>
    <cellStyle name="Single_Input_Centre" xfId="35" xr:uid="{63EF85A8-736F-4DFA-8A9D-6346A0FD7309}"/>
    <cellStyle name="Style 1" xfId="37" xr:uid="{BD6404EB-E766-423B-B67C-1B0CE18F76EA}"/>
    <cellStyle name="Style 1 2" xfId="65" xr:uid="{B295A151-A1A5-4885-A70D-D97FA1935AD8}"/>
    <cellStyle name="Style 1 2 10" xfId="407" xr:uid="{4C8C22B5-33CF-4A66-8C15-9BC1C0D3A060}"/>
    <cellStyle name="Style 1 2 10 2" xfId="1040" xr:uid="{1720CA50-135A-4D77-8EF5-8CDB85259C9E}"/>
    <cellStyle name="Style 1 2 10 3" xfId="1599" xr:uid="{D74339FF-1910-4089-BEFF-BC941E5097C3}"/>
    <cellStyle name="Style 1 2 11" xfId="560" xr:uid="{62ADBF4E-889D-47C6-A797-8C02CA427189}"/>
    <cellStyle name="Style 1 2 11 2" xfId="1188" xr:uid="{F1069806-60CE-49DF-BC11-C3A4FFE5F7C3}"/>
    <cellStyle name="Style 1 2 11 3" xfId="1747" xr:uid="{85ED174F-125E-4580-B007-ADE23EC4F2DD}"/>
    <cellStyle name="Style 1 2 12" xfId="617" xr:uid="{C354C776-04CC-48CD-A201-4C77843BFAFD}"/>
    <cellStyle name="Style 1 2 12 2" xfId="1241" xr:uid="{FFDB21B9-D0A1-4BA4-9DD2-FE8E2926A5E5}"/>
    <cellStyle name="Style 1 2 12 3" xfId="1800" xr:uid="{A75666BB-8F5E-4548-A95D-D04ABAE002CE}"/>
    <cellStyle name="Style 1 2 13" xfId="738" xr:uid="{7844C245-EAE3-45AF-9223-6A0A4EA86DA1}"/>
    <cellStyle name="Style 1 2 14" xfId="1279" xr:uid="{99B72310-8D26-4D2E-96DC-1DC9A3B0C9D1}"/>
    <cellStyle name="Style 1 2 2" xfId="73" xr:uid="{5CAC0CBE-E4FD-4FB2-A5AD-3B03C32B1156}"/>
    <cellStyle name="Style 1 2 2 10" xfId="490" xr:uid="{291F95F6-4C40-4267-A0F5-A41D9D2FA380}"/>
    <cellStyle name="Style 1 2 2 10 2" xfId="1122" xr:uid="{1B2F0323-231B-41D6-979D-20D7B0796059}"/>
    <cellStyle name="Style 1 2 2 10 3" xfId="1681" xr:uid="{ECB84C3C-85E1-4A46-A7A4-687EFBA9F2F8}"/>
    <cellStyle name="Style 1 2 2 11" xfId="359" xr:uid="{11D41027-D6F6-4F4B-95A0-B6C1609C43A6}"/>
    <cellStyle name="Style 1 2 2 11 2" xfId="994" xr:uid="{0B85D86F-3569-4051-BA0A-12D9A1EADAB7}"/>
    <cellStyle name="Style 1 2 2 11 3" xfId="1552" xr:uid="{FA0A288C-8656-4D23-8AD9-3090BB2BF678}"/>
    <cellStyle name="Style 1 2 2 12" xfId="743" xr:uid="{781E891A-F1B7-488C-8695-7F78B424D496}"/>
    <cellStyle name="Style 1 2 2 13" xfId="1280" xr:uid="{F47BFD9E-CA40-49AF-B865-2762824625F4}"/>
    <cellStyle name="Style 1 2 2 2" xfId="86" xr:uid="{6DEF5944-935A-4C7A-B2D8-4A20D9B91D98}"/>
    <cellStyle name="Style 1 2 2 2 10" xfId="907" xr:uid="{F0B19F6E-580B-4A45-B510-05BFD1212B07}"/>
    <cellStyle name="Style 1 2 2 2 2" xfId="145" xr:uid="{A31F1B0C-2E7C-48C0-BAE0-206B7BD9A68B}"/>
    <cellStyle name="Style 1 2 2 2 2 2" xfId="303" xr:uid="{C402B743-4320-46CB-ACC4-7E37EB9CA764}"/>
    <cellStyle name="Style 1 2 2 2 2 2 2" xfId="940" xr:uid="{F9AFFB51-3F6D-4189-9F54-ABA84AD3B3D1}"/>
    <cellStyle name="Style 1 2 2 2 2 2 3" xfId="1498" xr:uid="{6DECFD89-6203-4716-BAAA-FB9B6588108B}"/>
    <cellStyle name="Style 1 2 2 2 2 3" xfId="352" xr:uid="{9E360CB2-0653-45BC-AE91-F37668E4B9EF}"/>
    <cellStyle name="Style 1 2 2 2 2 3 2" xfId="987" xr:uid="{7941993A-0EC4-479E-B064-25ED55B1B80A}"/>
    <cellStyle name="Style 1 2 2 2 2 3 3" xfId="1545" xr:uid="{99EBA4F2-8E11-490F-B7F2-25544996A0B3}"/>
    <cellStyle name="Style 1 2 2 2 2 4" xfId="493" xr:uid="{05399C5C-67F3-4DCE-8C59-A67361CC2148}"/>
    <cellStyle name="Style 1 2 2 2 2 4 2" xfId="1125" xr:uid="{2C268C21-877F-4E77-ABB0-DA48AF89B30F}"/>
    <cellStyle name="Style 1 2 2 2 2 4 3" xfId="1684" xr:uid="{AEA5B7D0-05AF-4971-85A6-88833382FA13}"/>
    <cellStyle name="Style 1 2 2 2 2 5" xfId="378" xr:uid="{2FD99AD3-5F92-4666-8593-D67BA132FCC7}"/>
    <cellStyle name="Style 1 2 2 2 2 5 2" xfId="1012" xr:uid="{F93F6A20-9DD1-416E-8E7C-5DA1EDA15621}"/>
    <cellStyle name="Style 1 2 2 2 2 5 3" xfId="1571" xr:uid="{0B47AA90-FE6E-44F7-87FB-318F95764CE0}"/>
    <cellStyle name="Style 1 2 2 2 2 6" xfId="408" xr:uid="{B40CC812-40C6-4BE0-A04E-F6D960A2A110}"/>
    <cellStyle name="Style 1 2 2 2 2 6 2" xfId="1041" xr:uid="{2B0532B1-EE8D-4F74-B9D2-BDAA11110AEC}"/>
    <cellStyle name="Style 1 2 2 2 2 6 3" xfId="1600" xr:uid="{58A051B6-34D5-4928-9BDA-D8066B3A71EB}"/>
    <cellStyle name="Style 1 2 2 2 2 7" xfId="787" xr:uid="{C54B5D71-8579-4104-B105-18A21A4E824A}"/>
    <cellStyle name="Style 1 2 2 2 2 8" xfId="1344" xr:uid="{89B0E159-3CAD-4CA2-B9DB-1FC1BA4473FC}"/>
    <cellStyle name="Style 1 2 2 2 3" xfId="173" xr:uid="{01CEDB71-95D4-4B10-8ADC-A3D114084EDA}"/>
    <cellStyle name="Style 1 2 2 2 3 2" xfId="331" xr:uid="{8982C425-8031-424F-AAB8-599D476A8ED2}"/>
    <cellStyle name="Style 1 2 2 2 3 2 2" xfId="968" xr:uid="{BAC56EA9-E443-487F-8802-03D256580937}"/>
    <cellStyle name="Style 1 2 2 2 3 2 3" xfId="1526" xr:uid="{B649E635-88D5-4B0D-8FE5-34306F35091E}"/>
    <cellStyle name="Style 1 2 2 2 3 3" xfId="436" xr:uid="{0009AE3A-9F34-4169-8ECB-140DACC8E0FC}"/>
    <cellStyle name="Style 1 2 2 2 3 3 2" xfId="1069" xr:uid="{32ABBE6B-BFC7-4E66-802E-B5A7DAAFA5E7}"/>
    <cellStyle name="Style 1 2 2 2 3 3 3" xfId="1628" xr:uid="{73CF1C8A-C61E-48B8-A010-5D57EEE8E1EB}"/>
    <cellStyle name="Style 1 2 2 2 3 4" xfId="463" xr:uid="{B6057D81-C993-4254-9874-3A9664F03074}"/>
    <cellStyle name="Style 1 2 2 2 3 4 2" xfId="1095" xr:uid="{4A78E485-EE25-41AA-A6AC-D110CC150BDA}"/>
    <cellStyle name="Style 1 2 2 2 3 4 3" xfId="1655" xr:uid="{78D63DB7-BC33-4C27-B234-0E66AD361505}"/>
    <cellStyle name="Style 1 2 2 2 3 5" xfId="582" xr:uid="{E88CE891-1D85-4B73-9EC7-D62A6E30C3FF}"/>
    <cellStyle name="Style 1 2 2 2 3 5 2" xfId="1209" xr:uid="{27D41CE8-7E81-4FE7-A6C0-89C4413DB802}"/>
    <cellStyle name="Style 1 2 2 2 3 5 3" xfId="1767" xr:uid="{EAC0E859-795A-401B-AE31-CFCBDFC27F67}"/>
    <cellStyle name="Style 1 2 2 2 3 6" xfId="616" xr:uid="{F3F6FE28-01CF-43F3-A050-927DD5F9641E}"/>
    <cellStyle name="Style 1 2 2 2 3 6 2" xfId="1240" xr:uid="{8927E17C-CB56-43E4-B44A-EE380BA7AB7D}"/>
    <cellStyle name="Style 1 2 2 2 3 6 3" xfId="1799" xr:uid="{D2D6A16B-4315-4350-8306-C192D1932BD8}"/>
    <cellStyle name="Style 1 2 2 2 3 7" xfId="815" xr:uid="{3ABCBDD7-04E8-4B80-81F7-7E590AC9DC4A}"/>
    <cellStyle name="Style 1 2 2 2 3 8" xfId="1372" xr:uid="{F293640E-FFB3-429F-B634-4D41970DF413}"/>
    <cellStyle name="Style 1 2 2 2 4" xfId="250" xr:uid="{70BE7F36-9B4B-48D1-9979-CA0FC46BD4C1}"/>
    <cellStyle name="Style 1 2 2 2 4 2" xfId="889" xr:uid="{66716CD7-5F1E-41E5-81DA-ED56FE045BA6}"/>
    <cellStyle name="Style 1 2 2 2 4 3" xfId="1447" xr:uid="{7E173088-790B-4689-AEC8-B730F0181915}"/>
    <cellStyle name="Style 1 2 2 2 5" xfId="392" xr:uid="{B7DEEF9C-D9F5-4F42-8327-A9C8297199C9}"/>
    <cellStyle name="Style 1 2 2 2 5 2" xfId="1026" xr:uid="{94DE7BDF-A6E2-4B9A-936C-DEF354138CD8}"/>
    <cellStyle name="Style 1 2 2 2 5 3" xfId="1585" xr:uid="{0A02ACA1-6103-4943-89DF-753580B80632}"/>
    <cellStyle name="Style 1 2 2 2 6" xfId="453" xr:uid="{7B3B316F-4E12-4C9B-9E3C-4B1880F16FF7}"/>
    <cellStyle name="Style 1 2 2 2 6 2" xfId="1086" xr:uid="{3C2D34E5-A38B-4B6E-AF47-A20EF622E810}"/>
    <cellStyle name="Style 1 2 2 2 6 3" xfId="1645" xr:uid="{2CB381A3-D680-4A15-AAEA-AF7D20101714}"/>
    <cellStyle name="Style 1 2 2 2 7" xfId="374" xr:uid="{29F855D8-E7B1-4639-828F-0E997D2244E1}"/>
    <cellStyle name="Style 1 2 2 2 7 2" xfId="1008" xr:uid="{C87FCD3A-7F94-4809-B64D-07A299ABCA72}"/>
    <cellStyle name="Style 1 2 2 2 7 3" xfId="1567" xr:uid="{A3A75AAF-A6A7-4CEC-8E22-B22234F46522}"/>
    <cellStyle name="Style 1 2 2 2 8" xfId="626" xr:uid="{DE316463-7C01-4EA9-88FB-AE5261983FD4}"/>
    <cellStyle name="Style 1 2 2 2 8 2" xfId="1250" xr:uid="{F3518B27-6F58-4448-9D90-60250F99CD93}"/>
    <cellStyle name="Style 1 2 2 2 8 3" xfId="1808" xr:uid="{3CCE3180-AB1F-4A00-9819-FC33E9B96336}"/>
    <cellStyle name="Style 1 2 2 2 9" xfId="755" xr:uid="{47273A0D-409B-4FEE-AEF9-45B4DE338999}"/>
    <cellStyle name="Style 1 2 2 3" xfId="77" xr:uid="{3D2BA7B5-5B92-42DD-A1CC-917CD82D2E3D}"/>
    <cellStyle name="Style 1 2 2 3 10" xfId="730" xr:uid="{3F8FFC1E-5D09-4B2D-A217-C2F0A769741B}"/>
    <cellStyle name="Style 1 2 2 3 2" xfId="136" xr:uid="{70B44A5C-7184-468C-8860-9D231A780870}"/>
    <cellStyle name="Style 1 2 2 3 2 2" xfId="294" xr:uid="{517EB1E6-4A16-45A3-A214-2DBC876AD995}"/>
    <cellStyle name="Style 1 2 2 3 2 2 2" xfId="931" xr:uid="{56036455-B92C-4C5B-A100-7DDF6157C6BB}"/>
    <cellStyle name="Style 1 2 2 3 2 2 3" xfId="1489" xr:uid="{CE962283-5E3B-4F88-AAC0-F3D43970B7A3}"/>
    <cellStyle name="Style 1 2 2 3 2 3" xfId="275" xr:uid="{7FE1419F-1EA3-4D10-856E-F1AAEF4BBF8D}"/>
    <cellStyle name="Style 1 2 2 3 2 3 2" xfId="912" xr:uid="{6DF57FB6-8669-4F2C-BD46-D6FEB205F5F1}"/>
    <cellStyle name="Style 1 2 2 3 2 3 3" xfId="1470" xr:uid="{2B42BB0D-BDF0-445B-9EFD-BCCB20B561C6}"/>
    <cellStyle name="Style 1 2 2 3 2 4" xfId="485" xr:uid="{1709185A-69F2-44B3-AF40-2A78CF38AE7C}"/>
    <cellStyle name="Style 1 2 2 3 2 4 2" xfId="1117" xr:uid="{F108546B-9AFF-45A7-BCCC-D7E13A39B647}"/>
    <cellStyle name="Style 1 2 2 3 2 4 3" xfId="1676" xr:uid="{61E20937-57CC-43E7-8A92-07FAD2855D7C}"/>
    <cellStyle name="Style 1 2 2 3 2 5" xfId="231" xr:uid="{27DED5D6-F705-4368-B81F-50285CF03397}"/>
    <cellStyle name="Style 1 2 2 3 2 5 2" xfId="870" xr:uid="{C217F55B-4992-4688-B1F1-F8C5E88994FF}"/>
    <cellStyle name="Style 1 2 2 3 2 5 3" xfId="1428" xr:uid="{A1A25099-588F-4D1C-B5FB-362BFAFBB8E2}"/>
    <cellStyle name="Style 1 2 2 3 2 6" xfId="499" xr:uid="{9604536D-1000-4D6F-B3A1-7A3470A2280F}"/>
    <cellStyle name="Style 1 2 2 3 2 6 2" xfId="1131" xr:uid="{35F934E8-66FA-456E-B6D4-7D6131235586}"/>
    <cellStyle name="Style 1 2 2 3 2 6 3" xfId="1690" xr:uid="{03FD5DDB-1778-40B5-9CF5-C753CB16C59B}"/>
    <cellStyle name="Style 1 2 2 3 2 7" xfId="778" xr:uid="{0C5BD5CA-8D64-4EE3-9681-D95461B2A037}"/>
    <cellStyle name="Style 1 2 2 3 2 8" xfId="1335" xr:uid="{6BCCCBB9-36E9-4452-B0C4-A4216C85359B}"/>
    <cellStyle name="Style 1 2 2 3 3" xfId="164" xr:uid="{0DAB2B09-C2F7-4208-938A-5F6A8AD4BFFB}"/>
    <cellStyle name="Style 1 2 2 3 3 2" xfId="322" xr:uid="{7A06A7C1-B8ED-45BC-A44F-2DDA80EBC1F2}"/>
    <cellStyle name="Style 1 2 2 3 3 2 2" xfId="959" xr:uid="{FB84C932-B0D5-42E7-B6EC-351226E7970F}"/>
    <cellStyle name="Style 1 2 2 3 3 2 3" xfId="1517" xr:uid="{9ED9B0CA-238B-4973-84A4-3D3719CC8DBF}"/>
    <cellStyle name="Style 1 2 2 3 3 3" xfId="399" xr:uid="{F6FED52D-3584-4DCC-A2DF-5921E6226229}"/>
    <cellStyle name="Style 1 2 2 3 3 3 2" xfId="1032" xr:uid="{470500AB-5A7D-41E6-A274-FB8B0250EC16}"/>
    <cellStyle name="Style 1 2 2 3 3 3 3" xfId="1591" xr:uid="{720CC8EF-2E94-4EDB-99DE-A0CA24C40518}"/>
    <cellStyle name="Style 1 2 2 3 3 4" xfId="457" xr:uid="{2383B761-ED01-4276-914A-B4906067547A}"/>
    <cellStyle name="Style 1 2 2 3 3 4 2" xfId="1090" xr:uid="{B4CD04C2-4A26-4CE4-9042-ED250C3D68C0}"/>
    <cellStyle name="Style 1 2 2 3 3 4 3" xfId="1649" xr:uid="{B0E344D4-2EE0-4FD5-B7C5-E49CCF52F1FB}"/>
    <cellStyle name="Style 1 2 2 3 3 5" xfId="583" xr:uid="{F8D6CDEF-5058-48A2-A605-1C957136189E}"/>
    <cellStyle name="Style 1 2 2 3 3 5 2" xfId="1210" xr:uid="{DC54DD1E-CBB1-4644-A1E6-D4FFED2A8F66}"/>
    <cellStyle name="Style 1 2 2 3 3 5 3" xfId="1768" xr:uid="{FAEE01AB-6CF2-4F56-B530-AD2D0EF8BA01}"/>
    <cellStyle name="Style 1 2 2 3 3 6" xfId="608" xr:uid="{06E6008E-A86F-4DA9-88F8-E07837887703}"/>
    <cellStyle name="Style 1 2 2 3 3 6 2" xfId="1233" xr:uid="{BB40511E-53CD-4397-8523-2136723E965B}"/>
    <cellStyle name="Style 1 2 2 3 3 6 3" xfId="1791" xr:uid="{35B25A6D-48EC-4F91-BBD1-02DC9BA55301}"/>
    <cellStyle name="Style 1 2 2 3 3 7" xfId="806" xr:uid="{3A681617-2EC2-4710-94B8-32EBA96EE6A3}"/>
    <cellStyle name="Style 1 2 2 3 3 8" xfId="1363" xr:uid="{44B5C026-BF3E-4995-8A08-7A7D778DAB5E}"/>
    <cellStyle name="Style 1 2 2 3 4" xfId="241" xr:uid="{EDE745BA-EC75-4FA3-AE5D-A234709B088C}"/>
    <cellStyle name="Style 1 2 2 3 4 2" xfId="880" xr:uid="{ADD91737-458A-4742-A308-C1AC4B20633D}"/>
    <cellStyle name="Style 1 2 2 3 4 3" xfId="1438" xr:uid="{DB611558-CB4E-486B-A8CF-1614E10076A5}"/>
    <cellStyle name="Style 1 2 2 3 5" xfId="255" xr:uid="{F4C3DCE6-AD78-4264-A74C-4A45CAA79A61}"/>
    <cellStyle name="Style 1 2 2 3 5 2" xfId="894" xr:uid="{29A88902-3BAA-4DAA-8BCF-1DEE30688E34}"/>
    <cellStyle name="Style 1 2 2 3 5 3" xfId="1452" xr:uid="{03C9F128-24FB-456E-954D-8F0D71D29343}"/>
    <cellStyle name="Style 1 2 2 3 6" xfId="469" xr:uid="{2B5E02AB-25C2-406F-9A86-E78BC747F751}"/>
    <cellStyle name="Style 1 2 2 3 6 2" xfId="1101" xr:uid="{5F2DA318-707D-4D15-8A21-67D8B76ABE27}"/>
    <cellStyle name="Style 1 2 2 3 6 3" xfId="1661" xr:uid="{E1B87755-A262-4EA3-85BE-C73B969BD48F}"/>
    <cellStyle name="Style 1 2 2 3 7" xfId="570" xr:uid="{19DBD46B-5194-4BAE-BC09-50D7AD058AE8}"/>
    <cellStyle name="Style 1 2 2 3 7 2" xfId="1198" xr:uid="{0B4B7ABC-C89C-4499-93D2-DD6648FCF9A0}"/>
    <cellStyle name="Style 1 2 2 3 7 3" xfId="1757" xr:uid="{AA668EEC-CAA0-431B-8711-DBCA445E1B3B}"/>
    <cellStyle name="Style 1 2 2 3 8" xfId="452" xr:uid="{81F19BF7-61BC-435D-B57C-3487B302AFAB}"/>
    <cellStyle name="Style 1 2 2 3 8 2" xfId="1085" xr:uid="{62AD9FB9-B452-4D2C-AF68-649DBFE48D8A}"/>
    <cellStyle name="Style 1 2 2 3 8 3" xfId="1644" xr:uid="{2A0BEBFA-0E81-41E1-9D01-DC1051139EDC}"/>
    <cellStyle name="Style 1 2 2 3 9" xfId="746" xr:uid="{038D0B5A-B318-46D7-8B5C-92C367EE1226}"/>
    <cellStyle name="Style 1 2 2 4" xfId="90" xr:uid="{7995FA4D-C791-43C4-BB1B-C59EFBDBF3E6}"/>
    <cellStyle name="Style 1 2 2 4 10" xfId="979" xr:uid="{2B1401F8-8489-4F67-848C-98536BBDC29C}"/>
    <cellStyle name="Style 1 2 2 4 2" xfId="149" xr:uid="{E87B5F13-77E8-40EB-9FFB-2486BC5A908D}"/>
    <cellStyle name="Style 1 2 2 4 2 2" xfId="307" xr:uid="{1BCDB1F2-8E61-43DC-9709-D5C7EF492D14}"/>
    <cellStyle name="Style 1 2 2 4 2 2 2" xfId="944" xr:uid="{F9253347-50C7-4FF5-ACBD-96CF3D3CA4A8}"/>
    <cellStyle name="Style 1 2 2 4 2 2 3" xfId="1502" xr:uid="{112E6F03-B38B-46FF-BAC9-D7F16A5C9283}"/>
    <cellStyle name="Style 1 2 2 4 2 3" xfId="391" xr:uid="{BAF44166-3C7F-431D-ACAB-FE4A27436E29}"/>
    <cellStyle name="Style 1 2 2 4 2 3 2" xfId="1025" xr:uid="{64BB5FA3-E3A8-4015-8774-E3702489C335}"/>
    <cellStyle name="Style 1 2 2 4 2 3 3" xfId="1584" xr:uid="{405E8A3A-3845-46BA-ACAF-425B11A79F1E}"/>
    <cellStyle name="Style 1 2 2 4 2 4" xfId="367" xr:uid="{C35302DB-0DCC-4D22-8F53-A769D8CEE452}"/>
    <cellStyle name="Style 1 2 2 4 2 4 2" xfId="1002" xr:uid="{71BD174B-0AEC-4739-BAE0-EACC1BD3FEE7}"/>
    <cellStyle name="Style 1 2 2 4 2 4 3" xfId="1560" xr:uid="{0A97C20F-40C5-4BCB-9337-AB281031F90E}"/>
    <cellStyle name="Style 1 2 2 4 2 5" xfId="531" xr:uid="{8C9500C5-2295-4111-BA33-01F7ACA0DC5D}"/>
    <cellStyle name="Style 1 2 2 4 2 5 2" xfId="1161" xr:uid="{B2FF7D51-BA52-424C-816A-DF05A4165347}"/>
    <cellStyle name="Style 1 2 2 4 2 5 3" xfId="1719" xr:uid="{58992BD7-B2AD-4D00-93FD-29E46F2C8127}"/>
    <cellStyle name="Style 1 2 2 4 2 6" xfId="610" xr:uid="{7300F703-B903-4F42-9129-1648CDAF786E}"/>
    <cellStyle name="Style 1 2 2 4 2 6 2" xfId="1234" xr:uid="{F9155EB8-1BF8-430A-A1F1-ED84C7EA08CA}"/>
    <cellStyle name="Style 1 2 2 4 2 6 3" xfId="1793" xr:uid="{E5A69F0C-92C2-4998-ADCB-E2E7D98177AC}"/>
    <cellStyle name="Style 1 2 2 4 2 7" xfId="791" xr:uid="{BB5226B7-4562-40F5-8A12-E872BBDF1172}"/>
    <cellStyle name="Style 1 2 2 4 2 8" xfId="1348" xr:uid="{682B96F5-96D8-450E-BC42-56ACCB8D99B4}"/>
    <cellStyle name="Style 1 2 2 4 3" xfId="177" xr:uid="{D98F0995-6148-4999-9D1E-1F265E88E4EB}"/>
    <cellStyle name="Style 1 2 2 4 3 2" xfId="335" xr:uid="{1C2BA447-39A9-45E4-9541-B8BFCB3CC614}"/>
    <cellStyle name="Style 1 2 2 4 3 2 2" xfId="972" xr:uid="{93ECAC02-E68F-4334-BC41-2581724AD235}"/>
    <cellStyle name="Style 1 2 2 4 3 2 3" xfId="1530" xr:uid="{577AC1E7-DC85-433A-8AE4-E71E77EA7100}"/>
    <cellStyle name="Style 1 2 2 4 3 3" xfId="386" xr:uid="{9B40B363-A3A6-45D3-84DD-A3C8BD42160B}"/>
    <cellStyle name="Style 1 2 2 4 3 3 2" xfId="1020" xr:uid="{CF52EFF2-BEBD-4A5A-ABD8-477B2BD939B5}"/>
    <cellStyle name="Style 1 2 2 4 3 3 3" xfId="1579" xr:uid="{3332BE14-2D4C-4DBA-A742-26EA39F8213D}"/>
    <cellStyle name="Style 1 2 2 4 3 4" xfId="215" xr:uid="{E07678B4-560F-466A-96D3-E86460D465A7}"/>
    <cellStyle name="Style 1 2 2 4 3 4 2" xfId="854" xr:uid="{A3BA83D4-C79C-49F2-B9EB-FE11C8C4A1F0}"/>
    <cellStyle name="Style 1 2 2 4 3 4 3" xfId="1412" xr:uid="{0E836FC3-F766-4CD6-8AFB-1DDB2F1A5F15}"/>
    <cellStyle name="Style 1 2 2 4 3 5" xfId="466" xr:uid="{DF76E104-D83E-4F42-8508-8E6AC08B90C6}"/>
    <cellStyle name="Style 1 2 2 4 3 5 2" xfId="1098" xr:uid="{21AD8DA9-3066-43A2-A989-A475C8B73BE6}"/>
    <cellStyle name="Style 1 2 2 4 3 5 3" xfId="1658" xr:uid="{5A6173EB-0681-4F8C-A5A3-25992E42D5AA}"/>
    <cellStyle name="Style 1 2 2 4 3 6" xfId="575" xr:uid="{F0632EE5-ED60-4DB3-A43A-43F99054F6DF}"/>
    <cellStyle name="Style 1 2 2 4 3 6 2" xfId="1202" xr:uid="{77590DA8-43BD-4832-B2EB-D065BBB50818}"/>
    <cellStyle name="Style 1 2 2 4 3 6 3" xfId="1761" xr:uid="{0730CDF4-E240-459A-8977-0A4D0D2D3701}"/>
    <cellStyle name="Style 1 2 2 4 3 7" xfId="819" xr:uid="{8E2FBF48-8584-4528-B9B5-A7352862CDD4}"/>
    <cellStyle name="Style 1 2 2 4 3 8" xfId="1376" xr:uid="{5B3B15AD-E3D2-4909-8254-C3582C2EF6BF}"/>
    <cellStyle name="Style 1 2 2 4 4" xfId="254" xr:uid="{E382A1FF-B6F7-4756-8A1C-9BE83F43AC73}"/>
    <cellStyle name="Style 1 2 2 4 4 2" xfId="893" xr:uid="{B789813F-E4E3-43FB-B55B-75AEDDEDABE5}"/>
    <cellStyle name="Style 1 2 2 4 4 3" xfId="1451" xr:uid="{B56AACB0-FECE-4C9F-8EA7-82C808DCDD40}"/>
    <cellStyle name="Style 1 2 2 4 5" xfId="354" xr:uid="{1F32DD40-CBDE-447C-BED4-D70666DCA792}"/>
    <cellStyle name="Style 1 2 2 4 5 2" xfId="989" xr:uid="{83BC1808-CC48-4D96-A1C0-A42EC1836261}"/>
    <cellStyle name="Style 1 2 2 4 5 3" xfId="1547" xr:uid="{18B040CF-A462-4EAF-BBEE-5384CEE1CFF0}"/>
    <cellStyle name="Style 1 2 2 4 6" xfId="412" xr:uid="{CA10DF9C-D98A-4465-8D6B-6CA3CF944FB0}"/>
    <cellStyle name="Style 1 2 2 4 6 2" xfId="1045" xr:uid="{7E00646D-04EF-4D41-8BF6-13F64F2C48A0}"/>
    <cellStyle name="Style 1 2 2 4 6 3" xfId="1604" xr:uid="{1EB6FDAA-7B8D-40E4-918B-EC02FB815983}"/>
    <cellStyle name="Style 1 2 2 4 7" xfId="543" xr:uid="{42CD74B5-0FB4-4E2F-8341-571FDE503A50}"/>
    <cellStyle name="Style 1 2 2 4 7 2" xfId="1171" xr:uid="{A83E2EF8-35AF-4AFE-8FE7-00FFE26BC55E}"/>
    <cellStyle name="Style 1 2 2 4 7 3" xfId="1730" xr:uid="{27BE4199-CC9C-43E6-BA52-669C1F8F9EED}"/>
    <cellStyle name="Style 1 2 2 4 8" xfId="572" xr:uid="{04EE56FA-D0F1-49FF-971E-E32C0E4267AF}"/>
    <cellStyle name="Style 1 2 2 4 8 2" xfId="1200" xr:uid="{3646B841-72C9-4E12-B7D2-9AD3CA28FC5A}"/>
    <cellStyle name="Style 1 2 2 4 8 3" xfId="1758" xr:uid="{4A93FA59-F37B-455B-AEC9-5A13CE3661C5}"/>
    <cellStyle name="Style 1 2 2 4 9" xfId="759" xr:uid="{8D49E9F8-9251-48AA-B7C3-4D3E36421FBE}"/>
    <cellStyle name="Style 1 2 2 5" xfId="134" xr:uid="{685FF001-C2B4-4EE1-B120-7A7CE998A3C1}"/>
    <cellStyle name="Style 1 2 2 5 2" xfId="292" xr:uid="{F548BC2B-7921-4750-B91C-7CC545D65903}"/>
    <cellStyle name="Style 1 2 2 5 2 2" xfId="929" xr:uid="{28B10682-50BC-4AFB-A114-F8D920ECB3C6}"/>
    <cellStyle name="Style 1 2 2 5 2 3" xfId="1487" xr:uid="{3EBC07E4-19FF-4AF6-87A8-66F800096390}"/>
    <cellStyle name="Style 1 2 2 5 3" xfId="400" xr:uid="{2B6E280D-EEDD-488E-81C5-4E9D598E9084}"/>
    <cellStyle name="Style 1 2 2 5 3 2" xfId="1033" xr:uid="{902FE434-7041-4336-AFD2-4A2D5C31D579}"/>
    <cellStyle name="Style 1 2 2 5 3 3" xfId="1592" xr:uid="{3963F6F1-7852-400D-8367-43DCE2C089BC}"/>
    <cellStyle name="Style 1 2 2 5 4" xfId="432" xr:uid="{0DC448BB-A213-4B8A-897D-D36743313826}"/>
    <cellStyle name="Style 1 2 2 5 4 2" xfId="1065" xr:uid="{42C28061-6F73-4C25-A192-3C8F782EB850}"/>
    <cellStyle name="Style 1 2 2 5 4 3" xfId="1624" xr:uid="{5B8A747C-E22A-4B46-94F2-FCB4A50EF264}"/>
    <cellStyle name="Style 1 2 2 5 5" xfId="269" xr:uid="{CA833FF9-CDF3-4C94-9A50-E97B266FF89C}"/>
    <cellStyle name="Style 1 2 2 5 5 2" xfId="908" xr:uid="{A7D4ED8E-B15D-4ECC-80EE-1F2852F0C88B}"/>
    <cellStyle name="Style 1 2 2 5 5 3" xfId="1465" xr:uid="{BCF68B50-41C4-404B-A48B-78CF19666E2F}"/>
    <cellStyle name="Style 1 2 2 5 6" xfId="631" xr:uid="{990389EA-D1FF-45A8-9374-22D6DC39FF10}"/>
    <cellStyle name="Style 1 2 2 5 6 2" xfId="1255" xr:uid="{EB49ADC7-5D09-4074-90AF-C5715E1789EC}"/>
    <cellStyle name="Style 1 2 2 5 6 3" xfId="1812" xr:uid="{DE6ED456-9C70-4BD9-9E56-137E0C014FCB}"/>
    <cellStyle name="Style 1 2 2 5 7" xfId="776" xr:uid="{99759C66-B59F-4002-89B3-D85F00B886EA}"/>
    <cellStyle name="Style 1 2 2 5 8" xfId="1333" xr:uid="{2CAD3D64-A873-4F9B-9985-A6A98CB3227A}"/>
    <cellStyle name="Style 1 2 2 6" xfId="162" xr:uid="{479E8EDD-8707-4230-ADB2-746DC9431667}"/>
    <cellStyle name="Style 1 2 2 6 2" xfId="320" xr:uid="{AD066034-6F26-4796-B657-949355322DD1}"/>
    <cellStyle name="Style 1 2 2 6 2 2" xfId="957" xr:uid="{205A0EE1-3C24-44D7-92C7-F56A2EA13E1A}"/>
    <cellStyle name="Style 1 2 2 6 2 3" xfId="1515" xr:uid="{906C2145-2238-4B28-B9C8-079D71269E0E}"/>
    <cellStyle name="Style 1 2 2 6 3" xfId="214" xr:uid="{FB7AEF0A-40E3-4ECB-9530-82F59E41BCFA}"/>
    <cellStyle name="Style 1 2 2 6 3 2" xfId="853" xr:uid="{595E069B-32F6-438A-B541-1FC50419FC99}"/>
    <cellStyle name="Style 1 2 2 6 3 3" xfId="1411" xr:uid="{192B359F-B3C2-409D-BDDD-BC30F9DE4CFF}"/>
    <cellStyle name="Style 1 2 2 6 4" xfId="446" xr:uid="{91863794-B7F7-4577-B254-AB5227E6A1BB}"/>
    <cellStyle name="Style 1 2 2 6 4 2" xfId="1079" xr:uid="{9052C50A-0414-4419-82F6-C819653CE693}"/>
    <cellStyle name="Style 1 2 2 6 4 3" xfId="1638" xr:uid="{8F517D4F-7471-4619-A63E-1BED057FB6D3}"/>
    <cellStyle name="Style 1 2 2 6 5" xfId="563" xr:uid="{BA3DDC87-20C0-4B76-8B18-EC6708A8684B}"/>
    <cellStyle name="Style 1 2 2 6 5 2" xfId="1191" xr:uid="{E355511D-6A85-4D8E-BCA2-4412B14A7059}"/>
    <cellStyle name="Style 1 2 2 6 5 3" xfId="1750" xr:uid="{B63E655A-5705-462A-B3DC-2A8BF213C0C1}"/>
    <cellStyle name="Style 1 2 2 6 6" xfId="507" xr:uid="{473CD419-1622-4E1A-BEE9-267B2EC3D5B1}"/>
    <cellStyle name="Style 1 2 2 6 6 2" xfId="1139" xr:uid="{89D30603-815F-4A5F-A0BC-E9AB7F9D0F24}"/>
    <cellStyle name="Style 1 2 2 6 6 3" xfId="1698" xr:uid="{582116D9-2A93-4AC9-9C00-49B436A9B36A}"/>
    <cellStyle name="Style 1 2 2 6 7" xfId="804" xr:uid="{AF110693-C658-478D-8CF2-97567806CD80}"/>
    <cellStyle name="Style 1 2 2 6 8" xfId="1361" xr:uid="{4B6F30D2-D1C9-467D-9BE5-98EE2F9CEE06}"/>
    <cellStyle name="Style 1 2 2 7" xfId="237" xr:uid="{C8D348F0-0775-4B68-BE0C-7F94EC2C6A8C}"/>
    <cellStyle name="Style 1 2 2 7 2" xfId="876" xr:uid="{7CF880C8-4C83-412B-BA35-F926C0C797BF}"/>
    <cellStyle name="Style 1 2 2 7 3" xfId="1434" xr:uid="{7E3A7694-C4EB-44EF-A4F4-3B4CF7857D04}"/>
    <cellStyle name="Style 1 2 2 8" xfId="274" xr:uid="{C2E61A75-9E77-4F0A-9E8B-7B597CC2384E}"/>
    <cellStyle name="Style 1 2 2 8 2" xfId="911" xr:uid="{4C27275F-F809-4264-B966-8F70E36932FD}"/>
    <cellStyle name="Style 1 2 2 8 3" xfId="1469" xr:uid="{ABF3D1D9-4171-412D-897B-8422A9BF36D0}"/>
    <cellStyle name="Style 1 2 2 9" xfId="205" xr:uid="{73C3B244-5189-4496-80CC-EB2503EBEBA9}"/>
    <cellStyle name="Style 1 2 2 9 2" xfId="844" xr:uid="{12182E4F-717A-4C4C-AB64-7C33E1D0A26B}"/>
    <cellStyle name="Style 1 2 2 9 3" xfId="1402" xr:uid="{E0EB2656-0569-4300-AD13-48CEB0E17C0D}"/>
    <cellStyle name="Style 1 2 3" xfId="82" xr:uid="{CE56A63C-100A-424D-8C38-2706FDBAA5B6}"/>
    <cellStyle name="Style 1 2 3 10" xfId="728" xr:uid="{16364D0F-8641-4AF1-915E-9CCF49DAC4F5}"/>
    <cellStyle name="Style 1 2 3 2" xfId="141" xr:uid="{44F7F95A-6679-4729-AD55-72DA7149989D}"/>
    <cellStyle name="Style 1 2 3 2 2" xfId="299" xr:uid="{62C7ADF1-B763-44B2-84AA-23456BE81EAC}"/>
    <cellStyle name="Style 1 2 3 2 2 2" xfId="936" xr:uid="{ACFE5E91-B114-435C-BA91-4458E6F8F680}"/>
    <cellStyle name="Style 1 2 3 2 2 3" xfId="1494" xr:uid="{EE418BCE-07F4-4300-B26A-D484E40FCF85}"/>
    <cellStyle name="Style 1 2 3 2 3" xfId="357" xr:uid="{08D8913D-EFFA-40E1-B622-D2FD4D6517BD}"/>
    <cellStyle name="Style 1 2 3 2 3 2" xfId="992" xr:uid="{5818830F-AB65-4707-B420-2499FB308869}"/>
    <cellStyle name="Style 1 2 3 2 3 3" xfId="1550" xr:uid="{F058F25A-B205-410F-92D8-E0B7D6BCF5F5}"/>
    <cellStyle name="Style 1 2 3 2 4" xfId="409" xr:uid="{C20A620C-8D01-47AA-BB8F-D553037A8FAF}"/>
    <cellStyle name="Style 1 2 3 2 4 2" xfId="1042" xr:uid="{C34DC41A-D780-4705-AE97-19AF7B81F139}"/>
    <cellStyle name="Style 1 2 3 2 4 3" xfId="1601" xr:uid="{30EA8565-4F1D-4A28-8F55-8919BCB09713}"/>
    <cellStyle name="Style 1 2 3 2 5" xfId="537" xr:uid="{6E80E83D-75C9-4104-8E71-385D33FFA096}"/>
    <cellStyle name="Style 1 2 3 2 5 2" xfId="1165" xr:uid="{33C2F031-B052-45B9-8247-57FFE37AE724}"/>
    <cellStyle name="Style 1 2 3 2 5 3" xfId="1724" xr:uid="{4B2DFC2A-21B9-4581-8477-E920730DF973}"/>
    <cellStyle name="Style 1 2 3 2 6" xfId="603" xr:uid="{79B3EB64-B95A-468D-AE1D-0EF6D01780BB}"/>
    <cellStyle name="Style 1 2 3 2 6 2" xfId="1228" xr:uid="{19DCBCFB-0C25-4C0E-88FF-DB037ADF7248}"/>
    <cellStyle name="Style 1 2 3 2 6 3" xfId="1786" xr:uid="{50ABA5AE-2CE9-417C-8A10-CB3516844947}"/>
    <cellStyle name="Style 1 2 3 2 7" xfId="783" xr:uid="{58EBA0E0-E62A-4F78-B349-9DBBE67F8637}"/>
    <cellStyle name="Style 1 2 3 2 8" xfId="1340" xr:uid="{0BE966FE-ED57-416F-80D9-EB08F72A6C28}"/>
    <cellStyle name="Style 1 2 3 3" xfId="169" xr:uid="{03D4703C-7778-45A3-8D91-91B047DA4366}"/>
    <cellStyle name="Style 1 2 3 3 2" xfId="327" xr:uid="{F05BFD6F-2221-4B9B-A29F-09CC9AC4115A}"/>
    <cellStyle name="Style 1 2 3 3 2 2" xfId="964" xr:uid="{6E33B036-2657-4BFB-8500-FF1F208002E8}"/>
    <cellStyle name="Style 1 2 3 3 2 3" xfId="1522" xr:uid="{D38F2621-5331-4BA2-AF72-ACF03E0E4736}"/>
    <cellStyle name="Style 1 2 3 3 3" xfId="373" xr:uid="{677DD22E-2D7D-4517-BA74-669307AE77E0}"/>
    <cellStyle name="Style 1 2 3 3 3 2" xfId="1007" xr:uid="{B3CBC0D3-09C8-4275-A975-6298CC65E1C2}"/>
    <cellStyle name="Style 1 2 3 3 3 3" xfId="1566" xr:uid="{C3ABFF3C-4752-4CE3-98B7-F4709C2A793C}"/>
    <cellStyle name="Style 1 2 3 3 4" xfId="474" xr:uid="{FCA92190-3885-4360-984B-3221ED2FFC42}"/>
    <cellStyle name="Style 1 2 3 3 4 2" xfId="1106" xr:uid="{BF5756A3-D062-4135-B6E5-B61BC4B0572A}"/>
    <cellStyle name="Style 1 2 3 3 4 3" xfId="1666" xr:uid="{45BD8DCD-3461-4C27-83B8-936FBAA0D895}"/>
    <cellStyle name="Style 1 2 3 3 5" xfId="521" xr:uid="{9C5E5A46-82E8-4350-B7BD-BAA3996AAD65}"/>
    <cellStyle name="Style 1 2 3 3 5 2" xfId="1151" xr:uid="{0B29BE27-4FD2-4EA8-B359-A5856427C399}"/>
    <cellStyle name="Style 1 2 3 3 5 3" xfId="1710" xr:uid="{F14A3646-0A74-4E41-AA00-D7414B90A253}"/>
    <cellStyle name="Style 1 2 3 3 6" xfId="647" xr:uid="{5FEF0B91-9258-4D3A-BEB0-238BB9ADC469}"/>
    <cellStyle name="Style 1 2 3 3 6 2" xfId="1271" xr:uid="{324BD2F2-8190-4EE7-9D61-CBBBB3CA1728}"/>
    <cellStyle name="Style 1 2 3 3 6 3" xfId="1828" xr:uid="{1507E6EC-43D3-4706-BEC3-88F0FD347466}"/>
    <cellStyle name="Style 1 2 3 3 7" xfId="811" xr:uid="{21627F5A-CD19-446A-B92E-7EAD80507EA9}"/>
    <cellStyle name="Style 1 2 3 3 8" xfId="1368" xr:uid="{2EED5ECA-BD1F-407A-9714-EB637855592B}"/>
    <cellStyle name="Style 1 2 3 4" xfId="246" xr:uid="{99FFD537-3DCF-4B25-8AA0-8F15E7BC37F7}"/>
    <cellStyle name="Style 1 2 3 4 2" xfId="885" xr:uid="{040A47DD-490D-4F8A-BD7C-374D15AF703E}"/>
    <cellStyle name="Style 1 2 3 4 3" xfId="1443" xr:uid="{3133029D-CCD0-421E-BA5B-BC35022A697F}"/>
    <cellStyle name="Style 1 2 3 5" xfId="377" xr:uid="{BD2491C3-95A1-4DB8-8473-58BA4C4890E0}"/>
    <cellStyle name="Style 1 2 3 5 2" xfId="1011" xr:uid="{F1C2DF36-B111-4D41-9236-47E34CE68CBA}"/>
    <cellStyle name="Style 1 2 3 5 3" xfId="1570" xr:uid="{62AE2D18-8A54-4DDF-BB22-748AF1462364}"/>
    <cellStyle name="Style 1 2 3 6" xfId="477" xr:uid="{94F210C4-1E03-4A54-8A25-C0C5CC74040A}"/>
    <cellStyle name="Style 1 2 3 6 2" xfId="1109" xr:uid="{52EFB690-812E-4D9D-9354-E120D72606FA}"/>
    <cellStyle name="Style 1 2 3 6 3" xfId="1669" xr:uid="{E4FEBFE6-AED9-49D7-983F-FA33AE03D764}"/>
    <cellStyle name="Style 1 2 3 7" xfId="465" xr:uid="{48C59A5B-C252-4725-97B3-FC61745423A3}"/>
    <cellStyle name="Style 1 2 3 7 2" xfId="1097" xr:uid="{1A71866F-0152-48C9-83CA-2B617A5461CA}"/>
    <cellStyle name="Style 1 2 3 7 3" xfId="1657" xr:uid="{2BB8D8E6-D02F-46FD-B3CE-CCF89CCA4B2A}"/>
    <cellStyle name="Style 1 2 3 8" xfId="615" xr:uid="{49C9A334-1D05-4598-9926-6469C9CB8065}"/>
    <cellStyle name="Style 1 2 3 8 2" xfId="1239" xr:uid="{9D4CA2FC-2930-4A92-BCE8-5043F292A1CB}"/>
    <cellStyle name="Style 1 2 3 8 3" xfId="1798" xr:uid="{32C33E96-D53F-4D6D-9560-DB54F6178B5F}"/>
    <cellStyle name="Style 1 2 3 9" xfId="751" xr:uid="{D840FF18-AFA6-4EED-9761-141DFF96BCDA}"/>
    <cellStyle name="Style 1 2 4" xfId="88" xr:uid="{0EB87C9C-D1DB-431B-9D90-1A3BFB31DF8A}"/>
    <cellStyle name="Style 1 2 4 10" xfId="1215" xr:uid="{EA4D9E1C-AA59-4290-BB02-08442B160620}"/>
    <cellStyle name="Style 1 2 4 2" xfId="147" xr:uid="{1CD75912-6953-457D-8123-41839347F365}"/>
    <cellStyle name="Style 1 2 4 2 2" xfId="305" xr:uid="{490F680B-0A0D-4AE6-8F70-F11327AB96B2}"/>
    <cellStyle name="Style 1 2 4 2 2 2" xfId="942" xr:uid="{374B18F1-9CDE-4417-A1E8-223B3ABCAC66}"/>
    <cellStyle name="Style 1 2 4 2 2 3" xfId="1500" xr:uid="{E4E850B9-1F76-4A1A-8B58-FDC44BE90045}"/>
    <cellStyle name="Style 1 2 4 2 3" xfId="216" xr:uid="{6BBB1C21-E776-417D-9F55-3C56C05E727D}"/>
    <cellStyle name="Style 1 2 4 2 3 2" xfId="855" xr:uid="{2CA9BAE9-0C06-42A6-B6D9-F0825744A2E3}"/>
    <cellStyle name="Style 1 2 4 2 3 3" xfId="1413" xr:uid="{BEE1FB0A-3D25-4809-9704-EC6D48CC3531}"/>
    <cellStyle name="Style 1 2 4 2 4" xfId="280" xr:uid="{83196C9A-F41E-403A-8FAF-47391D778AE6}"/>
    <cellStyle name="Style 1 2 4 2 4 2" xfId="917" xr:uid="{473EC5F2-3418-4C9B-8DB3-3A27259E925E}"/>
    <cellStyle name="Style 1 2 4 2 4 3" xfId="1475" xr:uid="{FBC5F8EA-3386-4307-BB2A-EAF1EAD97F94}"/>
    <cellStyle name="Style 1 2 4 2 5" xfId="532" xr:uid="{AAB1EE03-0D49-465B-8E2F-633E4A685F55}"/>
    <cellStyle name="Style 1 2 4 2 5 2" xfId="1162" xr:uid="{A17EFAD7-B4FD-4706-9740-582D3131B118}"/>
    <cellStyle name="Style 1 2 4 2 5 3" xfId="1720" xr:uid="{4D6619FA-FCCC-423B-A111-8770FD01FE72}"/>
    <cellStyle name="Style 1 2 4 2 6" xfId="555" xr:uid="{54DB2337-E376-43D6-B637-88E36B91172F}"/>
    <cellStyle name="Style 1 2 4 2 6 2" xfId="1183" xr:uid="{1B4292CC-AAC3-4307-9535-7942CC28A5BC}"/>
    <cellStyle name="Style 1 2 4 2 6 3" xfId="1742" xr:uid="{9F4F9B58-E1B3-4A35-B568-BD1328F3B74F}"/>
    <cellStyle name="Style 1 2 4 2 7" xfId="789" xr:uid="{54E9DFFD-14F0-48E1-AD92-A2F30992DCA9}"/>
    <cellStyle name="Style 1 2 4 2 8" xfId="1346" xr:uid="{A2F45A3A-E25B-48DA-AF74-34C09251D2AF}"/>
    <cellStyle name="Style 1 2 4 3" xfId="175" xr:uid="{9E3AA0DB-BE36-4778-B53F-FB70965B5135}"/>
    <cellStyle name="Style 1 2 4 3 2" xfId="333" xr:uid="{85892EE7-D9A9-4427-882B-1C75A5ACE288}"/>
    <cellStyle name="Style 1 2 4 3 2 2" xfId="970" xr:uid="{C2DD262F-B1C4-4CE9-924A-BCFE0808A1FD}"/>
    <cellStyle name="Style 1 2 4 3 2 3" xfId="1528" xr:uid="{BE99D387-A621-4507-8330-7239A8E7BB29}"/>
    <cellStyle name="Style 1 2 4 3 3" xfId="410" xr:uid="{58F86C77-2229-47DF-B3A5-77A0F28F1CD3}"/>
    <cellStyle name="Style 1 2 4 3 3 2" xfId="1043" xr:uid="{1224E285-A3C6-47AB-9325-9E00B4B22038}"/>
    <cellStyle name="Style 1 2 4 3 3 3" xfId="1602" xr:uid="{59192055-7C5D-421F-8FC8-3E64848860D8}"/>
    <cellStyle name="Style 1 2 4 3 4" xfId="489" xr:uid="{5CE8E3CB-C7D2-4E11-B8CC-BABE51641D0C}"/>
    <cellStyle name="Style 1 2 4 3 4 2" xfId="1121" xr:uid="{2DC2C2D7-6019-473E-9F1F-2A0FD5DC1F12}"/>
    <cellStyle name="Style 1 2 4 3 4 3" xfId="1680" xr:uid="{655A0AB3-8734-4501-B6B9-A09B5B4A9A88}"/>
    <cellStyle name="Style 1 2 4 3 5" xfId="497" xr:uid="{F73E0228-BFE0-483C-8490-774336CCB6C5}"/>
    <cellStyle name="Style 1 2 4 3 5 2" xfId="1129" xr:uid="{0BCB8244-3428-485B-AD6B-EEB724BBF801}"/>
    <cellStyle name="Style 1 2 4 3 5 3" xfId="1688" xr:uid="{6AF7BD5B-6D52-4B92-B6FE-C42B54D12105}"/>
    <cellStyle name="Style 1 2 4 3 6" xfId="592" xr:uid="{A43F2401-7127-42D7-A636-A0962CA1F7C0}"/>
    <cellStyle name="Style 1 2 4 3 6 2" xfId="1217" xr:uid="{4FCB783F-811E-4C1A-92D6-247296E1BFFC}"/>
    <cellStyle name="Style 1 2 4 3 6 3" xfId="1775" xr:uid="{F57BB81B-EEBB-4CCC-A234-7CDDFD6A07B2}"/>
    <cellStyle name="Style 1 2 4 3 7" xfId="817" xr:uid="{7BFA60FA-0AAB-43FC-885C-B3787CFD0B5B}"/>
    <cellStyle name="Style 1 2 4 3 8" xfId="1374" xr:uid="{AB46DE1A-C3D2-417D-B74B-1E3F0C7F1389}"/>
    <cellStyle name="Style 1 2 4 4" xfId="252" xr:uid="{3D20DFFB-4D02-43F0-86CC-E731B2B9E8F7}"/>
    <cellStyle name="Style 1 2 4 4 2" xfId="891" xr:uid="{E293B4E8-9D65-4415-A69A-E602E80F5921}"/>
    <cellStyle name="Style 1 2 4 4 3" xfId="1449" xr:uid="{B4D04D1B-C8B0-4709-B069-E8268733FEF3}"/>
    <cellStyle name="Style 1 2 4 5" xfId="404" xr:uid="{ECA38278-2A74-4A1F-9EA4-BFB4A5C696E2}"/>
    <cellStyle name="Style 1 2 4 5 2" xfId="1037" xr:uid="{A5B8FF7D-305A-406D-9E9D-7DD1AF325203}"/>
    <cellStyle name="Style 1 2 4 5 3" xfId="1596" xr:uid="{D857DBDF-82F9-4C19-A522-BDB1D14A74EB}"/>
    <cellStyle name="Style 1 2 4 6" xfId="504" xr:uid="{4829A4C1-27E4-4453-AA6A-CF20DC235DDF}"/>
    <cellStyle name="Style 1 2 4 6 2" xfId="1136" xr:uid="{6C238666-A9E1-4AD1-AC6E-7BAC2D36F446}"/>
    <cellStyle name="Style 1 2 4 6 3" xfId="1695" xr:uid="{924D4FD3-B0DE-46D4-918A-CD810B72925D}"/>
    <cellStyle name="Style 1 2 4 7" xfId="449" xr:uid="{AC440916-7DA9-498D-96B0-929B18AED8F6}"/>
    <cellStyle name="Style 1 2 4 7 2" xfId="1082" xr:uid="{6BA5D0B2-0083-417B-A667-7997BD920912}"/>
    <cellStyle name="Style 1 2 4 7 3" xfId="1641" xr:uid="{049E266F-C0BA-44A1-9519-F09F797A6B69}"/>
    <cellStyle name="Style 1 2 4 8" xfId="635" xr:uid="{8446337D-6179-48AE-A0B0-06DAB2AE8FEC}"/>
    <cellStyle name="Style 1 2 4 8 2" xfId="1259" xr:uid="{E216BE9B-2723-44A1-9AF1-4B5141F62307}"/>
    <cellStyle name="Style 1 2 4 8 3" xfId="1816" xr:uid="{A98D4969-A4F8-4FB7-B700-62E5DBF9DAA8}"/>
    <cellStyle name="Style 1 2 4 9" xfId="757" xr:uid="{BB7CA40A-36AA-4471-8C8B-909287BD5164}"/>
    <cellStyle name="Style 1 2 5" xfId="89" xr:uid="{14F86DB0-7749-4446-B0F9-BCD9B21D1B5D}"/>
    <cellStyle name="Style 1 2 5 10" xfId="1146" xr:uid="{7A0FC459-9748-47AA-830C-3ADC414863CD}"/>
    <cellStyle name="Style 1 2 5 2" xfId="148" xr:uid="{3F600787-8882-4DB7-B156-B198FDE0A80C}"/>
    <cellStyle name="Style 1 2 5 2 2" xfId="306" xr:uid="{A2E615DA-925B-4F5A-8073-FD5DF85F5547}"/>
    <cellStyle name="Style 1 2 5 2 2 2" xfId="943" xr:uid="{C8A56884-06AA-432F-82A6-F3A8B4B9F3CE}"/>
    <cellStyle name="Style 1 2 5 2 2 3" xfId="1501" xr:uid="{BE07E5D7-3B21-4F61-95D4-321D73024531}"/>
    <cellStyle name="Style 1 2 5 2 3" xfId="273" xr:uid="{70C83FB2-B2C4-47EE-ACAF-D5498DEC02CE}"/>
    <cellStyle name="Style 1 2 5 2 3 2" xfId="910" xr:uid="{5F18E720-4299-43E0-9E26-3E1C49DDF2A0}"/>
    <cellStyle name="Style 1 2 5 2 3 3" xfId="1468" xr:uid="{7F474F76-7996-41A0-A38D-38420B06063D}"/>
    <cellStyle name="Style 1 2 5 2 4" xfId="225" xr:uid="{9225641A-7A0D-45B8-B9BC-3D919BCD3AC3}"/>
    <cellStyle name="Style 1 2 5 2 4 2" xfId="864" xr:uid="{4A4B1D41-C847-4A58-A41B-5FF6CA3724C1}"/>
    <cellStyle name="Style 1 2 5 2 4 3" xfId="1422" xr:uid="{A43AE571-25B1-48F0-BA5E-7EA3C50F9772}"/>
    <cellStyle name="Style 1 2 5 2 5" xfId="503" xr:uid="{A57061F5-2ADC-43C5-A43E-EBC288213157}"/>
    <cellStyle name="Style 1 2 5 2 5 2" xfId="1135" xr:uid="{711890A7-7F99-4788-9C68-A731470222BD}"/>
    <cellStyle name="Style 1 2 5 2 5 3" xfId="1694" xr:uid="{941F2349-6F40-441A-BDEA-2C35A4CA3FB7}"/>
    <cellStyle name="Style 1 2 5 2 6" xfId="606" xr:uid="{1F6E9456-B7A7-4304-94BE-6F161BBE961A}"/>
    <cellStyle name="Style 1 2 5 2 6 2" xfId="1231" xr:uid="{5D0D709A-0E37-4D74-9C82-377DA85B501F}"/>
    <cellStyle name="Style 1 2 5 2 6 3" xfId="1789" xr:uid="{9ABCE945-C88F-47B4-873C-3E0388968B74}"/>
    <cellStyle name="Style 1 2 5 2 7" xfId="790" xr:uid="{34CEF3FD-2E02-4D6F-AD22-CC642527619A}"/>
    <cellStyle name="Style 1 2 5 2 8" xfId="1347" xr:uid="{7FC08CF7-FA82-49CF-9D86-C78DEA706025}"/>
    <cellStyle name="Style 1 2 5 3" xfId="176" xr:uid="{8CC4C2F5-8E3D-4248-BF15-5BBD5A7BE787}"/>
    <cellStyle name="Style 1 2 5 3 2" xfId="334" xr:uid="{B0490FF7-107B-4292-B013-AABA80F7A11B}"/>
    <cellStyle name="Style 1 2 5 3 2 2" xfId="971" xr:uid="{765FB3A4-31FF-4301-9C4B-2A64B969FB77}"/>
    <cellStyle name="Style 1 2 5 3 2 3" xfId="1529" xr:uid="{3167182B-F3AF-449F-A686-E72553E269DB}"/>
    <cellStyle name="Style 1 2 5 3 3" xfId="224" xr:uid="{8B8FA764-877D-4C45-826F-EF4F1B246166}"/>
    <cellStyle name="Style 1 2 5 3 3 2" xfId="863" xr:uid="{4FEC177F-9EB3-4DEB-8FFF-B57572DC033C}"/>
    <cellStyle name="Style 1 2 5 3 3 3" xfId="1421" xr:uid="{932A8497-420D-429A-8173-1249B99B84DE}"/>
    <cellStyle name="Style 1 2 5 3 4" xfId="434" xr:uid="{1C49E29F-6D72-4D02-A525-7F4ED01892E2}"/>
    <cellStyle name="Style 1 2 5 3 4 2" xfId="1067" xr:uid="{17EFB3BB-77CF-4F95-B9AA-7AE9D5EA0D17}"/>
    <cellStyle name="Style 1 2 5 3 4 3" xfId="1626" xr:uid="{7F2A000B-A5A4-4888-8196-1C00146005A1}"/>
    <cellStyle name="Style 1 2 5 3 5" xfId="491" xr:uid="{AD1AEC24-1467-499C-9E1F-035C8BE5FA69}"/>
    <cellStyle name="Style 1 2 5 3 5 2" xfId="1123" xr:uid="{328F4F22-FB2D-4837-ACF4-D13EBDDDE1A9}"/>
    <cellStyle name="Style 1 2 5 3 5 3" xfId="1682" xr:uid="{08C08EF9-A8F3-44A9-86C7-1215EBDD9328}"/>
    <cellStyle name="Style 1 2 5 3 6" xfId="472" xr:uid="{CEB5B519-0793-4C10-A66F-A7429DD7AFF8}"/>
    <cellStyle name="Style 1 2 5 3 6 2" xfId="1104" xr:uid="{67409DFB-66FC-417D-9ABB-73CE6AA10B63}"/>
    <cellStyle name="Style 1 2 5 3 6 3" xfId="1664" xr:uid="{FE04C75C-E357-4561-9329-BD9BD94B4A7B}"/>
    <cellStyle name="Style 1 2 5 3 7" xfId="818" xr:uid="{1881F834-5EFD-43B0-BA18-B9D99E0EC684}"/>
    <cellStyle name="Style 1 2 5 3 8" xfId="1375" xr:uid="{18A69CB4-FA7C-42D0-AB0F-6560520CCAA5}"/>
    <cellStyle name="Style 1 2 5 4" xfId="253" xr:uid="{247F18B7-1A3C-4F24-A4B2-A76E4D1E3CD5}"/>
    <cellStyle name="Style 1 2 5 4 2" xfId="892" xr:uid="{6E7EB9F6-B28D-4B9D-BD4B-58B2C41E3241}"/>
    <cellStyle name="Style 1 2 5 4 3" xfId="1450" xr:uid="{B4B6775E-7228-4702-9924-934B04A83526}"/>
    <cellStyle name="Style 1 2 5 5" xfId="222" xr:uid="{A4F7DB50-28CB-45F5-932F-068CCCCA4B94}"/>
    <cellStyle name="Style 1 2 5 5 2" xfId="861" xr:uid="{DAD0F604-5931-4497-B30B-844480B624EC}"/>
    <cellStyle name="Style 1 2 5 5 3" xfId="1419" xr:uid="{F15BEBEA-BE22-4F02-8615-56269B8D838A}"/>
    <cellStyle name="Style 1 2 5 6" xfId="356" xr:uid="{F5EEF7AF-0931-45FA-AF3E-8CEB4DA6C6CD}"/>
    <cellStyle name="Style 1 2 5 6 2" xfId="991" xr:uid="{EE82781B-767C-444D-A2C7-0D6D97EE8F5B}"/>
    <cellStyle name="Style 1 2 5 6 3" xfId="1549" xr:uid="{63629C65-BF08-48FF-8DE2-B066C66A15A6}"/>
    <cellStyle name="Style 1 2 5 7" xfId="281" xr:uid="{B1C25194-0EDF-44C1-8D96-252C5ACA3D46}"/>
    <cellStyle name="Style 1 2 5 7 2" xfId="918" xr:uid="{3F480FF1-58DF-4B90-A7EF-231F4D019AAC}"/>
    <cellStyle name="Style 1 2 5 7 3" xfId="1476" xr:uid="{BFF52E36-15C6-4AD0-93C3-25DE10A35F86}"/>
    <cellStyle name="Style 1 2 5 8" xfId="542" xr:uid="{0AE1ADB6-3DAA-4FB3-840E-DBEB3DBF158B}"/>
    <cellStyle name="Style 1 2 5 8 2" xfId="1170" xr:uid="{8F27C55B-C9D2-4043-9DE2-D298FDAD351A}"/>
    <cellStyle name="Style 1 2 5 8 3" xfId="1729" xr:uid="{83AB5C67-38D1-4298-9656-2D9E40DB43F7}"/>
    <cellStyle name="Style 1 2 5 9" xfId="758" xr:uid="{674D1FC4-454B-4D17-8CFE-383EF98B06D7}"/>
    <cellStyle name="Style 1 2 6" xfId="131" xr:uid="{FCCBDF42-9CA9-4F4F-A929-67EE6A1F21C1}"/>
    <cellStyle name="Style 1 2 6 2" xfId="289" xr:uid="{1A67859D-9BFA-46EE-BAE1-3CA995BA0B52}"/>
    <cellStyle name="Style 1 2 6 2 2" xfId="926" xr:uid="{1128FE3D-F39C-486F-BF3F-C077B7192652}"/>
    <cellStyle name="Style 1 2 6 2 3" xfId="1484" xr:uid="{68ADCC38-967E-405A-BBDF-C6FB15C3DD7A}"/>
    <cellStyle name="Style 1 2 6 3" xfId="220" xr:uid="{A6BFA9A3-086C-48E7-BECC-A7668FB3892E}"/>
    <cellStyle name="Style 1 2 6 3 2" xfId="859" xr:uid="{002F9DB6-261F-4275-AB51-DDCCD15E7888}"/>
    <cellStyle name="Style 1 2 6 3 3" xfId="1417" xr:uid="{1C4ABD6E-D05C-42CF-B6CC-722FFC2C693B}"/>
    <cellStyle name="Style 1 2 6 4" xfId="260" xr:uid="{5020E32E-2E96-48AF-A3F4-768AD7738DD5}"/>
    <cellStyle name="Style 1 2 6 4 2" xfId="899" xr:uid="{7BB0E300-2604-46AC-A4F5-B6602578D12C}"/>
    <cellStyle name="Style 1 2 6 4 3" xfId="1457" xr:uid="{4CB432FC-5160-4221-8AF9-5C7246D71158}"/>
    <cellStyle name="Style 1 2 6 5" xfId="576" xr:uid="{47A0D1ED-D158-4B06-AC38-F4164423B2CB}"/>
    <cellStyle name="Style 1 2 6 5 2" xfId="1203" xr:uid="{1341C3B7-94F9-44E9-80AD-8533759E1FD4}"/>
    <cellStyle name="Style 1 2 6 5 3" xfId="1762" xr:uid="{85EEAB02-7A28-4EF6-B12F-89357B41D538}"/>
    <cellStyle name="Style 1 2 6 6" xfId="579" xr:uid="{43609097-35C3-4C6A-8E60-FD94895CF907}"/>
    <cellStyle name="Style 1 2 6 6 2" xfId="1206" xr:uid="{85ECD4DD-77C8-4F59-818E-D675185DACDD}"/>
    <cellStyle name="Style 1 2 6 6 3" xfId="1765" xr:uid="{9391CD71-0898-467B-8BD9-DAB21FEE276B}"/>
    <cellStyle name="Style 1 2 6 7" xfId="773" xr:uid="{8707E993-2652-45A5-ACAE-56D8C697BEAE}"/>
    <cellStyle name="Style 1 2 6 8" xfId="1330" xr:uid="{68B44DE0-442A-4BF8-BAED-ACDC151C97E7}"/>
    <cellStyle name="Style 1 2 7" xfId="158" xr:uid="{95A63E77-98D8-4463-B4D3-13C591B5A529}"/>
    <cellStyle name="Style 1 2 7 2" xfId="316" xr:uid="{690F92E8-303E-48E7-AC47-D2AE496FF886}"/>
    <cellStyle name="Style 1 2 7 2 2" xfId="953" xr:uid="{BE889225-23F9-40D5-8BDD-20E01DD287D3}"/>
    <cellStyle name="Style 1 2 7 2 3" xfId="1511" xr:uid="{7ADC9301-F2AF-457B-9B9B-EAF5E0322B0E}"/>
    <cellStyle name="Style 1 2 7 3" xfId="196" xr:uid="{1DCB194F-34FF-478B-9A55-F71C991559A3}"/>
    <cellStyle name="Style 1 2 7 3 2" xfId="835" xr:uid="{B075BB7F-1B14-48C8-9288-13DF96BED200}"/>
    <cellStyle name="Style 1 2 7 3 3" xfId="1393" xr:uid="{3D5AB374-F87B-4311-8025-77036C060AF5}"/>
    <cellStyle name="Style 1 2 7 4" xfId="448" xr:uid="{1DD6381A-F9C4-4D78-85C6-AEBD996E1A29}"/>
    <cellStyle name="Style 1 2 7 4 2" xfId="1081" xr:uid="{09B5A7F3-6DAE-4000-9E8E-341C048CCF17}"/>
    <cellStyle name="Style 1 2 7 4 3" xfId="1640" xr:uid="{A73AD119-C655-47BD-B7D7-8A93385C9F5E}"/>
    <cellStyle name="Style 1 2 7 5" xfId="585" xr:uid="{17A7519F-F3A4-4E44-812F-7FDBF1E2A0A5}"/>
    <cellStyle name="Style 1 2 7 5 2" xfId="1212" xr:uid="{2770ABAB-2BBE-4940-8153-8DE07CF07FF9}"/>
    <cellStyle name="Style 1 2 7 5 3" xfId="1770" xr:uid="{0EBF1FB8-80B0-421F-B2C0-A9AB3F25ED4B}"/>
    <cellStyle name="Style 1 2 7 6" xfId="641" xr:uid="{2919C1DD-711D-48DB-B344-16ADABA835FE}"/>
    <cellStyle name="Style 1 2 7 6 2" xfId="1265" xr:uid="{32EFF8B3-7CDB-4B15-A086-658C2706A498}"/>
    <cellStyle name="Style 1 2 7 6 3" xfId="1822" xr:uid="{DB126132-0145-415B-B864-3BEC8EDEA735}"/>
    <cellStyle name="Style 1 2 7 7" xfId="800" xr:uid="{36CD988D-0855-46E3-A330-C474BE7ABF14}"/>
    <cellStyle name="Style 1 2 7 8" xfId="1357" xr:uid="{869E3003-A6C6-494D-80C2-D6BF5909D126}"/>
    <cellStyle name="Style 1 2 8" xfId="229" xr:uid="{5D78EDB2-512A-49E5-AB19-CE97EC9478BC}"/>
    <cellStyle name="Style 1 2 8 2" xfId="868" xr:uid="{B983AA9D-4DDC-4E43-A838-83B886CA65BE}"/>
    <cellStyle name="Style 1 2 8 3" xfId="1426" xr:uid="{4EA746A4-4C0D-40DE-BE0B-DB337A25CF87}"/>
    <cellStyle name="Style 1 2 9" xfId="381" xr:uid="{AAFB9692-562C-448E-9634-9FF24B424D5D}"/>
    <cellStyle name="Style 1 2 9 2" xfId="1015" xr:uid="{435EC4EF-15B4-4E9A-BA20-4EDEB57C5CE0}"/>
    <cellStyle name="Style 1 2 9 3" xfId="1574" xr:uid="{738C8D4F-E5DF-4DA2-8C63-64B07D8AFF95}"/>
    <cellStyle name="Style 1 3" xfId="69" xr:uid="{9C0FFD72-B209-4655-8932-C31C2331C4E4}"/>
    <cellStyle name="Style 1 3 10" xfId="577" xr:uid="{5FC210B1-3FD4-44B2-B886-686D11AE8FFA}"/>
    <cellStyle name="Style 1 3 10 2" xfId="1204" xr:uid="{C3CB7397-5B64-46D8-9618-4300685D32FC}"/>
    <cellStyle name="Style 1 3 10 3" xfId="1763" xr:uid="{BFB4E232-3B70-4FC7-8C92-385CD6D5123F}"/>
    <cellStyle name="Style 1 3 11" xfId="558" xr:uid="{F85D82E2-B46A-4396-8621-6436A8D25EB3}"/>
    <cellStyle name="Style 1 3 11 2" xfId="1186" xr:uid="{49E57870-E032-4C19-8225-9A582B7EF15E}"/>
    <cellStyle name="Style 1 3 11 3" xfId="1745" xr:uid="{15E1D74A-E73E-475E-9237-5B73B1CAD792}"/>
    <cellStyle name="Style 1 3 12" xfId="741" xr:uid="{18AF4D24-5C46-4839-ADFE-D5B75A8708DF}"/>
    <cellStyle name="Style 1 3 13" xfId="1302" xr:uid="{354ABF74-6D94-40B0-AF0F-EBA9969508AF}"/>
    <cellStyle name="Style 1 3 2" xfId="85" xr:uid="{5247D59F-1E49-46F3-AA01-224FE3EC3DFD}"/>
    <cellStyle name="Style 1 3 2 10" xfId="1142" xr:uid="{CEFAAED1-E851-4F85-8AAD-CDDC27A6FB90}"/>
    <cellStyle name="Style 1 3 2 2" xfId="144" xr:uid="{EF429154-8C45-4CD5-9192-6EC1056AE6F6}"/>
    <cellStyle name="Style 1 3 2 2 2" xfId="302" xr:uid="{69589902-433C-45B4-A4EE-186A53D8B0D4}"/>
    <cellStyle name="Style 1 3 2 2 2 2" xfId="939" xr:uid="{E47F8163-BE75-4FF0-9EBE-CD8F908293AF}"/>
    <cellStyle name="Style 1 3 2 2 2 3" xfId="1497" xr:uid="{F0A793AF-A938-4952-93E4-8EE918DAE53F}"/>
    <cellStyle name="Style 1 3 2 2 3" xfId="276" xr:uid="{C8AB584A-EC3C-48CE-9C35-65ED32B690DF}"/>
    <cellStyle name="Style 1 3 2 2 3 2" xfId="913" xr:uid="{50E94BCB-961B-4112-96CF-F4A01A045437}"/>
    <cellStyle name="Style 1 3 2 2 3 3" xfId="1471" xr:uid="{50DF2BE9-2588-454C-9BBD-9EACD1C5AE3C}"/>
    <cellStyle name="Style 1 3 2 2 4" xfId="484" xr:uid="{BD98C885-8F25-48BA-BAEF-95FE12C7946D}"/>
    <cellStyle name="Style 1 3 2 2 4 2" xfId="1116" xr:uid="{B568CADF-2C23-451B-85EC-DAC395429F1A}"/>
    <cellStyle name="Style 1 3 2 2 4 3" xfId="1675" xr:uid="{4EB10EF7-AFF2-412B-8F16-565E72651347}"/>
    <cellStyle name="Style 1 3 2 2 5" xfId="398" xr:uid="{5A94BD69-8995-4A7A-8CE8-E165176AEF12}"/>
    <cellStyle name="Style 1 3 2 2 5 2" xfId="1031" xr:uid="{5B4B14B0-2435-4739-A6C2-95EED4FDA043}"/>
    <cellStyle name="Style 1 3 2 2 5 3" xfId="1590" xr:uid="{0A8ED7D0-0D60-441B-ABC3-53E906E9A205}"/>
    <cellStyle name="Style 1 3 2 2 6" xfId="567" xr:uid="{A0C81556-DF36-439C-A6AB-31560308EFC6}"/>
    <cellStyle name="Style 1 3 2 2 6 2" xfId="1195" xr:uid="{50660068-9415-41A8-ABE1-07E1F4FA10A5}"/>
    <cellStyle name="Style 1 3 2 2 6 3" xfId="1754" xr:uid="{08C8C233-C839-4942-886A-E163BD522876}"/>
    <cellStyle name="Style 1 3 2 2 7" xfId="786" xr:uid="{9511C3C9-31EE-4965-9FE2-A02D6713A859}"/>
    <cellStyle name="Style 1 3 2 2 8" xfId="1343" xr:uid="{B9F7C5CC-27BD-474B-B956-000A2D1E3C03}"/>
    <cellStyle name="Style 1 3 2 3" xfId="172" xr:uid="{EDE0CDCF-E6F6-4A3C-8CBA-3E44BDC89BFB}"/>
    <cellStyle name="Style 1 3 2 3 2" xfId="330" xr:uid="{5BEF8B5F-4579-4C90-B9F0-0101AA76D4CC}"/>
    <cellStyle name="Style 1 3 2 3 2 2" xfId="967" xr:uid="{FC56DF6C-9FA8-4B2F-8AAF-6FF741E7E452}"/>
    <cellStyle name="Style 1 3 2 3 2 3" xfId="1525" xr:uid="{8703C95A-1F8E-47E0-9CCB-94FFE5448FA5}"/>
    <cellStyle name="Style 1 3 2 3 3" xfId="204" xr:uid="{B2F8EAC6-C81A-43AA-934A-7318811BFE13}"/>
    <cellStyle name="Style 1 3 2 3 3 2" xfId="843" xr:uid="{C5EA40C4-CCBC-49A0-99EE-28D53DCA5DA7}"/>
    <cellStyle name="Style 1 3 2 3 3 3" xfId="1401" xr:uid="{CA716E8B-F8F5-4538-B37C-FEE60622A130}"/>
    <cellStyle name="Style 1 3 2 3 4" xfId="509" xr:uid="{193FC0D0-E072-4B76-8827-16F4566E31ED}"/>
    <cellStyle name="Style 1 3 2 3 4 2" xfId="1141" xr:uid="{F72D552E-E73C-4F19-AAC9-469593527229}"/>
    <cellStyle name="Style 1 3 2 3 4 3" xfId="1700" xr:uid="{0437E4C6-4809-4FA2-86CE-06D8458EE3FA}"/>
    <cellStyle name="Style 1 3 2 3 5" xfId="508" xr:uid="{BDFBBE20-C35C-48D4-9AB9-5EED8929D19E}"/>
    <cellStyle name="Style 1 3 2 3 5 2" xfId="1140" xr:uid="{C9637B5E-86A2-408F-80BE-C8E1F55755F1}"/>
    <cellStyle name="Style 1 3 2 3 5 3" xfId="1699" xr:uid="{23B47997-C394-47BB-80D8-CA6C2E264EA5}"/>
    <cellStyle name="Style 1 3 2 3 6" xfId="599" xr:uid="{93068AAE-B441-45CF-8A80-F6E76742B19A}"/>
    <cellStyle name="Style 1 3 2 3 6 2" xfId="1224" xr:uid="{D8614C17-AECC-4100-B8E4-4DBF83DE02AF}"/>
    <cellStyle name="Style 1 3 2 3 6 3" xfId="1782" xr:uid="{D88070C6-39B4-4B42-8249-BB1149B4D1AA}"/>
    <cellStyle name="Style 1 3 2 3 7" xfId="814" xr:uid="{9DC86D9E-5955-43DB-B594-8F2674D8F976}"/>
    <cellStyle name="Style 1 3 2 3 8" xfId="1371" xr:uid="{E0753752-1878-47B6-A6E1-8E1E899CB86A}"/>
    <cellStyle name="Style 1 3 2 4" xfId="249" xr:uid="{22988FF7-F307-4CA4-8C62-B14C42745C76}"/>
    <cellStyle name="Style 1 3 2 4 2" xfId="888" xr:uid="{74ECD414-AE74-4555-B590-35C1167F546D}"/>
    <cellStyle name="Style 1 3 2 4 3" xfId="1446" xr:uid="{C8E42BFE-3332-4D78-BABC-FCFDFEA4C7F4}"/>
    <cellStyle name="Style 1 3 2 5" xfId="411" xr:uid="{3C004D73-FDFE-4FE1-BC60-187C5F655BA9}"/>
    <cellStyle name="Style 1 3 2 5 2" xfId="1044" xr:uid="{C3740872-BE0E-42E6-BF1D-7625F7628016}"/>
    <cellStyle name="Style 1 3 2 5 3" xfId="1603" xr:uid="{AFD7027B-2A6C-4D7D-B8F0-9FB15C46914B}"/>
    <cellStyle name="Style 1 3 2 6" xfId="476" xr:uid="{BCEB602C-D1AB-4B8F-885B-ED7696CBB2F4}"/>
    <cellStyle name="Style 1 3 2 6 2" xfId="1108" xr:uid="{88AE010E-31F5-41A9-A080-F6DEA7BD3F63}"/>
    <cellStyle name="Style 1 3 2 6 3" xfId="1668" xr:uid="{E265ADF8-6283-444E-B2FA-23CE1BAE652E}"/>
    <cellStyle name="Style 1 3 2 7" xfId="471" xr:uid="{C4730285-B4E4-45F8-AD17-0AD17A34F0EB}"/>
    <cellStyle name="Style 1 3 2 7 2" xfId="1103" xr:uid="{4DEA5D85-85AB-4603-B574-C946B22265FC}"/>
    <cellStyle name="Style 1 3 2 7 3" xfId="1663" xr:uid="{AB7F1552-F84D-442D-92E5-2DA133BE4962}"/>
    <cellStyle name="Style 1 3 2 8" xfId="638" xr:uid="{1544FD32-8CDD-4E86-985E-F1A26BF83F68}"/>
    <cellStyle name="Style 1 3 2 8 2" xfId="1262" xr:uid="{C770B460-2810-4C7F-89A6-B7C2C13E0A78}"/>
    <cellStyle name="Style 1 3 2 8 3" xfId="1819" xr:uid="{E763E26D-A36E-4CBF-9C11-DFB30AF3F390}"/>
    <cellStyle name="Style 1 3 2 9" xfId="754" xr:uid="{949AA131-6DC8-4807-9C8D-2BC82436AC22}"/>
    <cellStyle name="Style 1 3 3" xfId="79" xr:uid="{8D5092E9-1C3A-4CD1-B952-9D1224B6A4CF}"/>
    <cellStyle name="Style 1 3 3 10" xfId="736" xr:uid="{B110630C-2644-4BF8-A7C3-8499585B5D36}"/>
    <cellStyle name="Style 1 3 3 2" xfId="138" xr:uid="{58DD2EB5-8144-4732-AF83-032B2888FA12}"/>
    <cellStyle name="Style 1 3 3 2 2" xfId="296" xr:uid="{89A6C9E1-2C8B-49AF-AB67-B1CF41453D86}"/>
    <cellStyle name="Style 1 3 3 2 2 2" xfId="933" xr:uid="{EEFC1F54-CC50-4E25-ACC2-CC3B84376352}"/>
    <cellStyle name="Style 1 3 3 2 2 3" xfId="1491" xr:uid="{AFB8909A-245B-4D28-BBF4-ABAAC1C64CE3}"/>
    <cellStyle name="Style 1 3 3 2 3" xfId="259" xr:uid="{87905C9B-18B0-4641-8CBE-1E596ACD373C}"/>
    <cellStyle name="Style 1 3 3 2 3 2" xfId="898" xr:uid="{3732B19F-0910-4D97-80DE-B665421C0BD9}"/>
    <cellStyle name="Style 1 3 3 2 3 3" xfId="1456" xr:uid="{E537531F-51E7-4BFE-A6A0-D41962A42823}"/>
    <cellStyle name="Style 1 3 3 2 4" xfId="197" xr:uid="{183C5D49-3A83-4961-8E50-C9C5654F27B2}"/>
    <cellStyle name="Style 1 3 3 2 4 2" xfId="836" xr:uid="{53D27F10-1EB3-4975-A39F-A7CB670ECC58}"/>
    <cellStyle name="Style 1 3 3 2 4 3" xfId="1394" xr:uid="{0FF5BEE4-B0AB-461A-8538-26C3E577B31A}"/>
    <cellStyle name="Style 1 3 3 2 5" xfId="540" xr:uid="{99827AA4-0D4F-41E4-94D8-B833C2175CE7}"/>
    <cellStyle name="Style 1 3 3 2 5 2" xfId="1168" xr:uid="{0814EF70-D577-4ED9-A65B-F940CFA90F6E}"/>
    <cellStyle name="Style 1 3 3 2 5 3" xfId="1727" xr:uid="{17339198-8FDC-4E11-AA5A-CC821041773D}"/>
    <cellStyle name="Style 1 3 3 2 6" xfId="597" xr:uid="{525616EA-019E-4BBE-9885-54557157EB89}"/>
    <cellStyle name="Style 1 3 3 2 6 2" xfId="1222" xr:uid="{6E79693E-B6EF-4E98-8092-B3544DE0C8B1}"/>
    <cellStyle name="Style 1 3 3 2 6 3" xfId="1780" xr:uid="{EF8FF574-DD6A-4312-BC5A-3ED9FB3A1B71}"/>
    <cellStyle name="Style 1 3 3 2 7" xfId="780" xr:uid="{2BE8CED7-EEF0-488A-87A3-505AF588EFE7}"/>
    <cellStyle name="Style 1 3 3 2 8" xfId="1337" xr:uid="{6D056FC7-60B2-4895-8707-D475641AA50A}"/>
    <cellStyle name="Style 1 3 3 3" xfId="166" xr:uid="{4ADD1D6C-B42E-4A08-B18D-FC05C318EA75}"/>
    <cellStyle name="Style 1 3 3 3 2" xfId="324" xr:uid="{8B1C6897-4F66-43C5-8CDE-D7FDA007F8E1}"/>
    <cellStyle name="Style 1 3 3 3 2 2" xfId="961" xr:uid="{ED414FA9-E8BA-4D3F-8EE6-4B8C88F3A41B}"/>
    <cellStyle name="Style 1 3 3 3 2 3" xfId="1519" xr:uid="{1187F729-424F-4109-94DE-9C44486E0BFE}"/>
    <cellStyle name="Style 1 3 3 3 3" xfId="382" xr:uid="{A984895C-1BA3-4851-8DD1-032484ECC40B}"/>
    <cellStyle name="Style 1 3 3 3 3 2" xfId="1016" xr:uid="{4FC25C56-F618-4C1B-AB06-F546DA34324A}"/>
    <cellStyle name="Style 1 3 3 3 3 3" xfId="1575" xr:uid="{07CCF11C-14C9-4390-AE5D-C2F0EF7F8D0B}"/>
    <cellStyle name="Style 1 3 3 3 4" xfId="235" xr:uid="{B18D60C6-37F7-43F1-8650-D15CF012CD61}"/>
    <cellStyle name="Style 1 3 3 3 4 2" xfId="874" xr:uid="{7D76394D-F42C-41DC-B527-D864F306FB7F}"/>
    <cellStyle name="Style 1 3 3 3 4 3" xfId="1432" xr:uid="{D5B4BB41-03DB-4759-B8F1-47012F64F88A}"/>
    <cellStyle name="Style 1 3 3 3 5" xfId="524" xr:uid="{6BD7309D-2057-4B2D-B800-72732C96FCC1}"/>
    <cellStyle name="Style 1 3 3 3 5 2" xfId="1154" xr:uid="{73C27942-358C-4C1B-BA0B-E47F8969ED71}"/>
    <cellStyle name="Style 1 3 3 3 5 3" xfId="1713" xr:uid="{57EE6CC0-F388-4126-8995-501A0764F6AE}"/>
    <cellStyle name="Style 1 3 3 3 6" xfId="566" xr:uid="{7539C4A7-1FCE-4E99-989C-FF84B4B6BCB2}"/>
    <cellStyle name="Style 1 3 3 3 6 2" xfId="1194" xr:uid="{84212434-1FF6-441D-86BE-AF1FC1048951}"/>
    <cellStyle name="Style 1 3 3 3 6 3" xfId="1753" xr:uid="{A73238A7-0472-4C9C-9F45-B9A43FB8044B}"/>
    <cellStyle name="Style 1 3 3 3 7" xfId="808" xr:uid="{E36961BB-EAB1-4DC4-A48A-224DD38951BD}"/>
    <cellStyle name="Style 1 3 3 3 8" xfId="1365" xr:uid="{D5E36ADA-CBD0-4425-8EFF-8DC28DAA203B}"/>
    <cellStyle name="Style 1 3 3 4" xfId="243" xr:uid="{442586B2-8727-467B-AF1C-CFAC6657BE3A}"/>
    <cellStyle name="Style 1 3 3 4 2" xfId="882" xr:uid="{FDC003B6-F47B-4FE3-923A-A44952F3EEED}"/>
    <cellStyle name="Style 1 3 3 4 3" xfId="1440" xr:uid="{87C73036-8251-4E85-8FEE-453B8B66CE9A}"/>
    <cellStyle name="Style 1 3 3 5" xfId="258" xr:uid="{F1747F40-8D9D-4AA0-9655-E8FA0490BA47}"/>
    <cellStyle name="Style 1 3 3 5 2" xfId="897" xr:uid="{0F78A64E-F97C-4FFC-982E-EE7BF1114643}"/>
    <cellStyle name="Style 1 3 3 5 3" xfId="1455" xr:uid="{D485D95C-AB47-4854-96B8-2FD8E97D3068}"/>
    <cellStyle name="Style 1 3 3 6" xfId="451" xr:uid="{28E8ACF5-5FA6-4CF4-8766-5819B9B4E30B}"/>
    <cellStyle name="Style 1 3 3 6 2" xfId="1084" xr:uid="{7ED2D00A-C8BE-4B7B-BCFB-92F2538E0DF0}"/>
    <cellStyle name="Style 1 3 3 6 3" xfId="1643" xr:uid="{3A477516-52ED-4F11-A37E-3AE5AE6F2741}"/>
    <cellStyle name="Style 1 3 3 7" xfId="467" xr:uid="{9DEF7566-FD7D-4572-A7AE-52B16F918935}"/>
    <cellStyle name="Style 1 3 3 7 2" xfId="1099" xr:uid="{55B3D9C8-1884-4146-A0AE-6DCA7A1551A2}"/>
    <cellStyle name="Style 1 3 3 7 3" xfId="1659" xr:uid="{EEEE84B6-1E94-45C5-97AF-AC61608311B9}"/>
    <cellStyle name="Style 1 3 3 8" xfId="548" xr:uid="{A58D8954-901F-4AC3-A296-C92542C59A72}"/>
    <cellStyle name="Style 1 3 3 8 2" xfId="1176" xr:uid="{E14B5B14-ED05-44D6-BC6A-4FDE4B5C2530}"/>
    <cellStyle name="Style 1 3 3 8 3" xfId="1735" xr:uid="{24C27DE1-0983-46EE-B914-5D08AE84666D}"/>
    <cellStyle name="Style 1 3 3 9" xfId="748" xr:uid="{AC5D7701-EB6C-41CB-B2B6-42AF13BC5726}"/>
    <cellStyle name="Style 1 3 4" xfId="87" xr:uid="{A8EEC287-2EA5-4721-AECF-87C39C42E504}"/>
    <cellStyle name="Style 1 3 4 10" xfId="1252" xr:uid="{1D0CE0E7-0C8E-4BB3-B0C1-F8CF4266C18C}"/>
    <cellStyle name="Style 1 3 4 2" xfId="146" xr:uid="{22F52D7A-9C0E-4883-B535-AB25E6ABDECE}"/>
    <cellStyle name="Style 1 3 4 2 2" xfId="304" xr:uid="{31C7387B-4193-4E02-ACB1-58EC511BF408}"/>
    <cellStyle name="Style 1 3 4 2 2 2" xfId="941" xr:uid="{BBE48FFA-086F-4C93-83CF-B07ECD8C7F48}"/>
    <cellStyle name="Style 1 3 4 2 2 3" xfId="1499" xr:uid="{9EA02643-F490-4B9F-84C4-7CE3F025A0C7}"/>
    <cellStyle name="Style 1 3 4 2 3" xfId="402" xr:uid="{C8DA2536-77A9-4625-BB51-334CBCCBFB7C}"/>
    <cellStyle name="Style 1 3 4 2 3 2" xfId="1035" xr:uid="{C71AC980-6A57-40F2-B1BF-91B4DC36448A}"/>
    <cellStyle name="Style 1 3 4 2 3 3" xfId="1594" xr:uid="{9A5C2F0E-9642-43D7-AA46-BB9DF40469E3}"/>
    <cellStyle name="Style 1 3 4 2 4" xfId="468" xr:uid="{68750578-D1AB-40F8-9AE9-4580CEB42B47}"/>
    <cellStyle name="Style 1 3 4 2 4 2" xfId="1100" xr:uid="{DBDCF7DF-567F-4CC4-9DFC-3EF5CDC6408C}"/>
    <cellStyle name="Style 1 3 4 2 4 3" xfId="1660" xr:uid="{2FC818AF-764E-4CA1-94A9-5BFE4A6EC1C8}"/>
    <cellStyle name="Style 1 3 4 2 5" xfId="439" xr:uid="{FA7ECFAC-3C74-4F98-9FB4-A220AC33DD94}"/>
    <cellStyle name="Style 1 3 4 2 5 2" xfId="1072" xr:uid="{E617718C-A27E-411A-A41F-F24DE7F9D581}"/>
    <cellStyle name="Style 1 3 4 2 5 3" xfId="1631" xr:uid="{8B6A2244-4519-4A64-A576-D35078EEF170}"/>
    <cellStyle name="Style 1 3 4 2 6" xfId="633" xr:uid="{552366CC-65C3-4444-966B-C8969192C192}"/>
    <cellStyle name="Style 1 3 4 2 6 2" xfId="1257" xr:uid="{BA4578A3-E0D7-4B8F-8BBD-AF92294741C9}"/>
    <cellStyle name="Style 1 3 4 2 6 3" xfId="1814" xr:uid="{234E9D1A-17C8-43CB-8F64-237D7FCFC9D7}"/>
    <cellStyle name="Style 1 3 4 2 7" xfId="788" xr:uid="{86EDD1BC-AAFE-44E9-85EA-D5C8F5C5DDFC}"/>
    <cellStyle name="Style 1 3 4 2 8" xfId="1345" xr:uid="{C03B93C0-F9DD-4433-95DC-53B138B15148}"/>
    <cellStyle name="Style 1 3 4 3" xfId="174" xr:uid="{28E84C58-59F9-41D6-9AFD-C6BDF1679D55}"/>
    <cellStyle name="Style 1 3 4 3 2" xfId="332" xr:uid="{E90C8441-0190-47D7-BE91-BDD393AB1F14}"/>
    <cellStyle name="Style 1 3 4 3 2 2" xfId="969" xr:uid="{B0DB5E13-8570-4A23-ADC5-CF3E4B74E04E}"/>
    <cellStyle name="Style 1 3 4 3 2 3" xfId="1527" xr:uid="{9A142E71-4B5F-49EE-924A-04DEEF5A2A08}"/>
    <cellStyle name="Style 1 3 4 3 3" xfId="368" xr:uid="{DADC3906-85A3-4183-A9DB-7B6C25636A8A}"/>
    <cellStyle name="Style 1 3 4 3 3 2" xfId="1003" xr:uid="{3A449296-8825-4BE1-8993-98275E3BC0E0}"/>
    <cellStyle name="Style 1 3 4 3 3 3" xfId="1561" xr:uid="{D1BE0CDB-0039-45E5-8C64-DDCC244D96BC}"/>
    <cellStyle name="Style 1 3 4 3 4" xfId="505" xr:uid="{5A54A822-2BBE-4C66-A735-ACB32CEB9459}"/>
    <cellStyle name="Style 1 3 4 3 4 2" xfId="1137" xr:uid="{0EFDFBE0-8BD3-41D3-B855-51A09A5828C8}"/>
    <cellStyle name="Style 1 3 4 3 4 3" xfId="1696" xr:uid="{934E9883-262D-4D42-AE32-20C25030CEC7}"/>
    <cellStyle name="Style 1 3 4 3 5" xfId="561" xr:uid="{4F2D4CFE-334D-47E1-8C99-17C10051CE99}"/>
    <cellStyle name="Style 1 3 4 3 5 2" xfId="1189" xr:uid="{197313B6-1A97-4DCD-99AF-F5390A049459}"/>
    <cellStyle name="Style 1 3 4 3 5 3" xfId="1748" xr:uid="{CB6D1E9C-09DE-4C5B-A5B8-939D8378DA02}"/>
    <cellStyle name="Style 1 3 4 3 6" xfId="551" xr:uid="{3B52BC90-9924-4D48-9F1B-058CA7F695E6}"/>
    <cellStyle name="Style 1 3 4 3 6 2" xfId="1179" xr:uid="{DD544C9C-2A48-444E-B078-A103879A9522}"/>
    <cellStyle name="Style 1 3 4 3 6 3" xfId="1738" xr:uid="{A1CC5248-0D20-47C6-965C-2E82D1F59F17}"/>
    <cellStyle name="Style 1 3 4 3 7" xfId="816" xr:uid="{304C0436-B4CF-4886-A704-AF8E8831D735}"/>
    <cellStyle name="Style 1 3 4 3 8" xfId="1373" xr:uid="{051BDDDE-B99B-42FC-A819-6B50633199C2}"/>
    <cellStyle name="Style 1 3 4 4" xfId="251" xr:uid="{30E7B5EA-CA3B-46FA-8524-D05840174882}"/>
    <cellStyle name="Style 1 3 4 4 2" xfId="890" xr:uid="{D53F9F31-980D-43C7-AEE0-2A2C76627E3B}"/>
    <cellStyle name="Style 1 3 4 4 3" xfId="1448" xr:uid="{C6C5D982-C7D5-44DA-9C7D-5FABC4386FD3}"/>
    <cellStyle name="Style 1 3 4 5" xfId="285" xr:uid="{4815C7BC-02A7-41AD-96C4-E495938DAEB8}"/>
    <cellStyle name="Style 1 3 4 5 2" xfId="922" xr:uid="{6D72B36D-78CC-4FE8-AEE1-9072C49BBA67}"/>
    <cellStyle name="Style 1 3 4 5 3" xfId="1480" xr:uid="{52F344A9-6E1E-40CD-9C45-9616E8016F90}"/>
    <cellStyle name="Style 1 3 4 6" xfId="201" xr:uid="{FBF64258-CD71-40C9-9D96-D976DF1C1042}"/>
    <cellStyle name="Style 1 3 4 6 2" xfId="840" xr:uid="{2B055277-FBB7-478B-AA89-9CF108D16D9B}"/>
    <cellStyle name="Style 1 3 4 6 3" xfId="1398" xr:uid="{03AD7D68-6F3E-46D0-B8DE-4B9C022546C4}"/>
    <cellStyle name="Style 1 3 4 7" xfId="238" xr:uid="{8E0CF74B-6CDF-433B-94AE-8E9F4F00BAA3}"/>
    <cellStyle name="Style 1 3 4 7 2" xfId="877" xr:uid="{0711EB53-8F48-4D0F-B374-73434A1D4B1F}"/>
    <cellStyle name="Style 1 3 4 7 3" xfId="1435" xr:uid="{9329BBBB-9FA7-481C-AACF-625B195A962C}"/>
    <cellStyle name="Style 1 3 4 8" xfId="233" xr:uid="{AFCB6E14-4897-42B2-8A70-FB96E22549E4}"/>
    <cellStyle name="Style 1 3 4 8 2" xfId="872" xr:uid="{62B0CC10-8457-433E-8B00-B373AAF6527E}"/>
    <cellStyle name="Style 1 3 4 8 3" xfId="1430" xr:uid="{317331E1-061E-462C-B8F6-4076976C87C6}"/>
    <cellStyle name="Style 1 3 4 9" xfId="756" xr:uid="{13D815CE-2B82-4C79-94CD-D654025F4FA9}"/>
    <cellStyle name="Style 1 3 5" xfId="133" xr:uid="{613B2540-3C00-44CD-962B-C47404C9819A}"/>
    <cellStyle name="Style 1 3 5 2" xfId="291" xr:uid="{EAEC8653-A7AA-47CC-9F58-31CD2E3A4F52}"/>
    <cellStyle name="Style 1 3 5 2 2" xfId="928" xr:uid="{EA863091-80B1-47B7-97EF-2F076271F074}"/>
    <cellStyle name="Style 1 3 5 2 3" xfId="1486" xr:uid="{861BEEF2-9C15-478B-9901-4DC82F6C2015}"/>
    <cellStyle name="Style 1 3 5 3" xfId="385" xr:uid="{7EEBBE48-547C-478B-97E0-9FC0B096CD41}"/>
    <cellStyle name="Style 1 3 5 3 2" xfId="1019" xr:uid="{5FB8B190-398F-4FFC-8FD8-76BC1EB684CD}"/>
    <cellStyle name="Style 1 3 5 3 3" xfId="1578" xr:uid="{444F4AFF-7EBA-4729-AF76-654CF6F0A697}"/>
    <cellStyle name="Style 1 3 5 4" xfId="380" xr:uid="{07C89B45-C91E-4615-976F-CB1A153BA589}"/>
    <cellStyle name="Style 1 3 5 4 2" xfId="1014" xr:uid="{42C540D8-F6E6-4E3C-A9E6-6FC1CA5F8292}"/>
    <cellStyle name="Style 1 3 5 4 3" xfId="1573" xr:uid="{691EB281-B5BC-4005-9CFD-AA1011D64BD8}"/>
    <cellStyle name="Style 1 3 5 5" xfId="277" xr:uid="{4E9341AE-A04C-4D97-97D0-3331AC1EC772}"/>
    <cellStyle name="Style 1 3 5 5 2" xfId="914" xr:uid="{9916E569-891A-4716-8326-5D03679DC299}"/>
    <cellStyle name="Style 1 3 5 5 3" xfId="1472" xr:uid="{A458CB9E-C01E-4EA7-B5DB-BECEAA040050}"/>
    <cellStyle name="Style 1 3 5 6" xfId="620" xr:uid="{509553DE-2C0C-4166-A9BB-0521278B49D7}"/>
    <cellStyle name="Style 1 3 5 6 2" xfId="1244" xr:uid="{BDCDD8B0-735A-4F0F-8FCA-59C892CD89BD}"/>
    <cellStyle name="Style 1 3 5 6 3" xfId="1803" xr:uid="{AC639CCD-A75A-4025-A725-C8C998B0712D}"/>
    <cellStyle name="Style 1 3 5 7" xfId="775" xr:uid="{45506190-8C3E-478E-84D3-D661228C1424}"/>
    <cellStyle name="Style 1 3 5 8" xfId="1332" xr:uid="{EC8B3283-BBD9-407A-AFC1-0A0769A7A612}"/>
    <cellStyle name="Style 1 3 6" xfId="156" xr:uid="{5181CF69-8700-40F7-8A65-102BF1CDE65D}"/>
    <cellStyle name="Style 1 3 6 2" xfId="314" xr:uid="{1A039983-BDA0-4408-AD30-7285CDADA738}"/>
    <cellStyle name="Style 1 3 6 2 2" xfId="951" xr:uid="{D90F09AC-3045-4D52-B9E3-539EE2BBBC61}"/>
    <cellStyle name="Style 1 3 6 2 3" xfId="1509" xr:uid="{16F64F4D-0CE6-416F-9686-CF0693A8B3B9}"/>
    <cellStyle name="Style 1 3 6 3" xfId="421" xr:uid="{90B3C822-03E0-4210-A4D1-9075F728F4EC}"/>
    <cellStyle name="Style 1 3 6 3 2" xfId="1054" xr:uid="{EAACFDFE-0F94-42D0-9E87-18FC42FCBA12}"/>
    <cellStyle name="Style 1 3 6 3 3" xfId="1613" xr:uid="{B9B3F6C8-FD17-452F-9A37-052054437966}"/>
    <cellStyle name="Style 1 3 6 4" xfId="419" xr:uid="{FFD6D59B-DB37-4A71-93B0-52F0697C8CDF}"/>
    <cellStyle name="Style 1 3 6 4 2" xfId="1052" xr:uid="{8DA1CBA3-206E-47C1-9769-3F5429E8EB7F}"/>
    <cellStyle name="Style 1 3 6 4 3" xfId="1611" xr:uid="{CD93E3AB-9C61-4522-A858-4DCEF4D84698}"/>
    <cellStyle name="Style 1 3 6 5" xfId="565" xr:uid="{6683341E-A053-4703-A063-46C1085C4CFD}"/>
    <cellStyle name="Style 1 3 6 5 2" xfId="1193" xr:uid="{32FEC53C-5793-45B6-9164-E8D59C523779}"/>
    <cellStyle name="Style 1 3 6 5 3" xfId="1752" xr:uid="{41D76A1C-097A-4153-903D-BC8D02A52CF5}"/>
    <cellStyle name="Style 1 3 6 6" xfId="618" xr:uid="{994B983E-3036-4F91-AABF-7072C98D4B1D}"/>
    <cellStyle name="Style 1 3 6 6 2" xfId="1242" xr:uid="{D152F170-E665-4D76-AA5E-6770726D6B68}"/>
    <cellStyle name="Style 1 3 6 6 3" xfId="1801" xr:uid="{819F3E0F-97CC-4207-B023-7173CE667A8A}"/>
    <cellStyle name="Style 1 3 6 7" xfId="798" xr:uid="{24C32BEE-3CB7-46DA-B71B-10CE4A904D1C}"/>
    <cellStyle name="Style 1 3 6 8" xfId="1355" xr:uid="{CF01A429-095F-4890-969A-7B626D0D3B7F}"/>
    <cellStyle name="Style 1 3 7" xfId="234" xr:uid="{3DFA377D-6F65-4331-99CB-EDAAE55A0272}"/>
    <cellStyle name="Style 1 3 7 2" xfId="873" xr:uid="{A997C100-0DA4-404C-BFEA-59D2673D762D}"/>
    <cellStyle name="Style 1 3 7 3" xfId="1431" xr:uid="{8B74AB81-71B7-431C-BDB6-73C26B5C5DF7}"/>
    <cellStyle name="Style 1 3 8" xfId="221" xr:uid="{A6BD65D8-3B76-4EC0-B4A8-B3F2DB3341DB}"/>
    <cellStyle name="Style 1 3 8 2" xfId="860" xr:uid="{1A125DDD-9899-4FB2-A3E5-0F8C837C08FF}"/>
    <cellStyle name="Style 1 3 8 3" xfId="1418" xr:uid="{50A6204C-A66F-4395-9269-6081B3B7B284}"/>
    <cellStyle name="Style 1 3 9" xfId="512" xr:uid="{7C6B5772-56F5-49D7-9BE2-243F67C5A350}"/>
    <cellStyle name="Style 1 3 9 2" xfId="1144" xr:uid="{64CE7549-1364-4CE9-AA60-62B4207D7F26}"/>
    <cellStyle name="Style 1 3 9 3" xfId="1703" xr:uid="{C5B90D9B-98AA-467E-A0C1-9E01D0B4BAB7}"/>
    <cellStyle name="Style 1 4" xfId="511" xr:uid="{4B59C90A-B363-4119-8905-CF4DF3227425}"/>
    <cellStyle name="Style 1 4 2" xfId="1143" xr:uid="{B7FEA9A2-C51B-4B74-979C-4FD7FBCC11C9}"/>
    <cellStyle name="Style 1 4 3" xfId="1702" xr:uid="{0AFD3327-2B48-498C-A48D-C44F5097B906}"/>
    <cellStyle name="Style 1 5" xfId="639" xr:uid="{BBE384C3-CDF8-4C3B-A137-E4E0F87C6697}"/>
    <cellStyle name="Style 1 5 2" xfId="1263" xr:uid="{DDEFF343-E0F3-4872-8BC6-17B327E999E4}"/>
    <cellStyle name="Style 1 5 3" xfId="1820" xr:uid="{7DDF6A51-7AF2-46A9-A1A2-4D9822F4C4A2}"/>
    <cellStyle name="Style 1 6" xfId="731" xr:uid="{13F5F66A-1C14-4B97-B910-C80F75C57E2B}"/>
    <cellStyle name="Table_Input" xfId="46" xr:uid="{610564DE-D3B0-464C-956D-6971CC5B70CF}"/>
    <cellStyle name="TableEmpty" xfId="53" xr:uid="{137113C0-ADA6-44B2-B0E3-77608AD9FC8E}"/>
    <cellStyle name="TableFormula" xfId="48" xr:uid="{69EA2698-AEBD-4F14-9C31-93604BF5BC44}"/>
    <cellStyle name="TableFormulaHidden" xfId="52" xr:uid="{90FA6BEF-8308-45BC-99AB-3ACE88DC1D72}"/>
    <cellStyle name="TableHeading_Left" xfId="44" xr:uid="{0FEE1623-1744-4D14-9B2C-35AA71687AEB}"/>
    <cellStyle name="Tabref" xfId="126" xr:uid="{F66D24DF-2169-4A02-96CB-47ECA0188A4D}"/>
    <cellStyle name="TblFormulaLeft" xfId="50" xr:uid="{30D1F37A-5ACA-4C40-9BCA-2C0262137941}"/>
    <cellStyle name="TblFormulaRight" xfId="51" xr:uid="{48C39D1E-DA1F-4016-BAD3-3A7107E44DF0}"/>
    <cellStyle name="TblInputLeft" xfId="49" xr:uid="{6FD5BEE3-0597-445B-ADC0-50ECB2E286D2}"/>
    <cellStyle name="Warning" xfId="11" xr:uid="{00000000-0005-0000-0000-00000C000000}"/>
    <cellStyle name="Working" xfId="45" xr:uid="{9ADD7EBB-81FB-4460-B19A-589BC12F7605}"/>
    <cellStyle name="Working 2" xfId="56" xr:uid="{392F1F52-CB91-46F1-937A-1F555F030C78}"/>
    <cellStyle name="Working_Mode Labels" xfId="57" xr:uid="{D88CE936-FFC3-4C47-B3A4-539DB725FFF6}"/>
    <cellStyle name="Worksheet Title" xfId="12" xr:uid="{00000000-0005-0000-0000-00000D000000}"/>
    <cellStyle name="Гиперссылка" xfId="127" xr:uid="{C57E1BA2-17F3-4C84-80EB-3C2E839259C4}"/>
    <cellStyle name="Обычный_2++" xfId="128" xr:uid="{8FED7CA3-9A9D-4897-A410-B7A1304FCFE3}"/>
  </cellStyles>
  <dxfs count="26">
    <dxf>
      <numFmt numFmtId="2" formatCode="0.00"/>
    </dxf>
    <dxf>
      <numFmt numFmtId="2" formatCode="0.00"/>
    </dxf>
    <dxf>
      <numFmt numFmtId="1" formatCode="0"/>
    </dxf>
    <dxf>
      <numFmt numFmtId="2" formatCode="0.00"/>
    </dxf>
    <dxf>
      <fill>
        <patternFill patternType="solid">
          <fgColor rgb="FFD9D9D9"/>
          <bgColor rgb="FFD9D9D9"/>
        </patternFill>
      </fill>
    </dxf>
    <dxf>
      <fill>
        <patternFill patternType="solid">
          <fgColor rgb="FFD9D9D9"/>
          <bgColor rgb="FFD9D9D9"/>
        </patternFill>
      </fill>
    </dxf>
    <dxf>
      <font>
        <b/>
        <color rgb="FFFFFFFF"/>
      </font>
      <fill>
        <patternFill patternType="solid">
          <fgColor rgb="FF000000"/>
          <bgColor rgb="FF000000"/>
        </patternFill>
      </fill>
    </dxf>
    <dxf>
      <font>
        <b/>
        <color rgb="FFFFFFFF"/>
      </font>
      <fill>
        <patternFill patternType="solid">
          <fgColor rgb="FF000000"/>
          <bgColor rgb="FF000000"/>
        </patternFill>
      </fill>
    </dxf>
    <dxf>
      <border>
        <top style="double">
          <color rgb="FF000000"/>
        </top>
      </border>
    </dxf>
    <dxf>
      <font>
        <b/>
        <color rgb="FFFFFFFF"/>
      </font>
      <fill>
        <patternFill patternType="solid">
          <fgColor rgb="FF000000"/>
          <bgColor rgb="FF000000"/>
        </patternFill>
      </fill>
      <border>
        <bottom style="medium">
          <color rgb="FF000000"/>
        </bottom>
      </border>
    </dxf>
    <dxf>
      <font>
        <color rgb="FF000000"/>
      </font>
      <border>
        <left style="thin">
          <color rgb="FF000000"/>
        </left>
        <right style="thin">
          <color rgb="FF000000"/>
        </right>
        <top style="medium">
          <color rgb="FF000000"/>
        </top>
        <bottom style="medium">
          <color rgb="FF000000"/>
        </bottom>
        <vertical style="thin">
          <color rgb="FF000000"/>
        </vertical>
        <horizontal style="thin">
          <color rgb="FF000000"/>
        </horizontal>
      </border>
    </dxf>
    <dxf>
      <fill>
        <patternFill patternType="solid">
          <fgColor rgb="FFD9D9D9"/>
          <bgColor rgb="FFD9D9D9"/>
        </patternFill>
      </fill>
    </dxf>
    <dxf>
      <fill>
        <patternFill patternType="solid">
          <fgColor rgb="FFD9D9D9"/>
          <bgColor rgb="FFD9D9D9"/>
        </patternFill>
      </fill>
    </dxf>
    <dxf>
      <font>
        <b/>
        <color rgb="FF000000"/>
      </font>
    </dxf>
    <dxf>
      <font>
        <b/>
        <color rgb="FF000000"/>
      </font>
    </dxf>
    <dxf>
      <font>
        <b/>
        <color rgb="FF000000"/>
      </font>
      <border>
        <top style="double">
          <color rgb="FF000000"/>
        </top>
      </border>
    </dxf>
    <dxf>
      <font>
        <b/>
        <color rgb="FFFFFFFF"/>
      </font>
      <fill>
        <patternFill patternType="solid">
          <fgColor rgb="FF000000"/>
          <bgColor rgb="FF000000"/>
        </patternFill>
      </fill>
    </dxf>
    <dxf>
      <font>
        <color rgb="FF000000"/>
      </font>
      <border>
        <left style="thin">
          <color rgb="FF000000"/>
        </left>
        <right style="thin">
          <color rgb="FF000000"/>
        </right>
        <top style="thin">
          <color rgb="FF000000"/>
        </top>
        <bottom style="thin">
          <color rgb="FF000000"/>
        </bottom>
        <horizontal style="thin">
          <color rgb="FF000000"/>
        </horizontal>
      </border>
    </dxf>
    <dxf>
      <fill>
        <patternFill>
          <bgColor rgb="FF5B94AE"/>
        </patternFill>
      </fill>
      <border>
        <bottom style="thin">
          <color auto="1"/>
        </bottom>
        <vertical style="hair">
          <color theme="0" tint="-0.34998626667073579"/>
        </vertical>
      </border>
    </dxf>
    <dxf>
      <fill>
        <patternFill>
          <bgColor theme="0"/>
        </patternFill>
      </fill>
      <border>
        <left style="thin">
          <color theme="0" tint="-0.34998626667073579"/>
        </left>
        <right style="thin">
          <color auto="1"/>
        </right>
        <top style="thin">
          <color theme="0" tint="-0.34998626667073579"/>
        </top>
        <bottom style="thin">
          <color auto="1"/>
        </bottom>
        <vertical style="hair">
          <color theme="0" tint="-0.34998626667073579"/>
        </vertical>
        <horizontal style="hair">
          <color theme="0" tint="-0.34998626667073579"/>
        </horizontal>
      </border>
    </dxf>
    <dxf>
      <fill>
        <patternFill>
          <bgColor theme="0"/>
        </patternFill>
      </fill>
      <border>
        <left style="thin">
          <color theme="0" tint="-0.34998626667073579"/>
        </left>
        <right style="thin">
          <color theme="0" tint="-0.499984740745262"/>
        </right>
        <top style="thin">
          <color theme="0" tint="-0.24994659260841701"/>
        </top>
        <bottom style="thin">
          <color theme="0" tint="-0.499984740745262"/>
        </bottom>
        <vertical style="dotted">
          <color theme="0" tint="-0.499984740745262"/>
        </vertical>
        <horizontal style="dotted">
          <color theme="0" tint="-0.499984740745262"/>
        </horizontal>
      </border>
    </dxf>
    <dxf>
      <font>
        <b/>
        <i val="0"/>
        <color theme="0"/>
      </font>
      <fill>
        <patternFill>
          <bgColor rgb="FF5B94AE"/>
        </patternFill>
      </fill>
      <border>
        <left style="thin">
          <color theme="0" tint="-0.24994659260841701"/>
        </left>
        <right style="thin">
          <color theme="0" tint="-0.499984740745262"/>
        </right>
        <top style="thin">
          <color theme="0" tint="-0.24994659260841701"/>
        </top>
        <bottom style="thin">
          <color theme="0" tint="-0.499984740745262"/>
        </bottom>
        <horizontal style="dotted">
          <color theme="0" tint="-0.34998626667073579"/>
        </horizontal>
      </border>
    </dxf>
    <dxf>
      <border>
        <left style="thin">
          <color auto="1"/>
        </left>
        <right style="thin">
          <color theme="0" tint="-0.499984740745262"/>
        </right>
        <top style="thin">
          <color theme="0" tint="-0.499984740745262"/>
        </top>
        <bottom style="thin">
          <color theme="0" tint="-0.499984740745262"/>
        </bottom>
        <vertical style="dashed">
          <color theme="0" tint="-0.499984740745262"/>
        </vertical>
        <horizontal style="dashed">
          <color theme="0" tint="-0.499984740745262"/>
        </horizontal>
      </border>
    </dxf>
    <dxf>
      <border>
        <left style="thin">
          <color theme="0" tint="-0.24994659260841701"/>
        </left>
        <right style="thin">
          <color theme="0" tint="-0.499984740745262"/>
        </right>
        <top style="thin">
          <color auto="1"/>
        </top>
        <bottom style="thin">
          <color theme="0" tint="-0.499984740745262"/>
        </bottom>
        <vertical style="dashed">
          <color theme="0" tint="-0.499984740745262"/>
        </vertical>
      </border>
    </dxf>
    <dxf>
      <font>
        <b/>
        <i val="0"/>
        <color theme="0"/>
      </font>
      <fill>
        <patternFill>
          <bgColor rgb="FF5B94AE"/>
        </patternFill>
      </fill>
      <border>
        <left style="thin">
          <color theme="0" tint="-0.24994659260841701"/>
        </left>
        <right style="thin">
          <color theme="0" tint="-0.499984740745262"/>
        </right>
        <top style="thin">
          <color theme="0" tint="-0.24994659260841701"/>
        </top>
        <bottom style="thin">
          <color theme="0" tint="-0.499984740745262"/>
        </bottom>
        <vertical style="thin">
          <color theme="0" tint="-0.24994659260841701"/>
        </vertical>
        <horizontal/>
      </border>
    </dxf>
    <dxf>
      <fill>
        <patternFill>
          <bgColor theme="0"/>
        </patternFill>
      </fill>
      <border>
        <left style="thin">
          <color theme="0" tint="-0.24994659260841701"/>
        </left>
        <right style="thin">
          <color theme="0" tint="-0.499984740745262"/>
        </right>
        <top style="thin">
          <color theme="0" tint="-0.24994659260841701"/>
        </top>
        <bottom style="thin">
          <color theme="0" tint="-0.499984740745262"/>
        </bottom>
        <vertical style="dashed">
          <color theme="0" tint="-0.499984740745262"/>
        </vertical>
        <horizontal style="dashed">
          <color theme="0" tint="-0.24994659260841701"/>
        </horizontal>
      </border>
    </dxf>
  </dxfs>
  <tableStyles count="4" defaultTableStyle="TableStyleMedium2" defaultPivotStyle="PivotStyleLight16">
    <tableStyle name="ETI PivotTable Style" table="0" count="6" xr9:uid="{27E1B268-C3D3-49EE-846D-FEE4840C2B1D}">
      <tableStyleElement type="wholeTable" dxfId="25"/>
      <tableStyleElement type="headerRow" dxfId="24"/>
      <tableStyleElement type="totalRow" dxfId="23"/>
      <tableStyleElement type="lastColumn" dxfId="22"/>
      <tableStyleElement type="pageFieldLabels" dxfId="21"/>
      <tableStyleElement type="pageFieldValues" dxfId="20"/>
    </tableStyle>
    <tableStyle name="Input_Table" pivot="0" count="2" xr9:uid="{0DAC7E71-AABF-4CCC-8BA3-9E2065E8FE69}">
      <tableStyleElement type="wholeTable" dxfId="19"/>
      <tableStyleElement type="headerRow" dxfId="18"/>
    </tableStyle>
    <tableStyle name="TableStyleMedium1 2" pivot="0" count="7" xr9:uid="{E676F250-F63F-4255-A91B-06152D1DC5AC}">
      <tableStyleElement type="wholeTable" dxfId="17"/>
      <tableStyleElement type="headerRow" dxfId="16"/>
      <tableStyleElement type="totalRow" dxfId="15"/>
      <tableStyleElement type="firstColumn" dxfId="14"/>
      <tableStyleElement type="lastColumn" dxfId="13"/>
      <tableStyleElement type="firstRowStripe" dxfId="12"/>
      <tableStyleElement type="firstColumnStripe" dxfId="11"/>
    </tableStyle>
    <tableStyle name="TableStyleMedium15 2" pivot="0" count="7" xr9:uid="{E1095407-63BE-479D-A356-5A3F2BAA01C3}">
      <tableStyleElement type="wholeTable" dxfId="10"/>
      <tableStyleElement type="headerRow" dxfId="9"/>
      <tableStyleElement type="totalRow" dxfId="8"/>
      <tableStyleElement type="firstColumn" dxfId="7"/>
      <tableStyleElement type="lastColumn" dxfId="6"/>
      <tableStyleElement type="firstRowStripe" dxfId="5"/>
      <tableStyleElement type="firstColumn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182958</xdr:colOff>
      <xdr:row>2</xdr:row>
      <xdr:rowOff>153989</xdr:rowOff>
    </xdr:from>
    <xdr:to>
      <xdr:col>4</xdr:col>
      <xdr:colOff>2259409</xdr:colOff>
      <xdr:row>4</xdr:row>
      <xdr:rowOff>251042</xdr:rowOff>
    </xdr:to>
    <xdr:pic>
      <xdr:nvPicPr>
        <xdr:cNvPr id="2" name="Picture 1">
          <a:extLst>
            <a:ext uri="{FF2B5EF4-FFF2-40B4-BE49-F238E27FC236}">
              <a16:creationId xmlns:a16="http://schemas.microsoft.com/office/drawing/2014/main" id="{9F88E773-D8B7-4857-8D98-B70C253ED2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54130" y="471489"/>
          <a:ext cx="2076451" cy="553459"/>
        </a:xfrm>
        <a:prstGeom prst="rect">
          <a:avLst/>
        </a:prstGeom>
      </xdr:spPr>
    </xdr:pic>
    <xdr:clientData/>
  </xdr:twoCellAnchor>
  <xdr:oneCellAnchor>
    <xdr:from>
      <xdr:col>4</xdr:col>
      <xdr:colOff>135574</xdr:colOff>
      <xdr:row>4</xdr:row>
      <xdr:rowOff>459819</xdr:rowOff>
    </xdr:from>
    <xdr:ext cx="1943670" cy="318753"/>
    <xdr:pic>
      <xdr:nvPicPr>
        <xdr:cNvPr id="3" name="Picture 2">
          <a:extLst>
            <a:ext uri="{FF2B5EF4-FFF2-40B4-BE49-F238E27FC236}">
              <a16:creationId xmlns:a16="http://schemas.microsoft.com/office/drawing/2014/main" id="{16EF5068-1CD8-4181-A418-874264D692D2}"/>
            </a:ext>
          </a:extLst>
        </xdr:cNvPr>
        <xdr:cNvPicPr>
          <a:picLocks noChangeAspect="1"/>
        </xdr:cNvPicPr>
      </xdr:nvPicPr>
      <xdr:blipFill>
        <a:blip xmlns:r="http://schemas.openxmlformats.org/officeDocument/2006/relationships" r:embed="rId2"/>
        <a:stretch>
          <a:fillRect/>
        </a:stretch>
      </xdr:blipFill>
      <xdr:spPr>
        <a:xfrm>
          <a:off x="7606746" y="1233725"/>
          <a:ext cx="1943670" cy="318753"/>
        </a:xfrm>
        <a:prstGeom prst="rect">
          <a:avLst/>
        </a:prstGeom>
      </xdr:spPr>
    </xdr:pic>
    <xdr:clientData/>
  </xdr:oneCellAnchor>
  <xdr:twoCellAnchor editAs="oneCell">
    <xdr:from>
      <xdr:col>4</xdr:col>
      <xdr:colOff>833464</xdr:colOff>
      <xdr:row>4</xdr:row>
      <xdr:rowOff>915592</xdr:rowOff>
    </xdr:from>
    <xdr:to>
      <xdr:col>4</xdr:col>
      <xdr:colOff>1375982</xdr:colOff>
      <xdr:row>6</xdr:row>
      <xdr:rowOff>136278</xdr:rowOff>
    </xdr:to>
    <xdr:pic>
      <xdr:nvPicPr>
        <xdr:cNvPr id="4" name="Picture 3">
          <a:extLst>
            <a:ext uri="{FF2B5EF4-FFF2-40B4-BE49-F238E27FC236}">
              <a16:creationId xmlns:a16="http://schemas.microsoft.com/office/drawing/2014/main" id="{F5283CEC-2487-469F-9C8C-88692A7E6A51}"/>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304636" y="1689498"/>
          <a:ext cx="542518" cy="351780"/>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26741E-C9A9-4B04-A554-FA4F3ABB90EA}" name="Table2" displayName="Table2" ref="B7:AM687" totalsRowShown="0">
  <autoFilter ref="B7:AM687" xr:uid="{C826741E-C9A9-4B04-A554-FA4F3ABB90EA}"/>
  <sortState xmlns:xlrd2="http://schemas.microsoft.com/office/spreadsheetml/2017/richdata2" ref="B8:AM687">
    <sortCondition ref="B7:B687"/>
  </sortState>
  <tableColumns count="38">
    <tableColumn id="1" xr3:uid="{CE7A681D-C6FF-4C46-860D-BA9607CA5A9E}" name="Building ID"/>
    <tableColumn id="2" xr3:uid="{43B30347-41AB-4693-991E-F2EE29836D1A}" name="Subsector"/>
    <tableColumn id="3" xr3:uid="{F76416F4-AA35-4089-925A-9001658E0E7A}" name="Building type"/>
    <tableColumn id="4" xr3:uid="{E2EAE596-6842-4BA3-A459-2876F860EE74}" name="ETS status"/>
    <tableColumn id="5" xr3:uid="{945671B3-03F2-4BBF-8E7C-4F7D7129F342}" name="Size"/>
    <tableColumn id="6" xr3:uid="{499DF506-6256-4790-9AE2-D52CCBEE728A}" name="HVAC type"/>
    <tableColumn id="7" xr3:uid="{E1327EDF-2F0E-451C-8C7E-1EA12B72CB3C}" name="Heating"/>
    <tableColumn id="17" xr3:uid="{2531D517-B8B0-4A5D-B2E6-563B377539DD}" name="Fuel (industrial)"/>
    <tableColumn id="8" xr3:uid="{B149C1F8-A60B-420D-B67A-8ED6846277DA}" name="Wall condition"/>
    <tableColumn id="9" xr3:uid="{848D4578-93C1-49F0-B81A-42AFAB87314C}" name="Window condition"/>
    <tableColumn id="10" xr3:uid="{ACAE9674-FA51-427E-B5E9-B76D6862CAF5}" name="Building structure"/>
    <tableColumn id="11" xr3:uid="{7BE26127-AFFC-45FF-9F20-937288B68568}" name="Space heating demand (MWh)"/>
    <tableColumn id="16" xr3:uid="{90D022D8-2B99-4C6C-B2D7-A5808F1F991D}" name="Hot water demand (MWh)"/>
    <tableColumn id="38" xr3:uid="{B76F35A6-D343-41DB-9065-140061889D19}" name="Total heating demand (MWh)" dataDxfId="3">
      <calculatedColumnFormula>Table2[[#This Row],[Hot water demand (MWh)]]+Table2[[#This Row],[Space heating demand (MWh)]]</calculatedColumnFormula>
    </tableColumn>
    <tableColumn id="12" xr3:uid="{FA97EF2F-6C91-4183-9924-14D31901E60F}" name="Electricity consumption (MWh)"/>
    <tableColumn id="14" xr3:uid="{77DCC751-5D08-4F8E-B6B9-AD299742FBB2}" name="Cooling consumption (MWh)"/>
    <tableColumn id="13" xr3:uid="{7C58BCED-F928-4F2F-84B6-BACDD11927EB}" name="Age"/>
    <tableColumn id="15" xr3:uid="{6DC319C9-9E99-4193-94DE-1DA0518CB7F7}" name="Stock" dataDxfId="2"/>
    <tableColumn id="20" xr3:uid="{66C17550-1A74-44B3-865B-EFA7248D12E1}" name="Fuel use (MWh)"/>
    <tableColumn id="30" xr3:uid="{4C6D206B-8FA6-46CF-B6D1-48BF7A3FA195}" name="Average floor area (m^2)"/>
    <tableColumn id="18" xr3:uid="{EEA5C8DC-65EC-44C3-B349-235D27253AA0}" name="Space heating fuel use (MWh)"/>
    <tableColumn id="21" xr3:uid="{81C70300-CFE7-40E0-8EFA-924CEA87BE8D}" name="Hot water fuel use (MWh)"/>
    <tableColumn id="31" xr3:uid="{520CFD05-7057-4834-B16F-E6A8868BFC78}" name="Cooling fuel use (MWh)"/>
    <tableColumn id="32" xr3:uid="{F82A644D-B044-4094-B176-1B3B409C170B}" name="Other electricity fuel use (MWh)"/>
    <tableColumn id="24" xr3:uid="{5E21E463-CCA1-4961-99FF-CDC803BBF14A}" name="Heritage %"/>
    <tableColumn id="25" xr3:uid="{291AB049-936B-4DBF-B9F2-E88C796670A2}" name="No HW storage %"/>
    <tableColumn id="26" xr3:uid="{D8CACC0B-FDC4-4837-9C10-54B732367C7C}" name="Space constrained %"/>
    <tableColumn id="27" xr3:uid="{7E11E5FC-7206-4D57-8A3C-C945068ED5EA}" name="SH heating %"/>
    <tableColumn id="28" xr3:uid="{5A1FD9A7-7A38-4B6B-812F-FDBD2B64889F}" name="HW %"/>
    <tableColumn id="29" xr3:uid="{963C0B36-F8EC-43E6-BD62-A5F098D272FB}" name="HP suitable %"/>
    <tableColumn id="19" xr3:uid="{2F601D02-FE44-4262-B441-75B1D5B9853D}" name="Site Stock"/>
    <tableColumn id="22" xr3:uid="{3C85A681-0CCC-4945-AA39-EFE5E7379B76}" name="Heating Demand (MWh)"/>
    <tableColumn id="23" xr3:uid="{C569318A-8302-407C-962D-843FE1403A17}" name="High Grade Heat (&gt;500 C)"/>
    <tableColumn id="33" xr3:uid="{BAA38EE7-A4E1-422F-971A-A0B8F5005949}" name="Medium Grade Heat (150 - 500 C)"/>
    <tableColumn id="34" xr3:uid="{EDD5D432-BEE1-41C3-BD70-D97C109774E9}" name="Medium/Low Grade Heat (100 - 150 C)"/>
    <tableColumn id="35" xr3:uid="{6D4A0B32-CD77-4BF4-94F2-9127010BDA8D}" name="Low Grade Heat (&lt;100 C)"/>
    <tableColumn id="36" xr3:uid="{C551D904-26CA-465B-8FFF-7B5DBE419361}" name="Label for Heating technology"/>
    <tableColumn id="37" xr3:uid="{6D739BFF-4756-4549-8352-41EEA481CBA6}" name="Electricity Demand (Non-Net)"/>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B81DF3-8BD2-4A49-AEE2-A92AC4CCC6E4}" name="Table1" displayName="Table1" ref="B7:D39" totalsRowShown="0">
  <autoFilter ref="B7:D39" xr:uid="{22B59515-5926-4ACB-9C01-32FBCB52A4D4}"/>
  <tableColumns count="3">
    <tableColumn id="1" xr3:uid="{D9F0CB1F-EEAD-423A-8B05-090E9D595B7A}" name="Year"/>
    <tableColumn id="2" xr3:uid="{E224FCCA-2C81-4561-8484-A69B5622E4D0}" name="Total annual electricity consumption, including cooling (TWh)" dataDxfId="1"/>
    <tableColumn id="3" xr3:uid="{E256102E-EA63-4E99-BE82-9E0F4C4FD53E}" name="Annual consumption of electricity for cooling demand(TWh)"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0CD42-3490-46D8-8723-77FA62D58368}">
  <sheetPr>
    <tabColor theme="3" tint="-0.249977111117893"/>
    <pageSetUpPr fitToPage="1"/>
  </sheetPr>
  <dimension ref="B3:E8"/>
  <sheetViews>
    <sheetView showGridLines="0" tabSelected="1" zoomScale="96" zoomScaleNormal="65" workbookViewId="0">
      <selection activeCell="C11" sqref="C11"/>
    </sheetView>
  </sheetViews>
  <sheetFormatPr defaultColWidth="9.140625" defaultRowHeight="12.75"/>
  <cols>
    <col min="1" max="1" width="9.140625" style="1"/>
    <col min="2" max="2" width="18.85546875" style="1" customWidth="1"/>
    <col min="3" max="3" width="20.140625" style="1" customWidth="1"/>
    <col min="4" max="4" width="64" style="1" customWidth="1"/>
    <col min="5" max="5" width="40.5703125" style="1" customWidth="1"/>
    <col min="6" max="6" width="9.42578125" style="1" customWidth="1"/>
    <col min="7" max="16384" width="9.140625" style="1"/>
  </cols>
  <sheetData>
    <row r="3" spans="2:5" ht="18" customHeight="1">
      <c r="B3" s="14" t="s">
        <v>0</v>
      </c>
      <c r="C3" s="43"/>
      <c r="D3" s="43"/>
      <c r="E3" s="67"/>
    </row>
    <row r="4" spans="2:5" ht="18" customHeight="1">
      <c r="B4" s="10" t="s">
        <v>1</v>
      </c>
      <c r="C4" s="80" t="s">
        <v>2</v>
      </c>
      <c r="D4" s="80"/>
      <c r="E4" s="67"/>
    </row>
    <row r="5" spans="2:5" ht="74.25" customHeight="1">
      <c r="B5" s="11" t="s">
        <v>3</v>
      </c>
      <c r="C5" s="81" t="s">
        <v>4</v>
      </c>
      <c r="D5" s="81"/>
      <c r="E5" s="67"/>
    </row>
    <row r="6" spans="2:5" ht="15">
      <c r="B6" s="13" t="s">
        <v>5</v>
      </c>
      <c r="C6" s="43" t="s">
        <v>6</v>
      </c>
      <c r="D6" s="12"/>
      <c r="E6" s="67"/>
    </row>
    <row r="7" spans="2:5" ht="31.5" customHeight="1">
      <c r="B7" s="13" t="s">
        <v>7</v>
      </c>
      <c r="C7" s="31">
        <v>44592</v>
      </c>
      <c r="D7" s="67"/>
      <c r="E7" s="67"/>
    </row>
    <row r="8" spans="2:5">
      <c r="B8" s="2"/>
    </row>
  </sheetData>
  <mergeCells count="2">
    <mergeCell ref="C4:D4"/>
    <mergeCell ref="C5:D5"/>
  </mergeCells>
  <pageMargins left="0.70866141732283472" right="0.70866141732283472" top="0.74803149606299213" bottom="0.74803149606299213" header="0.31496062992125984" footer="0.31496062992125984"/>
  <pageSetup paperSize="9" scale="3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L427"/>
  <sheetViews>
    <sheetView showGridLines="0" topLeftCell="A405" workbookViewId="0">
      <selection activeCell="C437" sqref="C437"/>
    </sheetView>
  </sheetViews>
  <sheetFormatPr defaultColWidth="9.140625" defaultRowHeight="15" outlineLevelRow="1"/>
  <cols>
    <col min="2" max="2" width="16.140625" customWidth="1"/>
    <col min="3" max="3" width="21.85546875" bestFit="1" customWidth="1"/>
    <col min="4" max="4" width="30.85546875" customWidth="1"/>
    <col min="5" max="5" width="27.42578125" customWidth="1"/>
    <col min="6" max="6" width="36.85546875" customWidth="1"/>
    <col min="7" max="7" width="48.85546875" customWidth="1"/>
    <col min="8" max="8" width="36.85546875" customWidth="1"/>
    <col min="9" max="9" width="26.5703125" bestFit="1" customWidth="1"/>
    <col min="10" max="10" width="15.42578125" customWidth="1"/>
    <col min="11" max="11" width="10.85546875" bestFit="1" customWidth="1"/>
    <col min="12" max="13" width="9.5703125" bestFit="1" customWidth="1"/>
    <col min="14" max="14" width="10.140625" bestFit="1" customWidth="1"/>
    <col min="24" max="24" width="11.42578125" customWidth="1"/>
    <col min="25" max="26" width="13.42578125" customWidth="1"/>
    <col min="27" max="27" width="21.42578125" customWidth="1"/>
    <col min="31" max="31" width="11.42578125" customWidth="1"/>
    <col min="32" max="32" width="17.5703125" customWidth="1"/>
    <col min="36" max="36" width="10.42578125" customWidth="1"/>
  </cols>
  <sheetData>
    <row r="2" spans="1:14" ht="18" thickBot="1">
      <c r="B2" s="6" t="s">
        <v>8</v>
      </c>
      <c r="C2" s="6"/>
      <c r="D2" s="6"/>
      <c r="E2" s="6"/>
      <c r="F2" s="6"/>
      <c r="G2" s="6"/>
      <c r="H2" s="6"/>
      <c r="I2" s="6"/>
      <c r="J2" s="6"/>
      <c r="K2" s="6"/>
      <c r="L2" s="6"/>
      <c r="M2" s="6"/>
      <c r="N2" s="6"/>
    </row>
    <row r="3" spans="1:14" ht="15.75" thickTop="1">
      <c r="B3" s="7" t="s">
        <v>9</v>
      </c>
      <c r="C3" s="5"/>
      <c r="D3" s="5"/>
      <c r="E3" s="5"/>
      <c r="F3" s="5"/>
      <c r="G3" s="5"/>
      <c r="H3" s="5"/>
      <c r="I3" s="5"/>
      <c r="J3" s="5"/>
      <c r="K3" s="5"/>
      <c r="L3" s="5"/>
      <c r="M3" s="5"/>
      <c r="N3" s="5"/>
    </row>
    <row r="5" spans="1:14" ht="18" thickBot="1">
      <c r="B5" s="8" t="s">
        <v>10</v>
      </c>
      <c r="C5" s="8"/>
      <c r="D5" s="8"/>
      <c r="E5" s="8"/>
      <c r="F5" s="8"/>
      <c r="G5" s="8"/>
      <c r="H5" s="8"/>
      <c r="I5" s="8"/>
      <c r="J5" s="8"/>
      <c r="K5" s="8"/>
      <c r="L5" s="8"/>
      <c r="M5" s="8"/>
      <c r="N5" s="8"/>
    </row>
    <row r="6" spans="1:14" ht="15.75" thickTop="1"/>
    <row r="7" spans="1:14" ht="15.75" outlineLevel="1" thickBot="1">
      <c r="B7" s="9" t="s">
        <v>11</v>
      </c>
      <c r="C7" s="9" t="s">
        <v>12</v>
      </c>
      <c r="D7" s="9" t="s">
        <v>13</v>
      </c>
      <c r="E7" s="9" t="s">
        <v>14</v>
      </c>
      <c r="F7" s="9" t="s">
        <v>15</v>
      </c>
      <c r="G7" s="9" t="s">
        <v>16</v>
      </c>
    </row>
    <row r="8" spans="1:14" outlineLevel="1">
      <c r="B8" t="s">
        <v>17</v>
      </c>
      <c r="C8" t="s">
        <v>18</v>
      </c>
      <c r="D8" s="15" cm="1">
        <f t="array" ref="D8">SUMPRODUCT(Table2[Space heating demand (MWh)],Table2[Stock],--(Table2[Subsector]=$B8),--(Table2[Heating]="Electric heating"))/1000</f>
        <v>935.8924684260096</v>
      </c>
      <c r="E8" s="15" cm="1">
        <f t="array" ref="E8">SUMPRODUCT(Table2[Hot water demand (MWh)],Table2[Stock],--(Table2[Subsector]=$B8),--(Table2[Heating]="Electric heating"))/1000</f>
        <v>395.59144679206486</v>
      </c>
      <c r="F8" s="16">
        <v>0</v>
      </c>
      <c r="G8" s="15" cm="1">
        <f t="array" ref="G8">SUMPRODUCT(Table2[Electricity consumption (MWh)],Table2[Stock],--(Table2[Subsector]=$B8),--(Table2[Heating]="Electric heating"))/1000</f>
        <v>704.67006319128245</v>
      </c>
    </row>
    <row r="9" spans="1:14" outlineLevel="1">
      <c r="B9" t="s">
        <v>17</v>
      </c>
      <c r="C9" t="s">
        <v>19</v>
      </c>
      <c r="D9" s="15" cm="1">
        <f t="array" ref="D9">SUMPRODUCT(Table2[Space heating demand (MWh)],Table2[Stock],--(Table2[Subsector]=$B9),--(Table2[Heating]="Gas boiler"))/1000</f>
        <v>3872.1103848550601</v>
      </c>
      <c r="E9" s="15" cm="1">
        <f t="array" ref="E9">SUMPRODUCT(Table2[Hot water demand (MWh)],Table2[Stock],--(Table2[Subsector]=$B9),--(Table2[Heating]="Gas boiler"))/1000</f>
        <v>1559.2451781515394</v>
      </c>
      <c r="F9" s="15">
        <v>0</v>
      </c>
      <c r="G9" s="15" cm="1">
        <f t="array" ref="G9">SUMPRODUCT(Table2[Electricity consumption (MWh)],Table2[Stock],--(Table2[Subsector]=$B9),--(Table2[Heating]="Gas boiler"))/1000</f>
        <v>2473.7385041241928</v>
      </c>
    </row>
    <row r="10" spans="1:14" outlineLevel="1">
      <c r="B10" t="s">
        <v>17</v>
      </c>
      <c r="C10" t="s">
        <v>20</v>
      </c>
      <c r="D10" s="15" cm="1">
        <f t="array" ref="D10">SUMPRODUCT(Table2[Space heating demand (MWh)],Table2[Stock],--(Table2[Subsector]=$B10),--(Table2[Heating]="Oil boiler"))/1000</f>
        <v>8000.6380248373489</v>
      </c>
      <c r="E10" s="15" cm="1">
        <f t="array" ref="E10">SUMPRODUCT(Table2[Hot water demand (MWh)],Table2[Stock],--(Table2[Subsector]=$B10),--(Table2[Heating]="Oil boiler"))/1000</f>
        <v>2408.8257120875728</v>
      </c>
      <c r="F10" s="15">
        <v>0</v>
      </c>
      <c r="G10" s="15" cm="1">
        <f t="array" ref="G10">SUMPRODUCT(Table2[Electricity consumption (MWh)],Table2[Stock],--(Table2[Subsector]=$B10),--(Table2[Heating]="Oil boiler"))/1000</f>
        <v>3144.3455711665429</v>
      </c>
    </row>
    <row r="11" spans="1:14" outlineLevel="1">
      <c r="B11" t="s">
        <v>17</v>
      </c>
      <c r="C11" t="s">
        <v>21</v>
      </c>
      <c r="D11" s="15" cm="1">
        <f t="array" ref="D11">SUMPRODUCT(Table2[Space heating demand (MWh)],Table2[Stock],--(Table2[Subsector]=$B11),--(Table2[Heating]="Solid boiler"))/1000</f>
        <v>706.32761340284253</v>
      </c>
      <c r="E11" s="15" cm="1">
        <f t="array" ref="E11">SUMPRODUCT(Table2[Hot water demand (MWh)],Table2[Stock],--(Table2[Subsector]=$B11),--(Table2[Heating]="Solid boiler"))/1000</f>
        <v>473.00075195330936</v>
      </c>
      <c r="F11" s="15">
        <v>0</v>
      </c>
      <c r="G11" s="15" cm="1">
        <f t="array" ref="G11">SUMPRODUCT(Table2[Electricity consumption (MWh)],Table2[Stock],--(Table2[Subsector]=$B11),--(Table2[Heating]="Solid boiler"))/1000</f>
        <v>904.48656886849767</v>
      </c>
    </row>
    <row r="12" spans="1:14" outlineLevel="1">
      <c r="A12" s="36" t="s">
        <v>22</v>
      </c>
      <c r="B12" t="s">
        <v>23</v>
      </c>
      <c r="C12" t="s">
        <v>18</v>
      </c>
      <c r="D12" s="15" cm="1">
        <f t="array" ref="D12">SUMPRODUCT(Table2[Space heating demand (MWh)],Table2[Stock],--(Table2[Subsector]=$B12),--(Table2[Heating]="Electric heating"))/1000</f>
        <v>1916.3779173384435</v>
      </c>
      <c r="E12" s="15" cm="1">
        <f t="array" ref="E12">SUMPRODUCT(Table2[Hot water demand (MWh)],Table2[Stock],--(Table2[Subsector]=$B12),--(Table2[Heating]="Electric heating"))/1000</f>
        <v>333.73623431191697</v>
      </c>
      <c r="F12" s="15" cm="1">
        <f t="array" ref="F12">SUMPRODUCT(Table2[Cooling consumption (MWh)],Table2[Stock],--(Table2[Subsector]=$B12),--(Table2[Heating]="Electric heating"))/1000</f>
        <v>2740.6370318258205</v>
      </c>
      <c r="G12" s="15" cm="1">
        <f t="array" ref="G12">SUMPRODUCT(Table2[Electricity consumption (MWh)],Table2[Stock],--(Table2[Subsector]=$B12),--(Table2[Heating]="Electric heating"))/1000</f>
        <v>784.36459925354598</v>
      </c>
    </row>
    <row r="13" spans="1:14" outlineLevel="1">
      <c r="A13" s="36" t="s">
        <v>22</v>
      </c>
      <c r="B13" t="s">
        <v>23</v>
      </c>
      <c r="C13" t="s">
        <v>19</v>
      </c>
      <c r="D13" s="15" cm="1">
        <f t="array" ref="D13">SUMPRODUCT(Table2[Space heating demand (MWh)],Table2[Stock],--(Table2[Subsector]=$B13),--(Table2[Heating]="Gas boiler"))/1000</f>
        <v>1263.0351676481696</v>
      </c>
      <c r="E13" s="15" cm="1">
        <f t="array" ref="E13">SUMPRODUCT(Table2[Hot water demand (MWh)],Table2[Stock],--(Table2[Subsector]=$B13),--(Table2[Heating]="Gas boiler"))/1000</f>
        <v>1007.058044829902</v>
      </c>
      <c r="F13" s="15" cm="1">
        <f t="array" ref="F13">SUMPRODUCT(Table2[Cooling consumption (MWh)],Table2[Stock],--(Table2[Subsector]=$B13),--(Table2[Heating]="Gas boiler"))/1000</f>
        <v>3135.4356754828423</v>
      </c>
      <c r="G13" s="15" cm="1">
        <f t="array" ref="G13">SUMPRODUCT(Table2[Electricity consumption (MWh)],Table2[Stock],--(Table2[Subsector]=$B13),--(Table2[Heating]="Gas boiler"))/1000</f>
        <v>612.09470817678584</v>
      </c>
    </row>
    <row r="14" spans="1:14" outlineLevel="1">
      <c r="A14" s="36" t="s">
        <v>22</v>
      </c>
      <c r="B14" t="s">
        <v>23</v>
      </c>
      <c r="C14" t="s">
        <v>20</v>
      </c>
      <c r="D14" s="15" cm="1">
        <f t="array" ref="D14">SUMPRODUCT(Table2[Space heating demand (MWh)],Table2[Stock],--(Table2[Subsector]=$B14),--(Table2[Heating]="Oil boiler"))/1000</f>
        <v>719.20396683785111</v>
      </c>
      <c r="E14" s="15" cm="1">
        <f t="array" ref="E14">SUMPRODUCT(Table2[Hot water demand (MWh)],Table2[Stock],--(Table2[Subsector]=$B14),--(Table2[Heating]="Oil boiler"))/1000</f>
        <v>437.88355758212907</v>
      </c>
      <c r="F14" s="15" cm="1">
        <f t="array" ref="F14">SUMPRODUCT(Table2[Cooling consumption (MWh)],Table2[Stock],--(Table2[Subsector]=$B14),--(Table2[Heating]="Oil boiler"))/1000</f>
        <v>69.255268430224064</v>
      </c>
      <c r="G14" s="15" cm="1">
        <f t="array" ref="G14">SUMPRODUCT(Table2[Electricity consumption (MWh)],Table2[Stock],--(Table2[Subsector]=$B14),--(Table2[Heating]="Oil boiler"))/1000</f>
        <v>214.16424042846594</v>
      </c>
    </row>
    <row r="15" spans="1:14" outlineLevel="1">
      <c r="B15" t="s">
        <v>24</v>
      </c>
      <c r="C15" t="s">
        <v>18</v>
      </c>
      <c r="D15" s="15" cm="1">
        <f t="array" ref="D15">SUMPRODUCT(Table2[Space heating demand (MWh)],Table2[Stock],--(Table2[Subsector]=$B15),--(Table2[Heating]="Electric heating"))/1000</f>
        <v>195.42806038654658</v>
      </c>
      <c r="E15" s="15" cm="1">
        <f t="array" ref="E15">SUMPRODUCT(Table2[Hot water demand (MWh)],Table2[Stock],--(Table2[Subsector]=$B15),--(Table2[Heating]="Electric heating"))/1000</f>
        <v>27.661957486497787</v>
      </c>
      <c r="F15" s="15" cm="1">
        <f t="array" ref="F15">SUMPRODUCT(Table2[Cooling consumption (MWh)],Table2[Stock],--(Table2[Subsector]=$B15),--(Table2[Heating]="Electric heating"))/1000</f>
        <v>76.026897496810264</v>
      </c>
      <c r="G15" s="15" cm="1">
        <f t="array" ref="G15">SUMPRODUCT(Table2[Electricity consumption (MWh)],Table2[Stock],--(Table2[Subsector]=$B15),--(Table2[Heating]="Electric heating"))/1000</f>
        <v>257.13998659692305</v>
      </c>
    </row>
    <row r="16" spans="1:14" outlineLevel="1">
      <c r="B16" t="s">
        <v>24</v>
      </c>
      <c r="C16" t="s">
        <v>19</v>
      </c>
      <c r="D16" s="15" cm="1">
        <f t="array" ref="D16">SUMPRODUCT(Table2[Space heating demand (MWh)],Table2[Stock],--(Table2[Subsector]=$B16),--(Table2[Heating]="Gas boiler"))/1000</f>
        <v>1326.8745221985232</v>
      </c>
      <c r="E16" s="15" cm="1">
        <f t="array" ref="E16">SUMPRODUCT(Table2[Hot water demand (MWh)],Table2[Stock],--(Table2[Subsector]=$B16),--(Table2[Heating]="Gas boiler"))/1000</f>
        <v>791.72871398110499</v>
      </c>
      <c r="F16" s="15" cm="1">
        <f t="array" ref="F16">SUMPRODUCT(Table2[Cooling consumption (MWh)],Table2[Stock],--(Table2[Subsector]=$B16),--(Table2[Heating]="Gas boiler"))/1000</f>
        <v>492.03769629273478</v>
      </c>
      <c r="G16" s="15" cm="1">
        <f t="array" ref="G16">SUMPRODUCT(Table2[Electricity consumption (MWh)],Table2[Stock],--(Table2[Subsector]=$B16),--(Table2[Heating]="Gas boiler"))/1000</f>
        <v>2701.7824623102279</v>
      </c>
    </row>
    <row r="17" spans="1:8" outlineLevel="1">
      <c r="B17" t="s">
        <v>24</v>
      </c>
      <c r="C17" t="s">
        <v>20</v>
      </c>
      <c r="D17" s="15" cm="1">
        <f t="array" ref="D17">SUMPRODUCT(Table2[Space heating demand (MWh)],Table2[Stock],--(Table2[Subsector]=$B17),--(Table2[Heating]="Oil boiler"))/1000</f>
        <v>1002.5277061733696</v>
      </c>
      <c r="E17" s="15" cm="1">
        <f t="array" ref="E17">SUMPRODUCT(Table2[Hot water demand (MWh)],Table2[Stock],--(Table2[Subsector]=$B17),--(Table2[Heating]="Oil boiler"))/1000</f>
        <v>198.81986277013897</v>
      </c>
      <c r="F17" s="15" cm="1">
        <f t="array" ref="F17">SUMPRODUCT(Table2[Cooling consumption (MWh)],Table2[Stock],--(Table2[Subsector]=$B17),--(Table2[Heating]="Oil boiler"))/1000</f>
        <v>0</v>
      </c>
      <c r="G17" s="15" cm="1">
        <f t="array" ref="G17">SUMPRODUCT(Table2[Electricity consumption (MWh)],Table2[Stock],--(Table2[Subsector]=$B17),--(Table2[Heating]="Oil boiler"))/1000</f>
        <v>744.10111883008528</v>
      </c>
    </row>
    <row r="18" spans="1:8" outlineLevel="1">
      <c r="B18" t="s">
        <v>25</v>
      </c>
      <c r="C18" t="s">
        <v>18</v>
      </c>
      <c r="D18" s="15" cm="1">
        <f t="array" ref="D18">SUMPRODUCT(Table2[Space heating demand (MWh)],Table2[Stock],--(Table2[Subsector]=$B18),--(Table2[Heating]="Electric heating"))/1000</f>
        <v>0</v>
      </c>
      <c r="E18" s="15" cm="1">
        <f t="array" ref="E18">SUMPRODUCT(Table2[Hot water demand (MWh)],Table2[Stock],--(Table2[Subsector]=$B18),--(Table2[Heating]="Electric heating"))/1000</f>
        <v>70.104178832978974</v>
      </c>
      <c r="F18" s="15" cm="1">
        <f t="array" ref="F18">SUMPRODUCT(Table2[Cooling consumption (MWh)],Table2[Stock],--(Table2[Subsector]=$B18),--(Table2[Heating]="Electric heating"))/1000</f>
        <v>92.85416158752659</v>
      </c>
      <c r="G18" s="16" cm="1">
        <f t="array" ref="G18">SUMPRODUCT(Table2[Electricity consumption (MWh)],Table2[Stock],--(Table2[Subsector]=$B18),--(Table2[Heating]="Electric heating"))/1000</f>
        <v>138.92465957949446</v>
      </c>
      <c r="H18" s="3"/>
    </row>
    <row r="19" spans="1:8" outlineLevel="1">
      <c r="B19" t="s">
        <v>25</v>
      </c>
      <c r="C19" t="s">
        <v>20</v>
      </c>
      <c r="D19" s="15" cm="1">
        <f t="array" ref="D19">SUMPRODUCT(Table2[Space heating demand (MWh)],Table2[Stock],--(Table2[Subsector]=$B19),--(Table2[Heating]="Oil boiler"))/1000</f>
        <v>545.692068306539</v>
      </c>
      <c r="E19" s="15" cm="1">
        <f t="array" ref="E19">SUMPRODUCT(Table2[Hot water demand (MWh)],Table2[Stock],--(Table2[Subsector]=$B19),--(Table2[Heating]="Oil boiler"))/1000</f>
        <v>0</v>
      </c>
      <c r="F19" s="15" cm="1">
        <f t="array" ref="F19">SUMPRODUCT(Table2[Cooling consumption (MWh)],Table2[Stock],--(Table2[Subsector]=$B19),--(Table2[Heating]="Oil boiler"))/1000</f>
        <v>0</v>
      </c>
      <c r="G19" s="16" cm="1">
        <f t="array" ref="G19">SUMPRODUCT(Table2[Electricity consumption (MWh)],Table2[Stock],--(Table2[Subsector]=$B19),--(Table2[Heating]="Oil boiler"))/1000</f>
        <v>54.882774074074071</v>
      </c>
    </row>
    <row r="20" spans="1:8" outlineLevel="1">
      <c r="A20" s="36" t="s">
        <v>26</v>
      </c>
      <c r="B20" t="s">
        <v>27</v>
      </c>
      <c r="C20" t="s">
        <v>28</v>
      </c>
      <c r="D20" s="15" cm="1">
        <f t="array" ref="D20">SUMPRODUCT(Table2[Space heating demand (MWh)],Table2[Stock],--(Table2[Subsector]=$B20),--(Table2[Fuel (industrial)]=$C20))/1000</f>
        <v>1632.9156909296141</v>
      </c>
      <c r="E20" s="15">
        <v>0</v>
      </c>
      <c r="F20" s="15">
        <v>0</v>
      </c>
      <c r="G20" s="15">
        <v>0</v>
      </c>
    </row>
    <row r="21" spans="1:8" outlineLevel="1">
      <c r="A21" s="36" t="s">
        <v>26</v>
      </c>
      <c r="B21" t="s">
        <v>27</v>
      </c>
      <c r="C21" t="s">
        <v>29</v>
      </c>
      <c r="D21" s="15" cm="1">
        <f t="array" ref="D21">SUMPRODUCT(Table2[Space heating demand (MWh)],Table2[Stock],--(Table2[Subsector]=$B21),--(Table2[Fuel (industrial)]=$C21))/1000</f>
        <v>423.08559460644545</v>
      </c>
      <c r="E21" s="15">
        <v>0</v>
      </c>
      <c r="F21" s="15">
        <v>0</v>
      </c>
      <c r="G21" s="15">
        <v>0</v>
      </c>
    </row>
    <row r="22" spans="1:8" outlineLevel="1">
      <c r="A22" s="36" t="s">
        <v>26</v>
      </c>
      <c r="B22" t="s">
        <v>27</v>
      </c>
      <c r="C22" t="s">
        <v>19</v>
      </c>
      <c r="D22" s="15" cm="1">
        <f t="array" ref="D22">SUMPRODUCT(Table2[Space heating demand (MWh)],Table2[Stock],--(Table2[Subsector]=$B22),--(Table2[Fuel (industrial)]=$C22))/1000</f>
        <v>10954.23091747356</v>
      </c>
      <c r="E22" s="15">
        <v>0</v>
      </c>
      <c r="F22" s="15">
        <v>0</v>
      </c>
      <c r="G22" s="15">
        <v>0</v>
      </c>
    </row>
    <row r="23" spans="1:8" outlineLevel="1">
      <c r="A23" s="36" t="s">
        <v>26</v>
      </c>
      <c r="B23" t="s">
        <v>27</v>
      </c>
      <c r="C23" t="s">
        <v>30</v>
      </c>
      <c r="D23" s="15" cm="1">
        <f t="array" ref="D23">SUMPRODUCT(Table2[Space heating demand (MWh)],Table2[Stock],--(Table2[Subsector]=$B23),--(Table2[Fuel (industrial)]=$C23))/1000</f>
        <v>590.43313371361614</v>
      </c>
      <c r="E23" s="15">
        <v>0</v>
      </c>
      <c r="F23" s="15">
        <v>0</v>
      </c>
      <c r="G23" s="15">
        <v>0</v>
      </c>
    </row>
    <row r="24" spans="1:8" outlineLevel="1">
      <c r="A24" s="36" t="s">
        <v>26</v>
      </c>
      <c r="B24" t="s">
        <v>27</v>
      </c>
      <c r="C24" t="s">
        <v>20</v>
      </c>
      <c r="D24" s="15" cm="1">
        <f t="array" ref="D24">SUMPRODUCT(Table2[Space heating demand (MWh)],Table2[Stock],--(Table2[Subsector]=$B24),--(Table2[Fuel (industrial)]=$C24))/1000</f>
        <v>1771.3828649833054</v>
      </c>
      <c r="E24" s="15">
        <v>0</v>
      </c>
      <c r="F24" s="15">
        <v>0</v>
      </c>
      <c r="G24" s="15">
        <v>0</v>
      </c>
    </row>
    <row r="25" spans="1:8" outlineLevel="1">
      <c r="A25" s="36" t="s">
        <v>26</v>
      </c>
      <c r="B25" t="s">
        <v>27</v>
      </c>
      <c r="C25" t="s">
        <v>31</v>
      </c>
      <c r="D25" s="15" cm="1">
        <f t="array" ref="D25">SUMPRODUCT(Table2[Space heating demand (MWh)],Table2[Stock],--(Table2[Subsector]=$B25),--(Table2[Fuel (industrial)]=$C25))/1000</f>
        <v>2114.3596537767089</v>
      </c>
      <c r="E25" s="15">
        <v>0</v>
      </c>
      <c r="F25" s="15">
        <v>0</v>
      </c>
      <c r="G25" s="15">
        <v>0</v>
      </c>
    </row>
    <row r="26" spans="1:8" outlineLevel="1">
      <c r="A26" s="36" t="s">
        <v>26</v>
      </c>
      <c r="B26" t="s">
        <v>27</v>
      </c>
      <c r="C26" t="s">
        <v>18</v>
      </c>
      <c r="D26" s="15">
        <v>0</v>
      </c>
      <c r="E26" s="15">
        <v>0</v>
      </c>
      <c r="F26" s="15" cm="1">
        <f t="array" ref="F26">SUMPRODUCT(Table2[Cooling consumption (MWh)],Table2[Stock],--(Table2[Subsector]="Industry"))/1000</f>
        <v>803.94959326775199</v>
      </c>
      <c r="G26" s="15" cm="1">
        <f t="array" ref="G26">SUMPRODUCT(Table2[Electricity consumption (MWh)],Table2[Stock],--(Table2[Subsector]="Industry"))/1000</f>
        <v>4515.1940199381424</v>
      </c>
    </row>
    <row r="27" spans="1:8" outlineLevel="1">
      <c r="D27" s="15"/>
      <c r="E27" s="15"/>
      <c r="F27" s="15"/>
      <c r="G27" s="16"/>
    </row>
    <row r="28" spans="1:8" ht="15.75" outlineLevel="1" thickBot="1">
      <c r="B28" s="38" t="s">
        <v>11</v>
      </c>
      <c r="C28" s="38" t="s">
        <v>12</v>
      </c>
      <c r="D28" s="38" t="s">
        <v>13</v>
      </c>
      <c r="E28" s="38" t="s">
        <v>14</v>
      </c>
      <c r="F28" s="38" t="s">
        <v>15</v>
      </c>
      <c r="G28" s="38" t="s">
        <v>16</v>
      </c>
    </row>
    <row r="29" spans="1:8" outlineLevel="1">
      <c r="B29" t="s">
        <v>17</v>
      </c>
      <c r="C29" t="s">
        <v>32</v>
      </c>
      <c r="D29" s="15">
        <f>SUMIFS(D$8:D$26,$B$8:$B$26,$B29)</f>
        <v>13514.96849152126</v>
      </c>
      <c r="E29" s="15">
        <f>SUMIFS(E$8:E$26,$B$8:$B$26,$B29)</f>
        <v>4836.6630889844864</v>
      </c>
      <c r="F29" s="15">
        <f>SUMIFS(F$8:F$26,$B$8:$B$26,$B29)</f>
        <v>0</v>
      </c>
      <c r="G29" s="15">
        <f>SUMIFS(G$8:G$26,$B$8:$B$26,$B29)</f>
        <v>7227.2407073505155</v>
      </c>
    </row>
    <row r="30" spans="1:8" outlineLevel="1">
      <c r="B30" t="s">
        <v>23</v>
      </c>
      <c r="C30" t="s">
        <v>32</v>
      </c>
      <c r="D30" s="15">
        <f t="shared" ref="D30:D33" si="0">SUMIFS(D$8:D$26,$B$8:$B$26,$B30)</f>
        <v>3898.6170518244644</v>
      </c>
      <c r="E30" s="15">
        <f t="shared" ref="E30:G33" si="1">SUMIFS(E$8:E$26,$B$8:$B$26,$B30)</f>
        <v>1778.6778367239481</v>
      </c>
      <c r="F30" s="15">
        <f t="shared" si="1"/>
        <v>5945.3279757388864</v>
      </c>
      <c r="G30" s="15">
        <f t="shared" si="1"/>
        <v>1610.6235478587978</v>
      </c>
    </row>
    <row r="31" spans="1:8" outlineLevel="1">
      <c r="B31" t="s">
        <v>24</v>
      </c>
      <c r="C31" t="s">
        <v>32</v>
      </c>
      <c r="D31" s="15">
        <f t="shared" si="0"/>
        <v>2524.8302887584396</v>
      </c>
      <c r="E31" s="15">
        <f t="shared" si="1"/>
        <v>1018.2105342377417</v>
      </c>
      <c r="F31" s="15">
        <f t="shared" si="1"/>
        <v>568.06459378954503</v>
      </c>
      <c r="G31" s="15">
        <f t="shared" si="1"/>
        <v>3703.0235677372361</v>
      </c>
    </row>
    <row r="32" spans="1:8" outlineLevel="1">
      <c r="B32" t="s">
        <v>25</v>
      </c>
      <c r="C32" t="s">
        <v>32</v>
      </c>
      <c r="D32" s="15">
        <f t="shared" si="0"/>
        <v>545.692068306539</v>
      </c>
      <c r="E32" s="15">
        <f t="shared" si="1"/>
        <v>70.104178832978974</v>
      </c>
      <c r="F32" s="15">
        <f t="shared" si="1"/>
        <v>92.85416158752659</v>
      </c>
      <c r="G32" s="15">
        <f t="shared" si="1"/>
        <v>193.80743365356852</v>
      </c>
    </row>
    <row r="33" spans="1:38" outlineLevel="1">
      <c r="B33" t="s">
        <v>27</v>
      </c>
      <c r="C33" t="s">
        <v>32</v>
      </c>
      <c r="D33" s="15">
        <f t="shared" si="0"/>
        <v>17486.407855483249</v>
      </c>
      <c r="E33" s="15">
        <f t="shared" si="1"/>
        <v>0</v>
      </c>
      <c r="F33" s="15">
        <f t="shared" si="1"/>
        <v>803.94959326775199</v>
      </c>
      <c r="G33" s="15">
        <f t="shared" si="1"/>
        <v>4515.1940199381424</v>
      </c>
    </row>
    <row r="34" spans="1:38" outlineLevel="1">
      <c r="B34" s="27"/>
      <c r="D34" s="15"/>
      <c r="E34" s="15"/>
      <c r="F34" s="15"/>
      <c r="G34" s="16"/>
    </row>
    <row r="35" spans="1:38" outlineLevel="1">
      <c r="B35" s="27" t="s">
        <v>33</v>
      </c>
      <c r="D35" s="15"/>
      <c r="E35" s="15"/>
      <c r="F35" s="15"/>
      <c r="G35" s="16"/>
    </row>
    <row r="36" spans="1:38" outlineLevel="1">
      <c r="B36" s="27" t="s">
        <v>34</v>
      </c>
    </row>
    <row r="38" spans="1:38" ht="18" thickBot="1">
      <c r="B38" s="8" t="s">
        <v>35</v>
      </c>
      <c r="C38" s="8"/>
      <c r="D38" s="8"/>
      <c r="E38" s="8"/>
      <c r="F38" s="8"/>
      <c r="G38" s="8"/>
      <c r="J38" s="37"/>
      <c r="U38" s="27"/>
    </row>
    <row r="39" spans="1:38" ht="15.6" customHeight="1" thickTop="1">
      <c r="U39" s="84"/>
      <c r="V39" s="84"/>
      <c r="W39" s="84"/>
      <c r="X39" s="84"/>
      <c r="Y39" s="84"/>
      <c r="Z39" s="70"/>
      <c r="AA39" s="70"/>
      <c r="AB39" s="84"/>
      <c r="AC39" s="84"/>
      <c r="AD39" s="84"/>
      <c r="AE39" s="84"/>
      <c r="AF39" s="84"/>
      <c r="AG39" s="83"/>
      <c r="AH39" s="83"/>
      <c r="AI39" s="83"/>
      <c r="AJ39" s="83"/>
      <c r="AK39" s="83"/>
    </row>
    <row r="40" spans="1:38" ht="15.75" outlineLevel="1" thickBot="1">
      <c r="B40" s="9" t="s">
        <v>11</v>
      </c>
      <c r="C40" s="9" t="s">
        <v>12</v>
      </c>
      <c r="D40" s="9" t="s">
        <v>36</v>
      </c>
      <c r="E40" s="9" t="s">
        <v>37</v>
      </c>
      <c r="F40" s="9" t="s">
        <v>38</v>
      </c>
      <c r="G40" s="9" t="s">
        <v>39</v>
      </c>
      <c r="J40" s="70"/>
      <c r="K40" s="70"/>
      <c r="L40" s="70"/>
      <c r="M40" s="70"/>
      <c r="N40" s="70"/>
      <c r="O40" s="70"/>
      <c r="P40" s="71"/>
      <c r="Q40" s="71"/>
      <c r="R40" s="71"/>
      <c r="S40" s="71"/>
      <c r="T40" s="71"/>
      <c r="U40" s="72"/>
      <c r="V40" s="72"/>
      <c r="W40" s="72"/>
      <c r="X40" s="72"/>
      <c r="Y40" s="73"/>
      <c r="Z40" s="73"/>
      <c r="AA40" s="72"/>
      <c r="AB40" s="72"/>
      <c r="AC40" s="72"/>
      <c r="AD40" s="72"/>
      <c r="AE40" s="72"/>
      <c r="AF40" s="72"/>
      <c r="AG40" s="74"/>
      <c r="AH40" s="74"/>
      <c r="AI40" s="74"/>
      <c r="AJ40" s="74"/>
      <c r="AK40" s="74"/>
    </row>
    <row r="41" spans="1:38" outlineLevel="1">
      <c r="B41" s="3" t="s">
        <v>17</v>
      </c>
      <c r="C41" t="s">
        <v>18</v>
      </c>
      <c r="D41" s="15" cm="1">
        <f t="array" ref="D41">SUMPRODUCT(Table2[Space heating fuel use (MWh)],Table2[Stock],--(Table2[Subsector]=$B41),--(Table2[Heating]="Electric heating"))/1000</f>
        <v>786.03340300897992</v>
      </c>
      <c r="E41" s="15" cm="1">
        <f t="array" ref="E41">SUMPRODUCT(Table2[Hot water fuel use (MWh)],Table2[Stock],--(Table2[Subsector]=$B41),--(Table2[Heating]="Electric heating"))/1000</f>
        <v>325.28696036060103</v>
      </c>
      <c r="F41" s="16">
        <v>0</v>
      </c>
      <c r="G41" s="15" cm="1">
        <f t="array" ref="G41">SUMPRODUCT(Table2[Other electricity fuel use (MWh)],Table2[Stock],--(Table2[Subsector]=$B41),--(Table2[Heating]="Electric heating"))/1000</f>
        <v>704.67006319128245</v>
      </c>
      <c r="J41" s="75"/>
      <c r="K41" s="68"/>
      <c r="L41" s="68"/>
      <c r="M41" s="68"/>
      <c r="N41" s="68"/>
      <c r="O41" s="68"/>
      <c r="P41" s="69"/>
      <c r="Q41" s="69"/>
      <c r="R41" s="69"/>
      <c r="S41" s="69"/>
      <c r="T41" s="69"/>
      <c r="U41" s="68"/>
      <c r="V41" s="68"/>
      <c r="W41" s="68"/>
      <c r="X41" s="68"/>
      <c r="Y41" s="68"/>
      <c r="Z41" s="68"/>
      <c r="AA41" s="68"/>
      <c r="AB41" s="68"/>
      <c r="AC41" s="68"/>
      <c r="AD41" s="68"/>
      <c r="AE41" s="68"/>
      <c r="AF41" s="68"/>
      <c r="AG41" s="76"/>
      <c r="AH41" s="76"/>
      <c r="AI41" s="76"/>
      <c r="AJ41" s="76"/>
      <c r="AK41" s="76"/>
    </row>
    <row r="42" spans="1:38" outlineLevel="1">
      <c r="B42" s="3" t="s">
        <v>17</v>
      </c>
      <c r="C42" t="s">
        <v>19</v>
      </c>
      <c r="D42" s="15" cm="1">
        <f t="array" ref="D42">SUMPRODUCT(Table2[Space heating fuel use (MWh)],Table2[Stock],--(Table2[Subsector]=$B42),--(Table2[Heating]="Gas boiler"))/1000</f>
        <v>5144.4461141627817</v>
      </c>
      <c r="E42" s="15" cm="1">
        <f t="array" ref="E42">SUMPRODUCT(Table2[Hot water fuel use (MWh)],Table2[Stock],--(Table2[Subsector]=$B42),--(Table2[Heating]="Gas boiler"))/1000</f>
        <v>1909.1708481029325</v>
      </c>
      <c r="F42" s="16">
        <v>0</v>
      </c>
      <c r="G42" s="15" cm="1">
        <f t="array" ref="G42">SUMPRODUCT(Table2[Other electricity fuel use (MWh)],Table2[Stock],--(Table2[Subsector]=$B42),--(Table2[Heating]="Gas boiler"))/1000</f>
        <v>2473.7385041241928</v>
      </c>
      <c r="J42" s="75"/>
      <c r="K42" s="68"/>
      <c r="L42" s="68"/>
      <c r="M42" s="68"/>
      <c r="N42" s="68"/>
      <c r="O42" s="68"/>
      <c r="P42" s="69"/>
      <c r="Q42" s="69"/>
      <c r="R42" s="69"/>
      <c r="S42" s="69"/>
      <c r="T42" s="69"/>
      <c r="U42" s="68"/>
      <c r="V42" s="68"/>
      <c r="W42" s="68"/>
      <c r="X42" s="68"/>
      <c r="Y42" s="68"/>
      <c r="Z42" s="68"/>
      <c r="AA42" s="68"/>
      <c r="AB42" s="68"/>
      <c r="AC42" s="68"/>
      <c r="AD42" s="68"/>
      <c r="AE42" s="68"/>
      <c r="AF42" s="68"/>
      <c r="AG42" s="76"/>
      <c r="AH42" s="76"/>
      <c r="AI42" s="76"/>
      <c r="AJ42" s="76"/>
      <c r="AK42" s="76"/>
    </row>
    <row r="43" spans="1:38" outlineLevel="1">
      <c r="B43" s="3" t="s">
        <v>17</v>
      </c>
      <c r="C43" t="s">
        <v>20</v>
      </c>
      <c r="D43" s="15" cm="1">
        <f t="array" ref="D43">SUMPRODUCT(Table2[Space heating fuel use (MWh)],Table2[Stock],--(Table2[Subsector]=$B43),--(Table2[Heating]="Oil boiler"))/1000</f>
        <v>10904.01313383878</v>
      </c>
      <c r="E43" s="15" cm="1">
        <f t="array" ref="E43">SUMPRODUCT(Table2[Hot water fuel use (MWh)],Table2[Stock],--(Table2[Subsector]=$B43),--(Table2[Heating]="Oil boiler"))/1000</f>
        <v>2977.9329660167223</v>
      </c>
      <c r="F43" s="16">
        <v>0</v>
      </c>
      <c r="G43" s="15" cm="1">
        <f t="array" ref="G43">SUMPRODUCT(Table2[Other electricity fuel use (MWh)],Table2[Stock],--(Table2[Subsector]=$B43),--(Table2[Heating]="Oil boiler"))/1000</f>
        <v>3144.3455711665429</v>
      </c>
      <c r="J43" s="75"/>
      <c r="K43" s="68"/>
      <c r="L43" s="68"/>
      <c r="M43" s="68"/>
      <c r="N43" s="68"/>
      <c r="O43" s="68"/>
      <c r="P43" s="69"/>
      <c r="Q43" s="69"/>
      <c r="R43" s="69"/>
      <c r="S43" s="69"/>
      <c r="T43" s="69"/>
      <c r="U43" s="68"/>
      <c r="V43" s="68"/>
      <c r="W43" s="68"/>
      <c r="X43" s="68"/>
      <c r="Y43" s="68"/>
      <c r="Z43" s="68"/>
      <c r="AA43" s="68"/>
      <c r="AB43" s="68"/>
      <c r="AC43" s="68"/>
      <c r="AD43" s="68"/>
      <c r="AE43" s="68"/>
      <c r="AF43" s="68"/>
      <c r="AG43" s="76"/>
      <c r="AH43" s="76"/>
      <c r="AI43" s="76"/>
      <c r="AJ43" s="76"/>
      <c r="AK43" s="76"/>
      <c r="AL43" s="27"/>
    </row>
    <row r="44" spans="1:38" outlineLevel="1">
      <c r="B44" s="3" t="s">
        <v>17</v>
      </c>
      <c r="C44" t="s">
        <v>21</v>
      </c>
      <c r="D44" s="15" cm="1">
        <f t="array" ref="D44">SUMPRODUCT(Table2[Space heating fuel use (MWh)],Table2[Stock],--(Table2[Subsector]=$B44),--(Table2[Heating]="Solid boiler"))/1000</f>
        <v>3570.6108094659417</v>
      </c>
      <c r="E44" s="15" cm="1">
        <f t="array" ref="E44">SUMPRODUCT(Table2[Hot water fuel use (MWh)],Table2[Stock],--(Table2[Subsector]=$B44),--(Table2[Heating]="Solid boiler"))/1000</f>
        <v>707.80235226118066</v>
      </c>
      <c r="F44" s="16">
        <v>0</v>
      </c>
      <c r="G44" s="15" cm="1">
        <f t="array" ref="G44">SUMPRODUCT(Table2[Other electricity fuel use (MWh)],Table2[Stock],--(Table2[Subsector]=$B44),--(Table2[Heating]="Solid boiler"))/1000</f>
        <v>904.48656886849767</v>
      </c>
      <c r="J44" s="75"/>
      <c r="K44" s="68"/>
      <c r="L44" s="68"/>
      <c r="M44" s="68"/>
      <c r="N44" s="68"/>
      <c r="O44" s="68"/>
      <c r="P44" s="69"/>
      <c r="Q44" s="69"/>
      <c r="R44" s="69"/>
      <c r="S44" s="69"/>
      <c r="T44" s="69"/>
      <c r="U44" s="68"/>
      <c r="V44" s="68"/>
      <c r="W44" s="68"/>
      <c r="X44" s="68"/>
      <c r="Y44" s="68"/>
      <c r="Z44" s="68"/>
      <c r="AA44" s="68"/>
      <c r="AB44" s="68"/>
      <c r="AC44" s="68"/>
      <c r="AD44" s="68"/>
      <c r="AE44" s="68"/>
      <c r="AF44" s="68"/>
      <c r="AG44" s="76"/>
      <c r="AH44" s="76"/>
      <c r="AI44" s="76"/>
      <c r="AJ44" s="76"/>
      <c r="AK44" s="76"/>
    </row>
    <row r="45" spans="1:38" outlineLevel="1">
      <c r="A45" s="36" t="s">
        <v>22</v>
      </c>
      <c r="B45" t="s">
        <v>23</v>
      </c>
      <c r="C45" t="s">
        <v>18</v>
      </c>
      <c r="D45" s="15" cm="1">
        <f t="array" ref="D45">SUMPRODUCT(Table2[Space heating fuel use (MWh)],Table2[Stock],--(Table2[Subsector]=$B45),--(Table2[Heating]="Electric heating"))/1000</f>
        <v>1634.3465024751736</v>
      </c>
      <c r="E45" s="15" cm="1">
        <f t="array" ref="E45">SUMPRODUCT(Table2[Hot water fuel use (MWh)],Table2[Stock],--(Table2[Subsector]=$B45),--(Table2[Heating]="Electric heating"))/1000</f>
        <v>240.45593383993486</v>
      </c>
      <c r="F45" s="15" cm="1">
        <f t="array" ref="F45">SUMPRODUCT(Table2[Cooling fuel use (MWh)],Table2[Stock],--(Table2[Subsector]=$B45),--(Table2[Heating]="Electric heating"))/1000</f>
        <v>1326.6603357107247</v>
      </c>
      <c r="G45" s="15" cm="1">
        <f t="array" ref="G45">SUMPRODUCT(Table2[Other electricity fuel use (MWh)],Table2[Stock],--(Table2[Subsector]=$B45),--(Table2[Heating]="Electric heating"))/1000</f>
        <v>784.36459925354586</v>
      </c>
      <c r="K45" s="77"/>
      <c r="L45" s="77"/>
      <c r="M45" s="77"/>
      <c r="N45" s="77"/>
      <c r="O45" s="77"/>
    </row>
    <row r="46" spans="1:38" outlineLevel="1">
      <c r="A46" s="36" t="s">
        <v>22</v>
      </c>
      <c r="B46" t="s">
        <v>23</v>
      </c>
      <c r="C46" t="s">
        <v>19</v>
      </c>
      <c r="D46" s="15" cm="1">
        <f t="array" ref="D46">SUMPRODUCT(Table2[Space heating fuel use (MWh)],Table2[Stock],--(Table2[Subsector]=$B46),--(Table2[Heating]="Gas boiler"))/1000</f>
        <v>1410.9719629095321</v>
      </c>
      <c r="E46" s="15" cm="1">
        <f t="array" ref="E46">SUMPRODUCT(Table2[Hot water fuel use (MWh)],Table2[Stock],--(Table2[Subsector]=$B46),--(Table2[Heating]="Gas boiler"))/1000</f>
        <v>1097.305896482279</v>
      </c>
      <c r="F46" s="15" cm="1">
        <f t="array" ref="F46">SUMPRODUCT(Table2[Cooling fuel use (MWh)],Table2[Stock],--(Table2[Subsector]=$B46),--(Table2[Heating]="Gas boiler"))/1000</f>
        <v>1508.2798087205576</v>
      </c>
      <c r="G46" s="15" cm="1">
        <f t="array" ref="G46">SUMPRODUCT(Table2[Other electricity fuel use (MWh)],Table2[Stock],--(Table2[Subsector]=$B46),--(Table2[Heating]="Gas boiler"))/1000</f>
        <v>612.09470817678573</v>
      </c>
      <c r="J46" s="82"/>
      <c r="K46" s="85"/>
      <c r="L46" s="85"/>
      <c r="M46" s="78"/>
      <c r="N46" s="86"/>
      <c r="O46" s="77"/>
    </row>
    <row r="47" spans="1:38" outlineLevel="1">
      <c r="A47" s="36" t="s">
        <v>22</v>
      </c>
      <c r="B47" t="s">
        <v>23</v>
      </c>
      <c r="C47" t="s">
        <v>20</v>
      </c>
      <c r="D47" s="15" cm="1">
        <f t="array" ref="D47">SUMPRODUCT(Table2[Space heating fuel use (MWh)],Table2[Stock],--(Table2[Subsector]=$B47),--(Table2[Heating]="Oil boiler"))/1000</f>
        <v>945.98182804249461</v>
      </c>
      <c r="E47" s="15" cm="1">
        <f t="array" ref="E47">SUMPRODUCT(Table2[Hot water fuel use (MWh)],Table2[Stock],--(Table2[Subsector]=$B47),--(Table2[Heating]="Oil boiler"))/1000</f>
        <v>544.55424522700014</v>
      </c>
      <c r="F47" s="15" cm="1">
        <f t="array" ref="F47">SUMPRODUCT(Table2[Cooling fuel use (MWh)],Table2[Stock],--(Table2[Subsector]=$B47),--(Table2[Heating]="Oil boiler"))/1000</f>
        <v>33.526617517497897</v>
      </c>
      <c r="G47" s="15" cm="1">
        <f t="array" ref="G47">SUMPRODUCT(Table2[Other electricity fuel use (MWh)],Table2[Stock],--(Table2[Subsector]=$B47),--(Table2[Heating]="Oil boiler"))/1000</f>
        <v>214.16424042846589</v>
      </c>
      <c r="H47" s="3"/>
      <c r="J47" s="82"/>
      <c r="N47" s="86"/>
    </row>
    <row r="48" spans="1:38" outlineLevel="1">
      <c r="B48" t="s">
        <v>24</v>
      </c>
      <c r="C48" t="s">
        <v>18</v>
      </c>
      <c r="D48" s="15" cm="1">
        <f t="array" ref="D48">SUMPRODUCT(Table2[Space heating fuel use (MWh)],Table2[Stock],--(Table2[Subsector]=$B48),--(Table2[Heating]="Electric heating"))/1000</f>
        <v>156.22233773708379</v>
      </c>
      <c r="E48" s="15" cm="1">
        <f t="array" ref="E48">SUMPRODUCT(Table2[Hot water fuel use (MWh)],Table2[Stock],--(Table2[Subsector]=$B48),--(Table2[Heating]="Electric heating"))/1000</f>
        <v>20.286893965065939</v>
      </c>
      <c r="F48" s="15" cm="1">
        <f t="array" ref="F48">SUMPRODUCT(Table2[Cooling fuel use (MWh)],Table2[Stock],--(Table2[Subsector]=$B48),--(Table2[Heating]="Electric heating"))/1000</f>
        <v>31.204129415805415</v>
      </c>
      <c r="G48" s="15" cm="1">
        <f t="array" ref="G48">SUMPRODUCT(Table2[Other electricity fuel use (MWh)],Table2[Stock],--(Table2[Subsector]=$B48),--(Table2[Heating]="Electric heating"))/1000</f>
        <v>257.13998659692305</v>
      </c>
      <c r="H48" s="3"/>
      <c r="J48" s="27"/>
      <c r="K48" s="77"/>
      <c r="L48" s="77"/>
      <c r="M48" s="77"/>
      <c r="N48" s="79"/>
    </row>
    <row r="49" spans="1:15" outlineLevel="1">
      <c r="B49" t="s">
        <v>24</v>
      </c>
      <c r="C49" t="s">
        <v>19</v>
      </c>
      <c r="D49" s="15" cm="1">
        <f t="array" ref="D49">SUMPRODUCT(Table2[Space heating fuel use (MWh)],Table2[Stock],--(Table2[Subsector]=$B49),--(Table2[Heating]="Gas boiler"))/1000</f>
        <v>1495.9067087950277</v>
      </c>
      <c r="E49" s="15" cm="1">
        <f t="array" ref="E49">SUMPRODUCT(Table2[Hot water fuel use (MWh)],Table2[Stock],--(Table2[Subsector]=$B49),--(Table2[Heating]="Gas boiler"))/1000</f>
        <v>835.51156085554805</v>
      </c>
      <c r="F49" s="15" cm="1">
        <f t="array" ref="F49">SUMPRODUCT(Table2[Cooling fuel use (MWh)],Table2[Stock],--(Table2[Subsector]=$B49),--(Table2[Heating]="Gas boiler"))/1000</f>
        <v>189.90666710172658</v>
      </c>
      <c r="G49" s="15" cm="1">
        <f t="array" ref="G49">SUMPRODUCT(Table2[Other electricity fuel use (MWh)],Table2[Stock],--(Table2[Subsector]=$B49),--(Table2[Heating]="Gas boiler"))/1000</f>
        <v>2701.7824623102283</v>
      </c>
      <c r="H49" s="3"/>
      <c r="J49" s="27"/>
      <c r="K49" s="77"/>
      <c r="L49" s="77"/>
      <c r="M49" s="77"/>
      <c r="N49" s="79"/>
    </row>
    <row r="50" spans="1:15" outlineLevel="1">
      <c r="B50" t="s">
        <v>24</v>
      </c>
      <c r="C50" t="s">
        <v>20</v>
      </c>
      <c r="D50" s="15" cm="1">
        <f t="array" ref="D50">SUMPRODUCT(Table2[Space heating fuel use (MWh)],Table2[Stock],--(Table2[Subsector]=$B50),--(Table2[Heating]="Oil boiler"))/1000</f>
        <v>1407.3137069106922</v>
      </c>
      <c r="E50" s="15" cm="1">
        <f t="array" ref="E50">SUMPRODUCT(Table2[Hot water fuel use (MWh)],Table2[Stock],--(Table2[Subsector]=$B50),--(Table2[Heating]="Oil boiler"))/1000</f>
        <v>260.14837223476496</v>
      </c>
      <c r="F50" s="15" cm="1">
        <f t="array" ref="F50">SUMPRODUCT(Table2[Cooling fuel use (MWh)],Table2[Stock],--(Table2[Subsector]=$B50),--(Table2[Heating]="Oil boiler"))/1000</f>
        <v>0</v>
      </c>
      <c r="G50" s="15" cm="1">
        <f t="array" ref="G50">SUMPRODUCT(Table2[Other electricity fuel use (MWh)],Table2[Stock],--(Table2[Subsector]=$B50),--(Table2[Heating]="Oil boiler"))/1000</f>
        <v>744.10111883008528</v>
      </c>
      <c r="H50" s="3"/>
    </row>
    <row r="51" spans="1:15" outlineLevel="1">
      <c r="B51" t="s">
        <v>25</v>
      </c>
      <c r="C51" t="s">
        <v>18</v>
      </c>
      <c r="D51" s="15">
        <v>0</v>
      </c>
      <c r="E51" s="15">
        <v>70.104178832978974</v>
      </c>
      <c r="F51" s="16">
        <v>92.85416158752659</v>
      </c>
      <c r="G51" s="15">
        <v>138.924659579494</v>
      </c>
      <c r="H51" s="3"/>
    </row>
    <row r="52" spans="1:15" outlineLevel="1">
      <c r="B52" t="s">
        <v>25</v>
      </c>
      <c r="C52" t="s">
        <v>20</v>
      </c>
      <c r="D52" s="15" cm="1">
        <f t="array" ref="D52">SUMPRODUCT(Table2[Space heating fuel use (MWh)],Table2[Stock],--(Table2[Subsector]=$B52),--(Table2[Heating]="Oil boiler"))/1000</f>
        <v>718.01587935070927</v>
      </c>
      <c r="E52" s="15">
        <v>0</v>
      </c>
      <c r="F52" s="16">
        <v>0</v>
      </c>
      <c r="G52" s="15">
        <v>54.882774074074071</v>
      </c>
      <c r="H52" s="3"/>
    </row>
    <row r="53" spans="1:15" outlineLevel="1">
      <c r="A53" s="36" t="s">
        <v>26</v>
      </c>
      <c r="B53" t="s">
        <v>27</v>
      </c>
      <c r="C53" t="s">
        <v>28</v>
      </c>
      <c r="D53" s="33" cm="1">
        <f t="array" ref="D53">SUMPRODUCT(Table2[Space heating fuel use (MWh)],Table2[Stock],--(Table2[Subsector]="Industry"),--(Table2[Fuel (industrial)]=$C53))/1000</f>
        <v>1817.0285763830145</v>
      </c>
      <c r="E53" s="15">
        <v>0</v>
      </c>
      <c r="F53" s="15">
        <v>0</v>
      </c>
      <c r="G53" s="15">
        <v>0</v>
      </c>
      <c r="H53" s="3"/>
    </row>
    <row r="54" spans="1:15" outlineLevel="1">
      <c r="A54" s="36" t="s">
        <v>26</v>
      </c>
      <c r="B54" t="s">
        <v>27</v>
      </c>
      <c r="C54" t="s">
        <v>29</v>
      </c>
      <c r="D54" s="33" cm="1">
        <f t="array" ref="D54">SUMPRODUCT(Table2[Space heating fuel use (MWh)],Table2[Stock],--(Table2[Subsector]="Industry"),--(Table2[Fuel (industrial)]=$C54))/1000</f>
        <v>469.78191717349046</v>
      </c>
      <c r="E54" s="15">
        <v>0</v>
      </c>
      <c r="F54" s="15">
        <v>0</v>
      </c>
      <c r="G54" s="15">
        <v>0</v>
      </c>
      <c r="H54" s="3"/>
      <c r="K54" s="65"/>
      <c r="L54" s="65"/>
      <c r="M54" s="65"/>
      <c r="N54" s="65"/>
      <c r="O54" s="65"/>
    </row>
    <row r="55" spans="1:15" outlineLevel="1">
      <c r="A55" s="36" t="s">
        <v>26</v>
      </c>
      <c r="B55" t="s">
        <v>27</v>
      </c>
      <c r="C55" t="s">
        <v>19</v>
      </c>
      <c r="D55" s="33" cm="1">
        <f t="array" ref="D55">SUMPRODUCT(Table2[Space heating fuel use (MWh)],Table2[Stock],--(Table2[Subsector]="Industry"),--(Table2[Fuel (industrial)]=$C55))/1000</f>
        <v>15084.007009198558</v>
      </c>
      <c r="E55" s="15">
        <v>0</v>
      </c>
      <c r="F55" s="15">
        <v>0</v>
      </c>
      <c r="G55" s="15">
        <v>0</v>
      </c>
      <c r="K55" s="65"/>
      <c r="L55" s="65"/>
      <c r="M55" s="65"/>
      <c r="N55" s="65"/>
      <c r="O55" s="65"/>
    </row>
    <row r="56" spans="1:15" outlineLevel="1">
      <c r="A56" s="36" t="s">
        <v>26</v>
      </c>
      <c r="B56" t="s">
        <v>27</v>
      </c>
      <c r="C56" t="s">
        <v>30</v>
      </c>
      <c r="D56" s="33" cm="1">
        <f t="array" ref="D56">SUMPRODUCT(Table2[Space heating fuel use (MWh)],Table2[Stock],--(Table2[Subsector]="Industry"),--(Table2[Fuel (industrial)]=$C56))/1000</f>
        <v>655.59974873819249</v>
      </c>
      <c r="E56" s="15">
        <v>0</v>
      </c>
      <c r="F56" s="15">
        <v>0</v>
      </c>
      <c r="G56" s="15">
        <v>0</v>
      </c>
      <c r="K56" s="65"/>
      <c r="L56" s="65"/>
      <c r="M56" s="65"/>
      <c r="N56" s="65"/>
      <c r="O56" s="65"/>
    </row>
    <row r="57" spans="1:15" outlineLevel="1">
      <c r="A57" s="36" t="s">
        <v>26</v>
      </c>
      <c r="B57" t="s">
        <v>27</v>
      </c>
      <c r="C57" t="s">
        <v>20</v>
      </c>
      <c r="D57" s="33" cm="1">
        <f t="array" ref="D57">SUMPRODUCT(Table2[Space heating fuel use (MWh)],Table2[Stock],--(Table2[Subsector]="Industry"),--(Table2[Fuel (industrial)]=$C57))/1000</f>
        <v>2094.849918748554</v>
      </c>
      <c r="E57" s="15">
        <v>0</v>
      </c>
      <c r="F57" s="15">
        <v>0</v>
      </c>
      <c r="G57" s="15">
        <v>0</v>
      </c>
      <c r="K57" s="65"/>
      <c r="L57" s="65"/>
      <c r="M57" s="65"/>
      <c r="N57" s="65"/>
      <c r="O57" s="65"/>
    </row>
    <row r="58" spans="1:15" outlineLevel="1">
      <c r="A58" s="36" t="s">
        <v>26</v>
      </c>
      <c r="B58" t="s">
        <v>27</v>
      </c>
      <c r="C58" t="s">
        <v>31</v>
      </c>
      <c r="D58" s="33" cm="1">
        <f t="array" ref="D58">SUMPRODUCT(Table2[Space heating fuel use (MWh)],Table2[Stock],--(Table2[Subsector]="Industry"),--(Table2[Fuel (industrial)]=$C58))/1000</f>
        <v>2357.3567885714961</v>
      </c>
      <c r="E58" s="15">
        <v>0</v>
      </c>
      <c r="F58" s="15">
        <v>0</v>
      </c>
      <c r="G58" s="15">
        <v>0</v>
      </c>
      <c r="K58" s="65"/>
      <c r="L58" s="65"/>
      <c r="M58" s="65"/>
      <c r="N58" s="65"/>
      <c r="O58" s="65"/>
    </row>
    <row r="59" spans="1:15" outlineLevel="1">
      <c r="A59" s="36" t="s">
        <v>26</v>
      </c>
      <c r="B59" t="s">
        <v>27</v>
      </c>
      <c r="C59" t="s">
        <v>18</v>
      </c>
      <c r="D59" s="15">
        <v>0</v>
      </c>
      <c r="E59" s="15">
        <v>0</v>
      </c>
      <c r="F59" s="16" cm="1">
        <f t="array" ref="F59">SUMPRODUCT(Table2[Cooling fuel use (MWh)],Table2[Stock],--(Table2[Subsector]="Industry"))/1000</f>
        <v>803.94959326775199</v>
      </c>
      <c r="G59" s="15" cm="1">
        <f t="array" ref="G59">SUMPRODUCT(Table2[Other electricity fuel use (MWh)],Table2[Stock],--(Table2[Subsector]="Industry"))/1000</f>
        <v>4515.1940199381424</v>
      </c>
      <c r="K59" s="65"/>
      <c r="L59" s="65"/>
      <c r="M59" s="65"/>
      <c r="N59" s="65"/>
      <c r="O59" s="65"/>
    </row>
    <row r="60" spans="1:15" outlineLevel="1"/>
    <row r="61" spans="1:15" ht="15.75" outlineLevel="1" thickBot="1">
      <c r="B61" s="38" t="s">
        <v>11</v>
      </c>
      <c r="C61" s="38" t="s">
        <v>12</v>
      </c>
      <c r="D61" s="38" t="s">
        <v>36</v>
      </c>
      <c r="E61" s="38" t="s">
        <v>37</v>
      </c>
      <c r="F61" s="38" t="s">
        <v>38</v>
      </c>
      <c r="G61" s="38" t="s">
        <v>39</v>
      </c>
    </row>
    <row r="62" spans="1:15" outlineLevel="1">
      <c r="B62" t="s">
        <v>17</v>
      </c>
      <c r="C62" t="s">
        <v>32</v>
      </c>
      <c r="D62" s="15">
        <f>SUMIFS(D$41:D$59,$B$41:$B$59,$B62)</f>
        <v>20405.103460476486</v>
      </c>
      <c r="E62" s="15">
        <f t="shared" ref="E62:G62" si="2">SUMIFS(E$41:E$59,$B$41:$B$59,$B62)</f>
        <v>5920.1931267414366</v>
      </c>
      <c r="F62" s="15">
        <f t="shared" si="2"/>
        <v>0</v>
      </c>
      <c r="G62" s="15">
        <f t="shared" si="2"/>
        <v>7227.2407073505155</v>
      </c>
    </row>
    <row r="63" spans="1:15" outlineLevel="1">
      <c r="B63" t="s">
        <v>23</v>
      </c>
      <c r="C63" t="s">
        <v>32</v>
      </c>
      <c r="D63" s="15">
        <f>SUMIFS(D$41:D$59,$B$41:$B$59,$B63)</f>
        <v>3991.3002934272004</v>
      </c>
      <c r="E63" s="15">
        <f t="shared" ref="E63:G66" si="3">SUMIFS(E$41:E$59,$B$41:$B$59,$B63)</f>
        <v>1882.316075549214</v>
      </c>
      <c r="F63" s="15">
        <f t="shared" si="3"/>
        <v>2868.4667619487805</v>
      </c>
      <c r="G63" s="15">
        <f t="shared" si="3"/>
        <v>1610.6235478587976</v>
      </c>
    </row>
    <row r="64" spans="1:15" outlineLevel="1">
      <c r="B64" t="s">
        <v>24</v>
      </c>
      <c r="C64" t="s">
        <v>32</v>
      </c>
      <c r="D64" s="15">
        <f>SUMIFS(D$41:D$59,$B$41:$B$59,$B64)</f>
        <v>3059.4427534428037</v>
      </c>
      <c r="E64" s="15">
        <f t="shared" si="3"/>
        <v>1115.9468270553789</v>
      </c>
      <c r="F64" s="15">
        <f>SUMIFS(F$41:F$59,$B$41:$B$59,$B64)</f>
        <v>221.11079651753201</v>
      </c>
      <c r="G64" s="15">
        <f t="shared" si="3"/>
        <v>3703.0235677372366</v>
      </c>
    </row>
    <row r="65" spans="2:9" outlineLevel="1">
      <c r="B65" t="s">
        <v>25</v>
      </c>
      <c r="C65" t="s">
        <v>32</v>
      </c>
      <c r="D65" s="15">
        <f>SUMIFS(D$41:D$59,$B$41:$B$59,$B65)</f>
        <v>718.01587935070927</v>
      </c>
      <c r="E65" s="15">
        <f t="shared" si="3"/>
        <v>70.104178832978974</v>
      </c>
      <c r="F65" s="15">
        <f>SUMIFS(F$41:F$59,$B$41:$B$59,$B65)</f>
        <v>92.85416158752659</v>
      </c>
      <c r="G65" s="15">
        <f t="shared" si="3"/>
        <v>193.80743365356807</v>
      </c>
    </row>
    <row r="66" spans="2:9" outlineLevel="1">
      <c r="B66" t="s">
        <v>27</v>
      </c>
      <c r="C66" t="s">
        <v>32</v>
      </c>
      <c r="D66" s="15">
        <f>SUMIFS(D$41:D$59,$B$41:$B$59,$B66)</f>
        <v>22478.623958813307</v>
      </c>
      <c r="E66" s="15">
        <f t="shared" si="3"/>
        <v>0</v>
      </c>
      <c r="F66" s="15">
        <f t="shared" si="3"/>
        <v>803.94959326775199</v>
      </c>
      <c r="G66" s="15">
        <f t="shared" si="3"/>
        <v>4515.1940199381424</v>
      </c>
    </row>
    <row r="67" spans="2:9" outlineLevel="1"/>
    <row r="68" spans="2:9" outlineLevel="1">
      <c r="B68" s="27" t="s">
        <v>40</v>
      </c>
    </row>
    <row r="69" spans="2:9" outlineLevel="1">
      <c r="B69" s="27" t="s">
        <v>34</v>
      </c>
      <c r="E69" s="30"/>
      <c r="G69" s="30"/>
    </row>
    <row r="70" spans="2:9" outlineLevel="1"/>
    <row r="71" spans="2:9" ht="18" thickBot="1">
      <c r="B71" s="8" t="s">
        <v>41</v>
      </c>
      <c r="C71" s="8"/>
      <c r="D71" s="8"/>
      <c r="E71" s="8"/>
      <c r="F71" s="8"/>
      <c r="G71" s="8"/>
      <c r="H71" s="8"/>
      <c r="I71" s="8"/>
    </row>
    <row r="72" spans="2:9" ht="15.75" outlineLevel="1" thickTop="1"/>
    <row r="73" spans="2:9" ht="15.75" outlineLevel="1" thickBot="1">
      <c r="B73" s="9" t="s">
        <v>11</v>
      </c>
      <c r="C73" s="9" t="s">
        <v>42</v>
      </c>
      <c r="D73" s="9" t="s">
        <v>43</v>
      </c>
      <c r="E73" s="9" t="s">
        <v>44</v>
      </c>
      <c r="F73" s="9" t="s">
        <v>45</v>
      </c>
      <c r="G73" s="9" t="s">
        <v>46</v>
      </c>
      <c r="H73" s="9" t="s">
        <v>47</v>
      </c>
      <c r="I73" s="9" t="s">
        <v>48</v>
      </c>
    </row>
    <row r="74" spans="2:9" outlineLevel="1">
      <c r="B74" t="s">
        <v>17</v>
      </c>
      <c r="D74" s="15" cm="1">
        <f t="array" ref="D74">SUMPRODUCT(Table2[Stock],--(Table2[Subsector]=B74),--(Table2[Building type]=C74))</f>
        <v>1773558.5156</v>
      </c>
      <c r="E74" s="15" cm="1">
        <f t="array" ref="E74">SUMPRODUCT(Table2[Stock],Table2[Space heating demand (MWh)],--(Table2[Subsector]=B74),--(Table2[Building type]=C74))+SUMPRODUCT(Table2[Stock],Table2[Hot water demand (MWh)],--(Table2[Subsector]=B74),--(Table2[Building type]=C74))</f>
        <v>18351631.580505751</v>
      </c>
      <c r="F74" s="15" cm="1">
        <f t="array" ref="F74">SUMPRODUCT(Table2[Stock],Table2[Electricity consumption (MWh)],--(Table2[Subsector]=B74),--(Table2[Building type]=C74))</f>
        <v>7227240.7073505139</v>
      </c>
      <c r="G74" s="15">
        <f>E74/D74</f>
        <v>10.347350492857768</v>
      </c>
      <c r="H74" s="15">
        <f>F74/D74</f>
        <v>4.0749942241998802</v>
      </c>
      <c r="I74" s="15" cm="1">
        <f t="array" ref="I74">SUMPRODUCT(Table2[Stock],Table2[Cooling consumption (MWh)],--(Table2[Subsector]=B74),--(Table2[Building type]=C74))</f>
        <v>0</v>
      </c>
    </row>
    <row r="75" spans="2:9" outlineLevel="1">
      <c r="B75" t="s">
        <v>23</v>
      </c>
      <c r="C75" t="s">
        <v>49</v>
      </c>
      <c r="D75" s="15" cm="1">
        <f t="array" ref="D75">SUMPRODUCT(Table2[Stock],--(Table2[Subsector]='Summary tables'!B75),--(Table2[Building type]='Summary tables'!C75))</f>
        <v>37728.138935194838</v>
      </c>
      <c r="E75" s="15" cm="1">
        <f t="array" ref="E75">SUMPRODUCT(Table2[Stock],Table2[Space heating demand (MWh)],--(Table2[Subsector]=B75),--(Table2[Building type]=C75))+SUMPRODUCT(Table2[Stock],Table2[Hot water demand (MWh)],--(Table2[Subsector]=B75),--(Table2[Building type]=C75))</f>
        <v>1176394.7798425991</v>
      </c>
      <c r="F75" s="15" cm="1">
        <f t="array" ref="F75">SUMPRODUCT(Table2[Stock],Table2[Electricity consumption (MWh)],--(Table2[Subsector]=B75),--(Table2[Building type]=C75))</f>
        <v>229018.52820605255</v>
      </c>
      <c r="G75" s="15">
        <f>E75/D75</f>
        <v>31.180832477935844</v>
      </c>
      <c r="H75" s="15">
        <f>F75/D75</f>
        <v>6.0702312562894996</v>
      </c>
      <c r="I75" s="15" cm="1">
        <f t="array" ref="I75">SUMPRODUCT(Table2[Stock],Table2[Cooling consumption (MWh)],--(Table2[Subsector]=B75),--(Table2[Building type]=C75))</f>
        <v>764902.2020316713</v>
      </c>
    </row>
    <row r="76" spans="2:9" outlineLevel="1">
      <c r="B76" t="s">
        <v>23</v>
      </c>
      <c r="C76" t="s">
        <v>50</v>
      </c>
      <c r="D76" s="15" cm="1">
        <f t="array" ref="D76">SUMPRODUCT(Table2[Stock],--(Table2[Subsector]='Summary tables'!B76),--(Table2[Building type]='Summary tables'!C76))</f>
        <v>60804.212075432384</v>
      </c>
      <c r="E76" s="15" cm="1">
        <f t="array" ref="E76">SUMPRODUCT(Table2[Stock],Table2[Space heating demand (MWh)],--(Table2[Subsector]=B76),--(Table2[Building type]=C76))+SUMPRODUCT(Table2[Stock],Table2[Hot water demand (MWh)],--(Table2[Subsector]=B76),--(Table2[Building type]=C76))</f>
        <v>1370060.0266050324</v>
      </c>
      <c r="F76" s="15" cm="1">
        <f t="array" ref="F76">SUMPRODUCT(Table2[Stock],Table2[Electricity consumption (MWh)],--(Table2[Subsector]=B76),--(Table2[Building type]=C76))</f>
        <v>816434.58166849031</v>
      </c>
      <c r="G76" s="15">
        <f t="shared" ref="G76:G85" si="4">E76/D76</f>
        <v>22.532321032387784</v>
      </c>
      <c r="H76" s="15">
        <f t="shared" ref="H76:H94" si="5">F76/D76</f>
        <v>13.427270147923952</v>
      </c>
      <c r="I76" s="15" cm="1">
        <f t="array" ref="I76">SUMPRODUCT(Table2[Stock],Table2[Cooling consumption (MWh)],--(Table2[Subsector]=B76),--(Table2[Building type]=C76))</f>
        <v>4345090.9818020267</v>
      </c>
    </row>
    <row r="77" spans="2:9" outlineLevel="1">
      <c r="B77" t="s">
        <v>23</v>
      </c>
      <c r="C77" t="s">
        <v>51</v>
      </c>
      <c r="D77" s="15" cm="1">
        <f t="array" ref="D77">SUMPRODUCT(Table2[Stock],--(Table2[Subsector]='Summary tables'!B77),--(Table2[Building type]='Summary tables'!C77))</f>
        <v>22297.221209279709</v>
      </c>
      <c r="E77" s="15" cm="1">
        <f t="array" ref="E77">SUMPRODUCT(Table2[Stock],Table2[Space heating demand (MWh)],--(Table2[Subsector]=B77),--(Table2[Building type]=C77))+SUMPRODUCT(Table2[Stock],Table2[Hot water demand (MWh)],--(Table2[Subsector]=B77),--(Table2[Building type]=C77))</f>
        <v>1051711.5060739755</v>
      </c>
      <c r="F77" s="15" cm="1">
        <f t="array" ref="F77">SUMPRODUCT(Table2[Stock],Table2[Electricity consumption (MWh)],--(Table2[Subsector]=B77),--(Table2[Building type]=C77))</f>
        <v>232645.86089690783</v>
      </c>
      <c r="G77" s="15">
        <f t="shared" si="4"/>
        <v>47.167828502157555</v>
      </c>
      <c r="H77" s="15">
        <f t="shared" si="5"/>
        <v>10.433849972304385</v>
      </c>
      <c r="I77" s="15" cm="1">
        <f t="array" ref="I77">SUMPRODUCT(Table2[Stock],Table2[Cooling consumption (MWh)],--(Table2[Subsector]=B77),--(Table2[Building type]=C77))</f>
        <v>370511.44004311046</v>
      </c>
    </row>
    <row r="78" spans="2:9" outlineLevel="1">
      <c r="B78" t="s">
        <v>23</v>
      </c>
      <c r="C78" t="s">
        <v>52</v>
      </c>
      <c r="D78" s="15" cm="1">
        <f t="array" ref="D78">SUMPRODUCT(Table2[Stock],--(Table2[Subsector]='Summary tables'!B78),--(Table2[Building type]='Summary tables'!C78))</f>
        <v>5764.8827880808503</v>
      </c>
      <c r="E78" s="15" cm="1">
        <f t="array" ref="E78">SUMPRODUCT(Table2[Stock],Table2[Space heating demand (MWh)],--(Table2[Subsector]=B78),--(Table2[Building type]=C78))+SUMPRODUCT(Table2[Stock],Table2[Hot water demand (MWh)],--(Table2[Subsector]=B78),--(Table2[Building type]=C78))</f>
        <v>249261.5735919679</v>
      </c>
      <c r="F78" s="15" cm="1">
        <f t="array" ref="F78">SUMPRODUCT(Table2[Stock],Table2[Electricity consumption (MWh)],--(Table2[Subsector]=B78),--(Table2[Building type]=C78))</f>
        <v>66079.754839716741</v>
      </c>
      <c r="G78" s="15">
        <f t="shared" si="4"/>
        <v>43.237925688155741</v>
      </c>
      <c r="H78" s="15">
        <f t="shared" si="5"/>
        <v>11.462462858106942</v>
      </c>
      <c r="I78" s="15" cm="1">
        <f t="array" ref="I78">SUMPRODUCT(Table2[Stock],Table2[Cooling consumption (MWh)],--(Table2[Subsector]=B78),--(Table2[Building type]=C78))</f>
        <v>87710.447540330701</v>
      </c>
    </row>
    <row r="79" spans="2:9" outlineLevel="1">
      <c r="B79" t="s">
        <v>23</v>
      </c>
      <c r="C79" t="s">
        <v>53</v>
      </c>
      <c r="D79" s="15" cm="1">
        <f t="array" ref="D79">SUMPRODUCT(Table2[Stock],--(Table2[Subsector]='Summary tables'!B79),--(Table2[Building type]='Summary tables'!C79))</f>
        <v>7766.4633256928528</v>
      </c>
      <c r="E79" s="15" cm="1">
        <f t="array" ref="E79">SUMPRODUCT(Table2[Stock],Table2[Space heating demand (MWh)],--(Table2[Subsector]=B79),--(Table2[Building type]=C79))+SUMPRODUCT(Table2[Stock],Table2[Hot water demand (MWh)],--(Table2[Subsector]=B79),--(Table2[Building type]=C79))</f>
        <v>1829867.0024348365</v>
      </c>
      <c r="F79" s="15" cm="1">
        <f t="array" ref="F79">SUMPRODUCT(Table2[Stock],Table2[Electricity consumption (MWh)],--(Table2[Subsector]=B79),--(Table2[Building type]=C79))</f>
        <v>266444.82224763016</v>
      </c>
      <c r="G79" s="15">
        <f t="shared" si="4"/>
        <v>235.61136204445961</v>
      </c>
      <c r="H79" s="15">
        <f t="shared" si="5"/>
        <v>34.307098491817108</v>
      </c>
      <c r="I79" s="15" cm="1">
        <f t="array" ref="I79">SUMPRODUCT(Table2[Stock],Table2[Cooling consumption (MWh)],--(Table2[Subsector]=B79),--(Table2[Building type]=C79))</f>
        <v>377112.90432174708</v>
      </c>
    </row>
    <row r="80" spans="2:9" outlineLevel="1">
      <c r="B80" t="s">
        <v>24</v>
      </c>
      <c r="C80" t="s">
        <v>49</v>
      </c>
      <c r="D80" s="15" cm="1">
        <f t="array" ref="D80">SUMPRODUCT(Table2[Stock],--(Table2[Subsector]='Summary tables'!B80),--(Table2[Building type]='Summary tables'!C80))</f>
        <v>3781.2227373758428</v>
      </c>
      <c r="E80" s="15" cm="1">
        <f t="array" ref="E80">SUMPRODUCT(Table2[Stock],Table2[Space heating demand (MWh)],--(Table2[Subsector]=B80),--(Table2[Building type]=C80))+SUMPRODUCT(Table2[Stock],Table2[Hot water demand (MWh)],--(Table2[Subsector]=B80),--(Table2[Building type]=C80))</f>
        <v>353449.75666478899</v>
      </c>
      <c r="F80" s="15" cm="1">
        <f t="array" ref="F80">SUMPRODUCT(Table2[Stock],Table2[Electricity consumption (MWh)],--(Table2[Subsector]=B80),--(Table2[Building type]=C80))</f>
        <v>629183.86493757775</v>
      </c>
      <c r="G80" s="15">
        <f t="shared" si="4"/>
        <v>93.474989762195833</v>
      </c>
      <c r="H80" s="15">
        <f t="shared" si="5"/>
        <v>166.39693258964942</v>
      </c>
      <c r="I80" s="15" cm="1">
        <f t="array" ref="I80">SUMPRODUCT(Table2[Stock],Table2[Cooling consumption (MWh)],--(Table2[Subsector]=B80),--(Table2[Building type]=C80))</f>
        <v>294900.10971787717</v>
      </c>
    </row>
    <row r="81" spans="1:9" outlineLevel="1">
      <c r="B81" t="s">
        <v>24</v>
      </c>
      <c r="C81" t="s">
        <v>54</v>
      </c>
      <c r="D81" s="15" cm="1">
        <f t="array" ref="D81">SUMPRODUCT(Table2[Stock],--(Table2[Subsector]='Summary tables'!B81),--(Table2[Building type]='Summary tables'!C81))</f>
        <v>7086.863322219906</v>
      </c>
      <c r="E81" s="15" cm="1">
        <f t="array" ref="E81">SUMPRODUCT(Table2[Stock],Table2[Space heating demand (MWh)],--(Table2[Subsector]=B81),--(Table2[Building type]=C81))+SUMPRODUCT(Table2[Stock],Table2[Hot water demand (MWh)],--(Table2[Subsector]=B81),--(Table2[Building type]=C81))</f>
        <v>1337767.0120501507</v>
      </c>
      <c r="F81" s="15" cm="1">
        <f t="array" ref="F81">SUMPRODUCT(Table2[Stock],Table2[Electricity consumption (MWh)],--(Table2[Subsector]=B81),--(Table2[Building type]=C81))</f>
        <v>891917.209893725</v>
      </c>
      <c r="G81" s="15">
        <f t="shared" si="4"/>
        <v>188.7671528609508</v>
      </c>
      <c r="H81" s="15">
        <f t="shared" si="5"/>
        <v>125.85500373588957</v>
      </c>
      <c r="I81" s="15" cm="1">
        <f t="array" ref="I81">SUMPRODUCT(Table2[Stock],Table2[Cooling consumption (MWh)],--(Table2[Subsector]=B81),--(Table2[Building type]=C81))</f>
        <v>31760.02485250722</v>
      </c>
    </row>
    <row r="82" spans="1:9" outlineLevel="1">
      <c r="B82" t="s">
        <v>24</v>
      </c>
      <c r="C82" t="s">
        <v>55</v>
      </c>
      <c r="D82" s="15" cm="1">
        <f t="array" ref="D82">SUMPRODUCT(Table2[Stock],--(Table2[Subsector]='Summary tables'!B82),--(Table2[Building type]='Summary tables'!C82))</f>
        <v>13540.995606723623</v>
      </c>
      <c r="E82" s="15" cm="1">
        <f t="array" ref="E82">SUMPRODUCT(Table2[Stock],Table2[Space heating demand (MWh)],--(Table2[Subsector]=B82),--(Table2[Building type]=C82))+SUMPRODUCT(Table2[Stock],Table2[Hot water demand (MWh)],--(Table2[Subsector]=B82),--(Table2[Building type]=C82))</f>
        <v>1851824.0542812415</v>
      </c>
      <c r="F82" s="15" cm="1">
        <f t="array" ref="F82">SUMPRODUCT(Table2[Stock],Table2[Electricity consumption (MWh)],--(Table2[Subsector]=B82),--(Table2[Building type]=C82))</f>
        <v>2181922.4929059329</v>
      </c>
      <c r="G82" s="15">
        <f t="shared" si="4"/>
        <v>136.75686102148501</v>
      </c>
      <c r="H82" s="15">
        <f t="shared" si="5"/>
        <v>161.13456914663828</v>
      </c>
      <c r="I82" s="15" cm="1">
        <f t="array" ref="I82">SUMPRODUCT(Table2[Stock],Table2[Cooling consumption (MWh)],--(Table2[Subsector]=B82),--(Table2[Building type]=C82))</f>
        <v>241404.45921916069</v>
      </c>
    </row>
    <row r="83" spans="1:9" outlineLevel="1">
      <c r="B83" t="s">
        <v>25</v>
      </c>
      <c r="C83" t="s">
        <v>56</v>
      </c>
      <c r="D83" s="15" cm="1">
        <f t="array" ref="D83">SUMPRODUCT(Table2[Stock],--(Table2[Subsector]='Summary tables'!B83),--(Table2[Building type]='Summary tables'!C83))</f>
        <v>16146</v>
      </c>
      <c r="E83" s="15" cm="1">
        <f t="array" ref="E83">SUMPRODUCT(Table2[Stock],Table2[Space heating demand (MWh)],--(Table2[Subsector]=B83),--(Table2[Building type]=C83))+SUMPRODUCT(Table2[Stock],Table2[Hot water demand (MWh)],--(Table2[Subsector]=B83),--(Table2[Building type]=C83))</f>
        <v>70104.178832978971</v>
      </c>
      <c r="F83" s="15" cm="1">
        <f t="array" ref="F83">SUMPRODUCT(Table2[Stock],Table2[Electricity consumption (MWh)],--(Table2[Subsector]=B83),--(Table2[Building type]=C83))</f>
        <v>138924.65957949447</v>
      </c>
      <c r="G83" s="15">
        <f t="shared" si="4"/>
        <v>4.3418914178730939</v>
      </c>
      <c r="H83" s="15">
        <f t="shared" si="5"/>
        <v>8.6042771943202325</v>
      </c>
      <c r="I83" s="15" cm="1">
        <f t="array" ref="I83">SUMPRODUCT(Table2[Stock],Table2[Cooling consumption (MWh)],--(Table2[Subsector]=B83),--(Table2[Building type]=C83))</f>
        <v>92854.161587526585</v>
      </c>
    </row>
    <row r="84" spans="1:9" outlineLevel="1">
      <c r="B84" t="s">
        <v>25</v>
      </c>
      <c r="C84" t="s">
        <v>57</v>
      </c>
      <c r="D84" s="15" cm="1">
        <f t="array" ref="D84">SUMPRODUCT(Table2[Stock],--(Table2[Subsector]='Summary tables'!B84),--(Table2[Building type]='Summary tables'!C84))</f>
        <v>3100</v>
      </c>
      <c r="E84" s="15" cm="1">
        <f t="array" ref="E84">SUMPRODUCT(Table2[Stock],Table2[Space heating demand (MWh)],--(Table2[Subsector]=B84),--(Table2[Building type]=C84))+SUMPRODUCT(Table2[Stock],Table2[Hot water demand (MWh)],--(Table2[Subsector]=B84),--(Table2[Building type]=C84))</f>
        <v>490575.24838061311</v>
      </c>
      <c r="F84" s="15" cm="1">
        <f t="array" ref="F84">SUMPRODUCT(Table2[Stock],Table2[Electricity consumption (MWh)],--(Table2[Subsector]=B84),--(Table2[Building type]=C84))</f>
        <v>44909.2</v>
      </c>
      <c r="G84" s="15">
        <f t="shared" si="4"/>
        <v>158.25008012277843</v>
      </c>
      <c r="H84" s="15">
        <f t="shared" si="5"/>
        <v>14.486838709677418</v>
      </c>
      <c r="I84" s="15" cm="1">
        <f t="array" ref="I84">SUMPRODUCT(Table2[Stock],Table2[Cooling consumption (MWh)],--(Table2[Subsector]=B84),--(Table2[Building type]=C84))</f>
        <v>0</v>
      </c>
    </row>
    <row r="85" spans="1:9" outlineLevel="1">
      <c r="B85" t="s">
        <v>25</v>
      </c>
      <c r="C85" t="s">
        <v>58</v>
      </c>
      <c r="D85" s="15" cm="1">
        <f t="array" ref="D85">SUMPRODUCT(Table2[Stock],--(Table2[Subsector]='Summary tables'!B85),--(Table2[Building type]='Summary tables'!C85))</f>
        <v>500</v>
      </c>
      <c r="E85" s="15" cm="1">
        <f t="array" ref="E85">SUMPRODUCT(Table2[Stock],Table2[Space heating demand (MWh)],--(Table2[Subsector]=B85),--(Table2[Building type]=C85))+SUMPRODUCT(Table2[Stock],Table2[Hot water demand (MWh)],--(Table2[Subsector]=B85),--(Table2[Building type]=C85))</f>
        <v>55116.819925925927</v>
      </c>
      <c r="F85" s="15" cm="1">
        <f t="array" ref="F85">SUMPRODUCT(Table2[Stock],Table2[Electricity consumption (MWh)],--(Table2[Subsector]=B85),--(Table2[Building type]=C85))</f>
        <v>9973.574074074073</v>
      </c>
      <c r="G85" s="15">
        <f t="shared" si="4"/>
        <v>110.23363985185185</v>
      </c>
      <c r="H85" s="15">
        <f t="shared" si="5"/>
        <v>19.947148148148145</v>
      </c>
      <c r="I85" s="15" cm="1">
        <f t="array" ref="I85">SUMPRODUCT(Table2[Stock],Table2[Cooling consumption (MWh)],--(Table2[Subsector]=B85),--(Table2[Building type]=C85))</f>
        <v>0</v>
      </c>
    </row>
    <row r="86" spans="1:9" outlineLevel="1">
      <c r="B86" t="s">
        <v>27</v>
      </c>
      <c r="C86" t="s">
        <v>59</v>
      </c>
      <c r="D86" s="15" cm="1">
        <f t="array" ref="D86">SUMPRODUCT(Table2[Stock],--(Table2[Subsector]='Summary tables'!B86),--(Table2[Building type]='Summary tables'!C86))</f>
        <v>1572</v>
      </c>
      <c r="E86" s="15" cm="1">
        <f t="array" ref="E86">SUMPRODUCT(Table2[Stock],Table2[Space heating demand (MWh)],--(Table2[Subsector]=B86),--(Table2[Building type]=C86))+SUMPRODUCT(Table2[Stock],Table2[Hot water demand (MWh)],--(Table2[Subsector]=B86),--(Table2[Building type]=C86))</f>
        <v>4600194.9908355679</v>
      </c>
      <c r="F86" s="15" cm="1">
        <f t="array" ref="F86">SUMPRODUCT(Table2[Stock],Table2[Electricity consumption (MWh)],--(Table2[Subsector]=B86),--(Table2[Building type]=C86))</f>
        <v>-682716.40402194392</v>
      </c>
      <c r="G86" s="15">
        <f t="shared" ref="G86:G94" si="6">E86/D86</f>
        <v>2926.3326913712262</v>
      </c>
      <c r="H86" s="15">
        <f t="shared" si="5"/>
        <v>-434.29796693507882</v>
      </c>
      <c r="I86" s="15" cm="1">
        <f t="array" ref="I86">SUMPRODUCT(Table2[Stock],Table2[Cooling consumption (MWh)],--(Table2[Subsector]=B86),--(Table2[Building type]=C86))</f>
        <v>5908.2778247539727</v>
      </c>
    </row>
    <row r="87" spans="1:9" outlineLevel="1">
      <c r="B87" t="s">
        <v>27</v>
      </c>
      <c r="C87" t="s">
        <v>60</v>
      </c>
      <c r="D87" s="15" cm="1">
        <f t="array" ref="D87">SUMPRODUCT(Table2[Stock],--(Table2[Subsector]='Summary tables'!B87),--(Table2[Building type]='Summary tables'!C87))</f>
        <v>8</v>
      </c>
      <c r="E87" s="15" cm="1">
        <f t="array" ref="E87">SUMPRODUCT(Table2[Stock],Table2[Space heating demand (MWh)],--(Table2[Subsector]=B87),--(Table2[Building type]=C87))+SUMPRODUCT(Table2[Stock],Table2[Hot water demand (MWh)],--(Table2[Subsector]=B87),--(Table2[Building type]=C87))</f>
        <v>2891829.8984803134</v>
      </c>
      <c r="F87" s="15" cm="1">
        <f t="array" ref="F87">SUMPRODUCT(Table2[Stock],Table2[Electricity consumption (MWh)],--(Table2[Subsector]=B87),--(Table2[Building type]=C87))</f>
        <v>637976.7498336616</v>
      </c>
      <c r="G87" s="15">
        <f t="shared" si="6"/>
        <v>361478.73731003917</v>
      </c>
      <c r="H87" s="15">
        <f t="shared" si="5"/>
        <v>79747.0937292077</v>
      </c>
      <c r="I87" s="15" cm="1">
        <f t="array" ref="I87">SUMPRODUCT(Table2[Stock],Table2[Cooling consumption (MWh)],--(Table2[Subsector]=B87),--(Table2[Building type]=C87))</f>
        <v>6444.2095942794103</v>
      </c>
    </row>
    <row r="88" spans="1:9" outlineLevel="1">
      <c r="B88" t="s">
        <v>27</v>
      </c>
      <c r="C88" t="s">
        <v>61</v>
      </c>
      <c r="D88" s="15" cm="1">
        <f t="array" ref="D88">SUMPRODUCT(Table2[Stock],--(Table2[Subsector]='Summary tables'!B88),--(Table2[Building type]='Summary tables'!C88))</f>
        <v>14</v>
      </c>
      <c r="E88" s="15" cm="1">
        <f t="array" ref="E88">SUMPRODUCT(Table2[Stock],Table2[Space heating demand (MWh)],--(Table2[Subsector]=B88),--(Table2[Building type]=C88))+SUMPRODUCT(Table2[Stock],Table2[Hot water demand (MWh)],--(Table2[Subsector]=B88),--(Table2[Building type]=C88))</f>
        <v>1135457.599612976</v>
      </c>
      <c r="F88" s="15" cm="1">
        <f t="array" ref="F88">SUMPRODUCT(Table2[Stock],Table2[Electricity consumption (MWh)],--(Table2[Subsector]=B88),--(Table2[Building type]=C88))</f>
        <v>115697.48276177327</v>
      </c>
      <c r="G88" s="15">
        <f t="shared" si="6"/>
        <v>81104.114258069705</v>
      </c>
      <c r="H88" s="15">
        <f t="shared" si="5"/>
        <v>8264.1059115552325</v>
      </c>
      <c r="I88" s="15" cm="1">
        <f t="array" ref="I88">SUMPRODUCT(Table2[Stock],Table2[Cooling consumption (MWh)],--(Table2[Subsector]=B88),--(Table2[Building type]=C88))</f>
        <v>20417.20284031293</v>
      </c>
    </row>
    <row r="89" spans="1:9" outlineLevel="1">
      <c r="B89" t="s">
        <v>27</v>
      </c>
      <c r="C89" t="s">
        <v>62</v>
      </c>
      <c r="D89" s="15" cm="1">
        <f t="array" ref="D89">SUMPRODUCT(Table2[Stock],--(Table2[Subsector]='Summary tables'!B89),--(Table2[Building type]='Summary tables'!C89))</f>
        <v>513.99999999999989</v>
      </c>
      <c r="E89" s="15" cm="1">
        <f t="array" ref="E89">SUMPRODUCT(Table2[Stock],Table2[Space heating demand (MWh)],--(Table2[Subsector]=B89),--(Table2[Building type]=C89))+SUMPRODUCT(Table2[Stock],Table2[Hot water demand (MWh)],--(Table2[Subsector]=B89),--(Table2[Building type]=C89))</f>
        <v>1432105.3698204178</v>
      </c>
      <c r="F89" s="15" cm="1">
        <f t="array" ref="F89">SUMPRODUCT(Table2[Stock],Table2[Electricity consumption (MWh)],--(Table2[Subsector]=B89),--(Table2[Building type]=C89))</f>
        <v>311274.07758870837</v>
      </c>
      <c r="G89" s="15">
        <f t="shared" si="6"/>
        <v>2786.1972175494516</v>
      </c>
      <c r="H89" s="15">
        <f t="shared" si="5"/>
        <v>605.59159063951063</v>
      </c>
      <c r="I89" s="15" cm="1">
        <f t="array" ref="I89">SUMPRODUCT(Table2[Stock],Table2[Cooling consumption (MWh)],--(Table2[Subsector]=B89),--(Table2[Building type]=C89))</f>
        <v>3144.1826019061455</v>
      </c>
    </row>
    <row r="90" spans="1:9" outlineLevel="1">
      <c r="B90" t="s">
        <v>27</v>
      </c>
      <c r="C90" t="s">
        <v>63</v>
      </c>
      <c r="D90" s="15" cm="1">
        <f t="array" ref="D90">SUMPRODUCT(Table2[Stock],--(Table2[Subsector]='Summary tables'!B90),--(Table2[Building type]='Summary tables'!C90))</f>
        <v>1020</v>
      </c>
      <c r="E90" s="15" cm="1">
        <f t="array" ref="E90">SUMPRODUCT(Table2[Stock],Table2[Space heating demand (MWh)],--(Table2[Subsector]=B90),--(Table2[Building type]=C90))+SUMPRODUCT(Table2[Stock],Table2[Hot water demand (MWh)],--(Table2[Subsector]=B90),--(Table2[Building type]=C90))</f>
        <v>680285.37481228705</v>
      </c>
      <c r="F90" s="15" cm="1">
        <f t="array" ref="F90">SUMPRODUCT(Table2[Stock],Table2[Electricity consumption (MWh)],--(Table2[Subsector]=B90),--(Table2[Building type]=C90))</f>
        <v>139944.89004729362</v>
      </c>
      <c r="G90" s="15">
        <f t="shared" si="6"/>
        <v>666.94644589439906</v>
      </c>
      <c r="H90" s="15">
        <f t="shared" si="5"/>
        <v>137.2008725953859</v>
      </c>
      <c r="I90" s="15" cm="1">
        <f t="array" ref="I90">SUMPRODUCT(Table2[Stock],Table2[Cooling consumption (MWh)],--(Table2[Subsector]=B90),--(Table2[Building type]=C90))</f>
        <v>1413.5847479524612</v>
      </c>
    </row>
    <row r="91" spans="1:9" outlineLevel="1">
      <c r="B91" t="s">
        <v>27</v>
      </c>
      <c r="C91" t="s">
        <v>64</v>
      </c>
      <c r="D91" s="15" cm="1">
        <f t="array" ref="D91">SUMPRODUCT(Table2[Stock],--(Table2[Subsector]='Summary tables'!B91),--(Table2[Building type]='Summary tables'!C91))</f>
        <v>2804</v>
      </c>
      <c r="E91" s="15" cm="1">
        <f t="array" ref="E91">SUMPRODUCT(Table2[Stock],Table2[Space heating demand (MWh)],--(Table2[Subsector]=B91),--(Table2[Building type]=C91))+SUMPRODUCT(Table2[Stock],Table2[Hot water demand (MWh)],--(Table2[Subsector]=B91),--(Table2[Building type]=C91))</f>
        <v>3731129.8840982593</v>
      </c>
      <c r="F91" s="15" cm="1">
        <f t="array" ref="F91">SUMPRODUCT(Table2[Stock],Table2[Electricity consumption (MWh)],--(Table2[Subsector]=B91),--(Table2[Building type]=C91))</f>
        <v>797757.18692224543</v>
      </c>
      <c r="G91" s="15">
        <f t="shared" si="6"/>
        <v>1330.6454650849712</v>
      </c>
      <c r="H91" s="15">
        <f t="shared" si="5"/>
        <v>284.50684269694915</v>
      </c>
      <c r="I91" s="15" cm="1">
        <f t="array" ref="I91">SUMPRODUCT(Table2[Stock],Table2[Cooling consumption (MWh)],--(Table2[Subsector]=B91),--(Table2[Building type]=C91))</f>
        <v>481063.61932533595</v>
      </c>
    </row>
    <row r="92" spans="1:9" outlineLevel="1">
      <c r="B92" t="s">
        <v>27</v>
      </c>
      <c r="C92" t="s">
        <v>65</v>
      </c>
      <c r="D92" s="15" cm="1">
        <f t="array" ref="D92">SUMPRODUCT(Table2[Stock],--(Table2[Subsector]='Summary tables'!B92),--(Table2[Building type]='Summary tables'!C92))</f>
        <v>9</v>
      </c>
      <c r="E92" s="15" cm="1">
        <f t="array" ref="E92">SUMPRODUCT(Table2[Stock],Table2[Space heating demand (MWh)],--(Table2[Subsector]=B92),--(Table2[Building type]=C92))+SUMPRODUCT(Table2[Stock],Table2[Hot water demand (MWh)],--(Table2[Subsector]=B92),--(Table2[Building type]=C92))</f>
        <v>362984.35908090899</v>
      </c>
      <c r="F92" s="15" cm="1">
        <f t="array" ref="F92">SUMPRODUCT(Table2[Stock],Table2[Electricity consumption (MWh)],--(Table2[Subsector]=B92),--(Table2[Building type]=C92))</f>
        <v>80086.505235181918</v>
      </c>
      <c r="G92" s="15">
        <f t="shared" si="6"/>
        <v>40331.595453434333</v>
      </c>
      <c r="H92" s="15">
        <f t="shared" si="5"/>
        <v>8898.5005816868797</v>
      </c>
      <c r="I92" s="15" cm="1">
        <f t="array" ref="I92">SUMPRODUCT(Table2[Stock],Table2[Cooling consumption (MWh)],--(Table2[Subsector]=B92),--(Table2[Building type]=C92))</f>
        <v>808.95459833517089</v>
      </c>
    </row>
    <row r="93" spans="1:9" outlineLevel="1">
      <c r="B93" t="s">
        <v>27</v>
      </c>
      <c r="C93" t="s">
        <v>66</v>
      </c>
      <c r="D93" s="15" cm="1">
        <f t="array" ref="D93">SUMPRODUCT(Table2[Stock],--(Table2[Subsector]='Summary tables'!B93),--(Table2[Building type]='Summary tables'!C93))</f>
        <v>9599</v>
      </c>
      <c r="E93" s="15" cm="1">
        <f t="array" ref="E93">SUMPRODUCT(Table2[Stock],Table2[Space heating demand (MWh)],--(Table2[Subsector]=B93),--(Table2[Building type]=C93))+SUMPRODUCT(Table2[Stock],Table2[Hot water demand (MWh)],--(Table2[Subsector]=B93),--(Table2[Building type]=C93))</f>
        <v>1061936.5638851475</v>
      </c>
      <c r="F93" s="15" cm="1">
        <f t="array" ref="F93">SUMPRODUCT(Table2[Stock],Table2[Electricity consumption (MWh)],--(Table2[Subsector]=B93),--(Table2[Building type]=C93))</f>
        <v>1965796.5662417102</v>
      </c>
      <c r="G93" s="15">
        <f t="shared" si="6"/>
        <v>110.62991602095504</v>
      </c>
      <c r="H93" s="15">
        <f t="shared" si="5"/>
        <v>204.7918081301917</v>
      </c>
      <c r="I93" s="15" cm="1">
        <f t="array" ref="I93">SUMPRODUCT(Table2[Stock],Table2[Cooling consumption (MWh)],--(Table2[Subsector]=B93),--(Table2[Building type]=C93))</f>
        <v>105001.05577407658</v>
      </c>
    </row>
    <row r="94" spans="1:9" outlineLevel="1">
      <c r="B94" t="s">
        <v>27</v>
      </c>
      <c r="C94" t="s">
        <v>67</v>
      </c>
      <c r="D94" s="15" cm="1">
        <f t="array" ref="D94">SUMPRODUCT(Table2[Stock],--(Table2[Subsector]='Summary tables'!B94),--(Table2[Building type]='Summary tables'!C94))</f>
        <v>792</v>
      </c>
      <c r="E94" s="15" cm="1">
        <f t="array" ref="E94">SUMPRODUCT(Table2[Stock],Table2[Space heating demand (MWh)],--(Table2[Subsector]=B94),--(Table2[Building type]=C94))+SUMPRODUCT(Table2[Stock],Table2[Hot water demand (MWh)],--(Table2[Subsector]=B94),--(Table2[Building type]=C94))</f>
        <v>1590483.8148573684</v>
      </c>
      <c r="F94" s="15" cm="1">
        <f t="array" ref="F94">SUMPRODUCT(Table2[Stock],Table2[Electricity consumption (MWh)],--(Table2[Subsector]=B94),--(Table2[Building type]=C94))</f>
        <v>1149376.9653295141</v>
      </c>
      <c r="G94" s="15">
        <f t="shared" si="6"/>
        <v>2008.1866349209197</v>
      </c>
      <c r="H94" s="15">
        <f t="shared" si="5"/>
        <v>1451.2335420827199</v>
      </c>
      <c r="I94" s="15" cm="1">
        <f t="array" ref="I94">SUMPRODUCT(Table2[Stock],Table2[Cooling consumption (MWh)],--(Table2[Subsector]=B94),--(Table2[Building type]=C94))</f>
        <v>179748.50596079935</v>
      </c>
    </row>
    <row r="95" spans="1:9" outlineLevel="1">
      <c r="A95" s="30"/>
    </row>
    <row r="96" spans="1:9" ht="15.75" outlineLevel="1" thickBot="1">
      <c r="A96" s="30"/>
      <c r="B96" s="38" t="s">
        <v>11</v>
      </c>
      <c r="C96" s="38" t="s">
        <v>42</v>
      </c>
      <c r="D96" s="38" t="s">
        <v>43</v>
      </c>
      <c r="E96" s="38" t="s">
        <v>44</v>
      </c>
      <c r="F96" s="38" t="s">
        <v>45</v>
      </c>
      <c r="G96" s="38" t="s">
        <v>46</v>
      </c>
      <c r="H96" s="38" t="s">
        <v>47</v>
      </c>
      <c r="I96" s="38" t="s">
        <v>48</v>
      </c>
    </row>
    <row r="97" spans="1:9" outlineLevel="1">
      <c r="A97" s="30"/>
      <c r="B97" t="s">
        <v>17</v>
      </c>
      <c r="C97" t="s">
        <v>32</v>
      </c>
      <c r="D97" s="15">
        <f>SUMIFS(D$74:D$94,$B$74:$B$94,$B97)</f>
        <v>1773558.5156</v>
      </c>
      <c r="E97" s="15">
        <f t="shared" ref="E97:H97" si="7">SUMIFS(E$74:E$94,$B$74:$B$94,$B97)</f>
        <v>18351631.580505751</v>
      </c>
      <c r="F97" s="15">
        <f t="shared" si="7"/>
        <v>7227240.7073505139</v>
      </c>
      <c r="G97" s="15">
        <f t="shared" si="7"/>
        <v>10.347350492857768</v>
      </c>
      <c r="H97" s="15">
        <f t="shared" si="7"/>
        <v>4.0749942241998802</v>
      </c>
      <c r="I97" s="15">
        <f>SUMIFS(I$74:I$94,$B$74:$B$94,$B97)</f>
        <v>0</v>
      </c>
    </row>
    <row r="98" spans="1:9" outlineLevel="1">
      <c r="A98" s="30"/>
      <c r="B98" t="s">
        <v>23</v>
      </c>
      <c r="C98" t="s">
        <v>32</v>
      </c>
      <c r="D98" s="15">
        <f t="shared" ref="D98:H101" si="8">SUMIFS(D$74:D$94,$B$74:$B$94,$B98)</f>
        <v>134360.91833368066</v>
      </c>
      <c r="E98" s="15">
        <f t="shared" si="8"/>
        <v>5677294.8885484114</v>
      </c>
      <c r="F98" s="15">
        <f t="shared" si="8"/>
        <v>1610623.5478587975</v>
      </c>
      <c r="G98" s="15">
        <f t="shared" si="8"/>
        <v>379.73026974509651</v>
      </c>
      <c r="H98" s="15">
        <f t="shared" si="8"/>
        <v>75.700912726441885</v>
      </c>
      <c r="I98" s="15">
        <f>SUMIFS(I$74:I$94,$B$74:$B$94,$B98)</f>
        <v>5945327.9757388858</v>
      </c>
    </row>
    <row r="99" spans="1:9" outlineLevel="1">
      <c r="A99" s="30"/>
      <c r="B99" t="s">
        <v>24</v>
      </c>
      <c r="C99" t="s">
        <v>32</v>
      </c>
      <c r="D99" s="15">
        <f t="shared" si="8"/>
        <v>24409.081666319373</v>
      </c>
      <c r="E99" s="15">
        <f t="shared" si="8"/>
        <v>3543040.8229961814</v>
      </c>
      <c r="F99" s="15">
        <f t="shared" si="8"/>
        <v>3703023.5677372357</v>
      </c>
      <c r="G99" s="15">
        <f t="shared" si="8"/>
        <v>418.99900364463161</v>
      </c>
      <c r="H99" s="15">
        <f t="shared" si="8"/>
        <v>453.38650547217725</v>
      </c>
      <c r="I99" s="15">
        <f>SUMIFS(I$74:I$94,$B$74:$B$94,$B99)</f>
        <v>568064.59378954512</v>
      </c>
    </row>
    <row r="100" spans="1:9" outlineLevel="1">
      <c r="A100" s="30"/>
      <c r="B100" t="s">
        <v>25</v>
      </c>
      <c r="C100" t="s">
        <v>32</v>
      </c>
      <c r="D100" s="15">
        <f t="shared" si="8"/>
        <v>19746</v>
      </c>
      <c r="E100" s="15">
        <f t="shared" si="8"/>
        <v>615796.24713951803</v>
      </c>
      <c r="F100" s="15">
        <f t="shared" si="8"/>
        <v>193807.43365356853</v>
      </c>
      <c r="G100" s="15">
        <f t="shared" si="8"/>
        <v>272.82561139250333</v>
      </c>
      <c r="H100" s="15">
        <f t="shared" si="8"/>
        <v>43.038264052145792</v>
      </c>
      <c r="I100" s="15">
        <f>SUMIFS(I$74:I$94,$B$74:$B$94,$B100)</f>
        <v>92854.161587526585</v>
      </c>
    </row>
    <row r="101" spans="1:9" outlineLevel="1">
      <c r="A101" s="30"/>
      <c r="B101" t="s">
        <v>27</v>
      </c>
      <c r="C101" t="s">
        <v>32</v>
      </c>
      <c r="D101" s="15">
        <f t="shared" si="8"/>
        <v>16332</v>
      </c>
      <c r="E101" s="15">
        <f t="shared" si="8"/>
        <v>17486407.855483245</v>
      </c>
      <c r="F101" s="15">
        <f t="shared" si="8"/>
        <v>4515194.0199381448</v>
      </c>
      <c r="G101" s="15">
        <f t="shared" si="8"/>
        <v>492743.38539238519</v>
      </c>
      <c r="H101" s="15">
        <f t="shared" si="8"/>
        <v>99158.726911659498</v>
      </c>
      <c r="I101" s="15">
        <f>SUMIFS(I$74:I$94,$B$74:$B$94,$B101)</f>
        <v>803949.59326775209</v>
      </c>
    </row>
    <row r="102" spans="1:9" outlineLevel="1">
      <c r="A102" s="30"/>
    </row>
    <row r="103" spans="1:9" outlineLevel="1">
      <c r="B103" s="27" t="s">
        <v>68</v>
      </c>
    </row>
    <row r="104" spans="1:9" outlineLevel="1">
      <c r="B104" s="27" t="s">
        <v>69</v>
      </c>
    </row>
    <row r="105" spans="1:9" outlineLevel="1">
      <c r="B105" s="27"/>
    </row>
    <row r="107" spans="1:9" ht="18" thickBot="1">
      <c r="B107" s="8" t="s">
        <v>70</v>
      </c>
      <c r="C107" s="8"/>
      <c r="D107" s="8"/>
      <c r="E107" s="8"/>
      <c r="F107" s="8"/>
      <c r="G107" s="8"/>
      <c r="H107" s="8"/>
    </row>
    <row r="108" spans="1:9" ht="15.75" thickTop="1"/>
    <row r="109" spans="1:9" ht="15.75" outlineLevel="1" thickBot="1">
      <c r="B109" s="9" t="s">
        <v>11</v>
      </c>
      <c r="C109" s="9" t="s">
        <v>71</v>
      </c>
      <c r="D109" s="9" t="s">
        <v>43</v>
      </c>
      <c r="E109" s="9" t="s">
        <v>44</v>
      </c>
      <c r="F109" s="9" t="s">
        <v>45</v>
      </c>
      <c r="G109" s="9" t="s">
        <v>46</v>
      </c>
      <c r="H109" s="9" t="s">
        <v>47</v>
      </c>
      <c r="I109" s="9" t="s">
        <v>72</v>
      </c>
    </row>
    <row r="110" spans="1:9" outlineLevel="1">
      <c r="B110" t="s">
        <v>17</v>
      </c>
      <c r="C110" t="s">
        <v>73</v>
      </c>
      <c r="D110" s="15" cm="1">
        <f t="array" ref="D110">SUMPRODUCT(Table2[Stock],--(Table2[Subsector]='Summary tables'!B110),--(Table2[Building structure]='Summary tables'!C110))</f>
        <v>745289.29288404807</v>
      </c>
      <c r="E110" s="15" cm="1">
        <f t="array" ref="E110">SUMPRODUCT(Table2[Stock],Table2[Space heating demand (MWh)],--(Table2[Subsector]=B110),--(Table2[Building structure]=C110))+SUMPRODUCT(Table2[Stock],Table2[Hot water demand (MWh)],--(Table2[Subsector]=B110),--(Table2[Building structure]=C110))</f>
        <v>10199436.392938957</v>
      </c>
      <c r="F110" s="15" cm="1">
        <f t="array" ref="F110">SUMPRODUCT(Table2[Stock],Table2[Electricity consumption (MWh)],--(Table2[Subsector]=B110),--(Table2[Building structure]=C110))</f>
        <v>3246715.4559500138</v>
      </c>
      <c r="G110" s="15">
        <f>E110/D110</f>
        <v>13.685204510949257</v>
      </c>
      <c r="H110" s="15">
        <f>F110/D110</f>
        <v>4.3563157111598771</v>
      </c>
      <c r="I110" s="15" cm="1">
        <f t="array" ref="I110">SUMPRODUCT(Table2[Stock],Table2[Average floor area (m^2)],--(Table2[Subsector]=B110),--(Table2[Building structure]=C110))/SUMPRODUCT(Table2[Stock],--(Table2[Subsector]=B110),--(Table2[Building structure]=C110))</f>
        <v>149.95746120071641</v>
      </c>
    </row>
    <row r="111" spans="1:9" outlineLevel="1">
      <c r="B111" t="s">
        <v>17</v>
      </c>
      <c r="C111" t="s">
        <v>74</v>
      </c>
      <c r="D111" s="15" cm="1">
        <f t="array" ref="D111">SUMPRODUCT(Table2[Stock],--(Table2[Subsector]='Summary tables'!B111),--(Table2[Building structure]='Summary tables'!C111))</f>
        <v>515575.38732204761</v>
      </c>
      <c r="E111" s="15" cm="1">
        <f t="array" ref="E111">SUMPRODUCT(Table2[Stock],Table2[Space heating demand (MWh)],--(Table2[Subsector]=B111),--(Table2[Building structure]=C111))+SUMPRODUCT(Table2[Stock],Table2[Hot water demand (MWh)],--(Table2[Subsector]=B111),--(Table2[Building structure]=C111))</f>
        <v>4685896.0796155278</v>
      </c>
      <c r="F111" s="15" cm="1">
        <f t="array" ref="F111">SUMPRODUCT(Table2[Stock],Table2[Electricity consumption (MWh)],--(Table2[Subsector]=B111),--(Table2[Building structure]=C111))</f>
        <v>2048443.8302705965</v>
      </c>
      <c r="G111" s="15">
        <f t="shared" ref="G111:G116" si="9">E111/D111</f>
        <v>9.0886729561598383</v>
      </c>
      <c r="H111" s="15">
        <f t="shared" ref="H111:H116" si="10">F111/D111</f>
        <v>3.9731218375462563</v>
      </c>
      <c r="I111" s="15" cm="1">
        <f t="array" ref="I111">SUMPRODUCT(Table2[Stock],Table2[Average floor area (m^2)],--(Table2[Subsector]=B111),--(Table2[Building structure]=C111))/SUMPRODUCT(Table2[Stock],--(Table2[Subsector]=B111),--(Table2[Building structure]=C111))</f>
        <v>106.62489981608412</v>
      </c>
    </row>
    <row r="112" spans="1:9" outlineLevel="1">
      <c r="B112" t="s">
        <v>17</v>
      </c>
      <c r="C112" t="s">
        <v>75</v>
      </c>
      <c r="D112" s="15" cm="1">
        <f t="array" ref="D112">SUMPRODUCT(Table2[Stock],--(Table2[Subsector]='Summary tables'!B112),--(Table2[Building structure]='Summary tables'!C112))</f>
        <v>307902.07974659046</v>
      </c>
      <c r="E112" s="15" cm="1">
        <f t="array" ref="E112">SUMPRODUCT(Table2[Stock],Table2[Space heating demand (MWh)],--(Table2[Subsector]=B112),--(Table2[Building structure]=C112))+SUMPRODUCT(Table2[Stock],Table2[Hot water demand (MWh)],--(Table2[Subsector]=B112),--(Table2[Building structure]=C112))</f>
        <v>2367762.0406485302</v>
      </c>
      <c r="F112" s="15" cm="1">
        <f t="array" ref="F112">SUMPRODUCT(Table2[Stock],Table2[Electricity consumption (MWh)],--(Table2[Subsector]=B112),--(Table2[Building structure]=C112))</f>
        <v>1190341.6918644703</v>
      </c>
      <c r="G112" s="15">
        <f t="shared" si="9"/>
        <v>7.6899839150071525</v>
      </c>
      <c r="H112" s="15">
        <f t="shared" si="10"/>
        <v>3.8659748347401393</v>
      </c>
      <c r="I112" s="15" cm="1">
        <f t="array" ref="I112">SUMPRODUCT(Table2[Stock],Table2[Average floor area (m^2)],--(Table2[Subsector]=B112),--(Table2[Building structure]=C112))/SUMPRODUCT(Table2[Stock],--(Table2[Subsector]=B112),--(Table2[Building structure]=C112))</f>
        <v>90.384327353497824</v>
      </c>
    </row>
    <row r="113" spans="2:9" outlineLevel="1">
      <c r="B113" t="s">
        <v>17</v>
      </c>
      <c r="C113" t="s">
        <v>76</v>
      </c>
      <c r="D113" s="15" cm="1">
        <f t="array" ref="D113">SUMPRODUCT(Table2[Stock],--(Table2[Subsector]='Summary tables'!B113),--(Table2[Building structure]='Summary tables'!C113))</f>
        <v>204791.75564731372</v>
      </c>
      <c r="E113" s="15" cm="1">
        <f t="array" ref="E113">SUMPRODUCT(Table2[Stock],Table2[Space heating demand (MWh)],--(Table2[Subsector]=B113),--(Table2[Building structure]=C113))+SUMPRODUCT(Table2[Stock],Table2[Hot water demand (MWh)],--(Table2[Subsector]=B113),--(Table2[Building structure]=C113))</f>
        <v>1098537.0673027299</v>
      </c>
      <c r="F113" s="15" cm="1">
        <f t="array" ref="F113">SUMPRODUCT(Table2[Stock],Table2[Electricity consumption (MWh)],--(Table2[Subsector]=B113),--(Table2[Building structure]=C113))</f>
        <v>741739.72926543478</v>
      </c>
      <c r="G113" s="15">
        <f t="shared" si="9"/>
        <v>5.3641664618306111</v>
      </c>
      <c r="H113" s="15">
        <f t="shared" si="10"/>
        <v>3.621921824542766</v>
      </c>
      <c r="I113" s="15" cm="1">
        <f t="array" ref="I113">SUMPRODUCT(Table2[Stock],Table2[Average floor area (m^2)],--(Table2[Subsector]=B113),--(Table2[Building structure]=C113))/SUMPRODUCT(Table2[Stock],--(Table2[Subsector]=B113),--(Table2[Building structure]=C113))</f>
        <v>69.307933683061023</v>
      </c>
    </row>
    <row r="114" spans="2:9" outlineLevel="1">
      <c r="B114" t="s">
        <v>23</v>
      </c>
      <c r="C114" t="s">
        <v>77</v>
      </c>
      <c r="D114" s="15" cm="1">
        <f t="array" ref="D114">SUMPRODUCT(Table2[Stock],--(Table2[Subsector]='Summary tables'!B114),--(Table2[Building structure]='Summary tables'!C114))</f>
        <v>85506.029952759287</v>
      </c>
      <c r="E114" s="15" cm="1">
        <f t="array" ref="E114">SUMPRODUCT(Table2[Stock],Table2[Space heating demand (MWh)],--(Table2[Subsector]=B114),--(Table2[Building structure]=C114))+SUMPRODUCT(Table2[Stock],Table2[Hot water demand (MWh)],--(Table2[Subsector]=B114),--(Table2[Building structure]=C114))</f>
        <v>4442041.8919158541</v>
      </c>
      <c r="F114" s="15" cm="1">
        <f t="array" ref="F114">SUMPRODUCT(Table2[Stock],Table2[Electricity consumption (MWh)],--(Table2[Subsector]=B114),--(Table2[Building structure]=C114))</f>
        <v>1319432.3844657922</v>
      </c>
      <c r="G114" s="15">
        <f t="shared" si="9"/>
        <v>51.950042521796547</v>
      </c>
      <c r="H114" s="15">
        <f t="shared" si="10"/>
        <v>15.430869439205136</v>
      </c>
      <c r="I114" s="15" cm="1">
        <f t="array" ref="I114">SUMPRODUCT(Table2[Stock],Table2[Average floor area (m^2)],--(Table2[Subsector]=B114),--(Table2[Building structure]=C114))/SUMPRODUCT(Table2[Stock],--(Table2[Subsector]=B114),--(Table2[Building structure]=C114))</f>
        <v>612.5986403415601</v>
      </c>
    </row>
    <row r="115" spans="2:9" outlineLevel="1">
      <c r="B115" t="s">
        <v>23</v>
      </c>
      <c r="C115" t="s">
        <v>78</v>
      </c>
      <c r="D115" s="15" cm="1">
        <f t="array" ref="D115">SUMPRODUCT(Table2[Stock],--(Table2[Subsector]='Summary tables'!B115),--(Table2[Building structure]='Summary tables'!C115))</f>
        <v>48854.888380921373</v>
      </c>
      <c r="E115" s="15" cm="1">
        <f t="array" ref="E115">SUMPRODUCT(Table2[Stock],Table2[Space heating demand (MWh)],--(Table2[Subsector]=B115),--(Table2[Building structure]=C115))+SUMPRODUCT(Table2[Stock],Table2[Hot water demand (MWh)],--(Table2[Subsector]=B115),--(Table2[Building structure]=C115))</f>
        <v>1235252.9966325574</v>
      </c>
      <c r="F115" s="15" cm="1">
        <f t="array" ref="F115">SUMPRODUCT(Table2[Stock],Table2[Electricity consumption (MWh)],--(Table2[Subsector]=B115),--(Table2[Building structure]=C115))</f>
        <v>291191.1633930052</v>
      </c>
      <c r="G115" s="15">
        <f t="shared" si="9"/>
        <v>25.284122788313312</v>
      </c>
      <c r="H115" s="15">
        <f t="shared" si="10"/>
        <v>5.9603280867738118</v>
      </c>
      <c r="I115" s="15" cm="1">
        <f t="array" ref="I115">SUMPRODUCT(Table2[Stock],Table2[Average floor area (m^2)],--(Table2[Subsector]=B115),--(Table2[Building structure]=C115))/SUMPRODUCT(Table2[Stock],--(Table2[Subsector]=B115),--(Table2[Building structure]=C115))</f>
        <v>204.81069345044645</v>
      </c>
    </row>
    <row r="116" spans="2:9" outlineLevel="1">
      <c r="B116" t="s">
        <v>24</v>
      </c>
      <c r="C116" t="s">
        <v>77</v>
      </c>
      <c r="D116" s="15" cm="1">
        <f t="array" ref="D116">SUMPRODUCT(Table2[Stock],--(Table2[Subsector]='Summary tables'!B116),--(Table2[Building structure]='Summary tables'!C116))</f>
        <v>24409.081666319369</v>
      </c>
      <c r="E116" s="15" cm="1">
        <f t="array" ref="E116">SUMPRODUCT(Table2[Stock],Table2[Space heating demand (MWh)],--(Table2[Subsector]=B116),--(Table2[Building structure]=C116))+SUMPRODUCT(Table2[Stock],Table2[Hot water demand (MWh)],--(Table2[Subsector]=B116),--(Table2[Building structure]=C116))</f>
        <v>3543040.8229961814</v>
      </c>
      <c r="F116" s="15" cm="1">
        <f t="array" ref="F116">SUMPRODUCT(Table2[Stock],Table2[Electricity consumption (MWh)],--(Table2[Subsector]=B116),--(Table2[Building structure]=C116))</f>
        <v>3703023.5677372352</v>
      </c>
      <c r="G116" s="15">
        <f t="shared" si="9"/>
        <v>145.15256540294229</v>
      </c>
      <c r="H116" s="15">
        <f t="shared" si="10"/>
        <v>151.70679578850422</v>
      </c>
      <c r="I116" s="15" cm="1">
        <f t="array" ref="I116">SUMPRODUCT(Table2[Stock],Table2[Average floor area (m^2)],--(Table2[Subsector]=B116),--(Table2[Building structure]=C116))/SUMPRODUCT(Table2[Stock],--(Table2[Subsector]=B116),--(Table2[Building structure]=C116))</f>
        <v>1318.2857847477114</v>
      </c>
    </row>
    <row r="117" spans="2:9" outlineLevel="1"/>
    <row r="119" spans="2:9" ht="18" thickBot="1">
      <c r="B119" s="8" t="s">
        <v>79</v>
      </c>
      <c r="C119" s="8"/>
      <c r="D119" s="8"/>
      <c r="E119" s="8"/>
      <c r="F119" s="8"/>
    </row>
    <row r="120" spans="2:9" ht="15.75" thickTop="1"/>
    <row r="121" spans="2:9" ht="15.75" outlineLevel="1" thickBot="1">
      <c r="B121" s="9" t="s">
        <v>11</v>
      </c>
      <c r="C121" s="9" t="s">
        <v>71</v>
      </c>
      <c r="D121" s="9" t="s">
        <v>43</v>
      </c>
      <c r="E121" s="9" t="s">
        <v>46</v>
      </c>
      <c r="F121" s="9" t="s">
        <v>47</v>
      </c>
    </row>
    <row r="122" spans="2:9" outlineLevel="1">
      <c r="B122" t="s">
        <v>17</v>
      </c>
      <c r="C122" t="s">
        <v>80</v>
      </c>
      <c r="D122" s="15" cm="1">
        <f t="array" ref="D122">SUMPRODUCT(Table2[Stock],--(Table2[Subsector]='Summary tables'!B122),--(Table2[Wall condition]='Summary tables'!C122))</f>
        <v>155864.66727645352</v>
      </c>
      <c r="E122" s="32" cm="1">
        <f t="array" ref="E122">(SUMPRODUCT(Table2[Stock],Table2[Space heating demand (MWh)],--(Table2[Subsector]=B122),--(Table2[Wall condition]=C122))+SUMPRODUCT(Table2[Stock],Table2[Hot water demand (MWh)],--(Table2[Subsector]=B122),--(Table2[Wall condition]=C122)))/D122</f>
        <v>7.9094185663253818</v>
      </c>
      <c r="F122" s="32" cm="1">
        <f t="array" ref="F122">SUMPRODUCT(Table2[Stock],Table2[Electricity consumption (MWh)],--(Table2[Subsector]=B122),--(Table2[Wall condition]=C122))/D122</f>
        <v>3.9960262437587444</v>
      </c>
    </row>
    <row r="123" spans="2:9" outlineLevel="1">
      <c r="B123" t="s">
        <v>17</v>
      </c>
      <c r="C123" t="s">
        <v>81</v>
      </c>
      <c r="D123" s="15" cm="1">
        <f t="array" ref="D123">SUMPRODUCT(Table2[Stock],--(Table2[Subsector]='Summary tables'!B123),--(Table2[Wall condition]='Summary tables'!C123))</f>
        <v>296932.6672899705</v>
      </c>
      <c r="E123" s="32" cm="1">
        <f t="array" ref="E123">(SUMPRODUCT(Table2[Stock],Table2[Space heating demand (MWh)],--(Table2[Subsector]=B123),--(Table2[Wall condition]=C123))+SUMPRODUCT(Table2[Stock],Table2[Hot water demand (MWh)],--(Table2[Subsector]=B123),--(Table2[Wall condition]=C123)))/D123</f>
        <v>10.50126033101283</v>
      </c>
      <c r="F123" s="32" cm="1">
        <f t="array" ref="F123">SUMPRODUCT(Table2[Stock],Table2[Electricity consumption (MWh)],--(Table2[Subsector]=B123),--(Table2[Wall condition]=C123))/D123</f>
        <v>4.2298234635496934</v>
      </c>
    </row>
    <row r="124" spans="2:9" outlineLevel="1">
      <c r="B124" t="s">
        <v>17</v>
      </c>
      <c r="C124" t="s">
        <v>82</v>
      </c>
      <c r="D124" s="15" cm="1">
        <f t="array" ref="D124">SUMPRODUCT(Table2[Stock],--(Table2[Subsector]='Summary tables'!B124),--(Table2[Wall condition]='Summary tables'!C124))</f>
        <v>420579.13132605713</v>
      </c>
      <c r="E124" s="32" cm="1">
        <f t="array" ref="E124">(SUMPRODUCT(Table2[Stock],Table2[Space heating demand (MWh)],--(Table2[Subsector]=B124),--(Table2[Wall condition]=C124))+SUMPRODUCT(Table2[Stock],Table2[Hot water demand (MWh)],--(Table2[Subsector]=B124),--(Table2[Wall condition]=C124)))/D124</f>
        <v>10.474911426782944</v>
      </c>
      <c r="F124" s="32" cm="1">
        <f t="array" ref="F124">SUMPRODUCT(Table2[Stock],Table2[Electricity consumption (MWh)],--(Table2[Subsector]=B124),--(Table2[Wall condition]=C124))/D124</f>
        <v>4.1500610450416993</v>
      </c>
    </row>
    <row r="125" spans="2:9" outlineLevel="1">
      <c r="B125" t="s">
        <v>17</v>
      </c>
      <c r="C125" t="s">
        <v>83</v>
      </c>
      <c r="D125" s="15" cm="1">
        <f t="array" ref="D125">SUMPRODUCT(Table2[Stock],--(Table2[Subsector]='Summary tables'!B125),--(Table2[Wall condition]='Summary tables'!C125))</f>
        <v>393064.25335542241</v>
      </c>
      <c r="E125" s="32" cm="1">
        <f t="array" ref="E125">(SUMPRODUCT(Table2[Stock],Table2[Space heating demand (MWh)],--(Table2[Subsector]=B125),--(Table2[Wall condition]=C125))+SUMPRODUCT(Table2[Stock],Table2[Hot water demand (MWh)],--(Table2[Subsector]=B125),--(Table2[Wall condition]=C125)))/D125</f>
        <v>10.496943218350523</v>
      </c>
      <c r="F125" s="32" cm="1">
        <f t="array" ref="F125">SUMPRODUCT(Table2[Stock],Table2[Electricity consumption (MWh)],--(Table2[Subsector]=B125),--(Table2[Wall condition]=C125))/D125</f>
        <v>4.0591843450320795</v>
      </c>
    </row>
    <row r="126" spans="2:9" outlineLevel="1">
      <c r="B126" t="s">
        <v>17</v>
      </c>
      <c r="C126" t="s">
        <v>84</v>
      </c>
      <c r="D126" s="15" cm="1">
        <f t="array" ref="D126">SUMPRODUCT(Table2[Stock],--(Table2[Subsector]='Summary tables'!B126),--(Table2[Wall condition]='Summary tables'!C126))</f>
        <v>214848.56920749936</v>
      </c>
      <c r="E126" s="32" cm="1">
        <f t="array" ref="E126">(SUMPRODUCT(Table2[Stock],Table2[Space heating demand (MWh)],--(Table2[Subsector]=B126),--(Table2[Wall condition]=C126))+SUMPRODUCT(Table2[Stock],Table2[Hot water demand (MWh)],--(Table2[Subsector]=B126),--(Table2[Wall condition]=C126)))/D126</f>
        <v>10.758292114903531</v>
      </c>
      <c r="F126" s="32" cm="1">
        <f t="array" ref="F126">SUMPRODUCT(Table2[Stock],Table2[Electricity consumption (MWh)],--(Table2[Subsector]=B126),--(Table2[Wall condition]=C126))/D126</f>
        <v>3.9976065100306881</v>
      </c>
    </row>
    <row r="127" spans="2:9" outlineLevel="1">
      <c r="B127" t="s">
        <v>17</v>
      </c>
      <c r="C127" t="s">
        <v>85</v>
      </c>
      <c r="D127" s="15" cm="1">
        <f t="array" ref="D127">SUMPRODUCT(Table2[Stock],--(Table2[Subsector]='Summary tables'!B127),--(Table2[Wall condition]='Summary tables'!C127))</f>
        <v>110526.57926108091</v>
      </c>
      <c r="E127" s="32" cm="1">
        <f t="array" ref="E127">(SUMPRODUCT(Table2[Stock],Table2[Space heating demand (MWh)],--(Table2[Subsector]=B127),--(Table2[Wall condition]=C127))+SUMPRODUCT(Table2[Stock],Table2[Hot water demand (MWh)],--(Table2[Subsector]=B127),--(Table2[Wall condition]=C127)))/D127</f>
        <v>11.437045714724043</v>
      </c>
      <c r="F127" s="32" cm="1">
        <f t="array" ref="F127">SUMPRODUCT(Table2[Stock],Table2[Electricity consumption (MWh)],--(Table2[Subsector]=B127),--(Table2[Wall condition]=C127))/D127</f>
        <v>3.9868879221687998</v>
      </c>
    </row>
    <row r="128" spans="2:9" outlineLevel="1">
      <c r="B128" t="s">
        <v>17</v>
      </c>
      <c r="C128" t="s">
        <v>86</v>
      </c>
      <c r="D128" s="15" cm="1">
        <f t="array" ref="D128">SUMPRODUCT(Table2[Stock],--(Table2[Subsector]='Summary tables'!B128),--(Table2[Wall condition]='Summary tables'!C128))</f>
        <v>181742.64788351621</v>
      </c>
      <c r="E128" s="32" cm="1">
        <f t="array" ref="E128">(SUMPRODUCT(Table2[Stock],Table2[Space heating demand (MWh)],--(Table2[Subsector]=B128),--(Table2[Wall condition]=C128))+SUMPRODUCT(Table2[Stock],Table2[Hot water demand (MWh)],--(Table2[Subsector]=B128),--(Table2[Wall condition]=C128)))/D128</f>
        <v>10.419469312461906</v>
      </c>
      <c r="F128" s="32" cm="1">
        <f t="array" ref="F128">SUMPRODUCT(Table2[Stock],Table2[Electricity consumption (MWh)],--(Table2[Subsector]=B128),--(Table2[Wall condition]=C128))/D128</f>
        <v>3.8953002805384225</v>
      </c>
    </row>
    <row r="129" spans="2:12" outlineLevel="1">
      <c r="D129" s="15"/>
      <c r="E129" s="32"/>
      <c r="F129" s="32"/>
    </row>
    <row r="131" spans="2:12" ht="18" thickBot="1">
      <c r="B131" s="8" t="s">
        <v>87</v>
      </c>
      <c r="C131" s="8"/>
      <c r="D131" s="8"/>
      <c r="E131" s="8"/>
      <c r="F131" s="8"/>
      <c r="G131" s="8"/>
      <c r="H131" s="8"/>
      <c r="I131" s="8"/>
      <c r="J131" s="8"/>
      <c r="K131" s="8"/>
    </row>
    <row r="132" spans="2:12" ht="15.75" thickTop="1"/>
    <row r="133" spans="2:12" ht="15.75" outlineLevel="1" thickBot="1">
      <c r="B133" s="9" t="s">
        <v>11</v>
      </c>
      <c r="C133" s="9" t="s">
        <v>88</v>
      </c>
      <c r="D133" s="9" t="s">
        <v>89</v>
      </c>
      <c r="E133" s="9" t="s">
        <v>90</v>
      </c>
      <c r="F133" s="9" t="s">
        <v>91</v>
      </c>
      <c r="G133" s="9" t="s">
        <v>92</v>
      </c>
      <c r="H133" s="9" t="s">
        <v>93</v>
      </c>
      <c r="I133" s="9" t="s">
        <v>94</v>
      </c>
      <c r="J133" s="9" t="s">
        <v>95</v>
      </c>
      <c r="K133" s="9"/>
      <c r="L133" s="9"/>
    </row>
    <row r="134" spans="2:12" outlineLevel="1">
      <c r="B134" t="s">
        <v>59</v>
      </c>
      <c r="C134" t="s">
        <v>96</v>
      </c>
      <c r="D134" s="15">
        <f>SUMIFS('Archetype Data'!AF$6:AF$687,'Archetype Data'!$C$6:$C$687,"Industry",'Archetype Data'!$D$6:$D$687,$B134, 'Archetype Data'!$H$6:$H$687,$C134)</f>
        <v>0</v>
      </c>
      <c r="E134" s="15">
        <f>SUMIFS('Archetype Data'!S$6:S$687,'Archetype Data'!$C$6:$C$687,"Industry",'Archetype Data'!$D$6:$D$687,$B134, 'Archetype Data'!$H$6:$H$687,$C134)</f>
        <v>0</v>
      </c>
      <c r="F134" s="15" cm="1">
        <f t="array" ref="F134">SUMPRODUCT('Archetype Data'!AG$6:AG$687,'Archetype Data'!$S$6:$S$687,--('Archetype Data'!$C$6:$C$687="Industry"),--('Archetype Data'!$D$6:$D$687=$B134),--('Archetype Data'!$H$6:$H$687=$C134))</f>
        <v>0</v>
      </c>
      <c r="G134" s="15" cm="1">
        <f t="array" ref="G134">SUMPRODUCT('Archetype Data'!AH$6:AH$687,'Archetype Data'!$S$6:$S$687,--('Archetype Data'!$C$6:$C$687="Industry"),--('Archetype Data'!$D$6:$D$687=$B134),--('Archetype Data'!$H$6:$H$687=$C134))</f>
        <v>0</v>
      </c>
      <c r="H134" s="15" cm="1">
        <f t="array" ref="H134">SUMPRODUCT('Archetype Data'!AI$6:AI$687,'Archetype Data'!$S$6:$S$687,--('Archetype Data'!$C$6:$C$687="Industry"),--('Archetype Data'!$D$6:$D$687=$B134),--('Archetype Data'!$H$6:$H$687=$C134))</f>
        <v>0</v>
      </c>
      <c r="I134" s="15" cm="1">
        <f t="array" ref="I134">SUMPRODUCT('Archetype Data'!AJ$6:AJ$687,'Archetype Data'!$S$6:$S$687,--('Archetype Data'!$C$6:$C$687="Industry"),--('Archetype Data'!$D$6:$D$687=$B134),--('Archetype Data'!$H$6:$H$687=$C134))</f>
        <v>0</v>
      </c>
      <c r="J134" s="15" cm="1">
        <f t="array" ref="J134">SUMPRODUCT('Archetype Data'!AK$6:AK$687,'Archetype Data'!$S$6:$S$687,--('Archetype Data'!$C$6:$C$687="Industry"),--('Archetype Data'!$D$6:$D$687=$B134),--('Archetype Data'!$H$6:$H$687=$C134))</f>
        <v>0</v>
      </c>
    </row>
    <row r="135" spans="2:12" outlineLevel="1">
      <c r="B135" t="s">
        <v>59</v>
      </c>
      <c r="C135" t="s">
        <v>97</v>
      </c>
      <c r="D135" s="15">
        <f>SUMIFS('Archetype Data'!AF$6:AF$687,'Archetype Data'!$C$6:$C$687,"Industry",'Archetype Data'!$D$6:$D$687,$B135, 'Archetype Data'!$H$6:$H$687,$C135)</f>
        <v>0</v>
      </c>
      <c r="E135" s="15">
        <f>SUMIFS('Archetype Data'!S$6:S$687,'Archetype Data'!$C$6:$C$687,"Industry",'Archetype Data'!$D$6:$D$687,$B135, 'Archetype Data'!$H$6:$H$687,$C135)</f>
        <v>0</v>
      </c>
      <c r="F135" s="15" cm="1">
        <f t="array" ref="F135">SUMPRODUCT('Archetype Data'!AG$6:AG$687,'Archetype Data'!$S$6:$S$687,--('Archetype Data'!$C$6:$C$687="Industry"),--('Archetype Data'!$D$6:$D$687=$B135),--('Archetype Data'!$H$6:$H$687=$C135))</f>
        <v>0</v>
      </c>
      <c r="G135" s="15" cm="1">
        <f t="array" ref="G135">SUMPRODUCT('Archetype Data'!AH$6:AH$687,'Archetype Data'!$S$6:$S$687,--('Archetype Data'!$C$6:$C$687="Industry"),--('Archetype Data'!$D$6:$D$687=$B135),--('Archetype Data'!$H$6:$H$687=$C135))</f>
        <v>0</v>
      </c>
      <c r="H135" s="15" cm="1">
        <f t="array" ref="H135">SUMPRODUCT('Archetype Data'!AI$6:AI$687,'Archetype Data'!$S$6:$S$687,--('Archetype Data'!$C$6:$C$687="Industry"),--('Archetype Data'!$D$6:$D$687=$B135),--('Archetype Data'!$H$6:$H$687=$C135))</f>
        <v>0</v>
      </c>
      <c r="I135" s="15" cm="1">
        <f t="array" ref="I135">SUMPRODUCT('Archetype Data'!AJ$6:AJ$687,'Archetype Data'!$S$6:$S$687,--('Archetype Data'!$C$6:$C$687="Industry"),--('Archetype Data'!$D$6:$D$687=$B135),--('Archetype Data'!$H$6:$H$687=$C135))</f>
        <v>0</v>
      </c>
      <c r="J135" s="15" cm="1">
        <f t="array" ref="J135">SUMPRODUCT('Archetype Data'!AK$6:AK$687,'Archetype Data'!$S$6:$S$687,--('Archetype Data'!$C$6:$C$687="Industry"),--('Archetype Data'!$D$6:$D$687=$B135),--('Archetype Data'!$H$6:$H$687=$C135))</f>
        <v>0</v>
      </c>
    </row>
    <row r="136" spans="2:12" outlineLevel="1">
      <c r="B136" t="s">
        <v>59</v>
      </c>
      <c r="C136" t="s">
        <v>98</v>
      </c>
      <c r="D136" s="15">
        <f>SUMIFS('Archetype Data'!AF$6:AF$687,'Archetype Data'!$C$6:$C$687,"Industry",'Archetype Data'!$D$6:$D$687,$B136, 'Archetype Data'!$H$6:$H$687,$C136)</f>
        <v>0</v>
      </c>
      <c r="E136" s="15">
        <f>SUMIFS('Archetype Data'!S$6:S$687,'Archetype Data'!$C$6:$C$687,"Industry",'Archetype Data'!$D$6:$D$687,$B136, 'Archetype Data'!$H$6:$H$687,$C136)</f>
        <v>0</v>
      </c>
      <c r="F136" s="15" cm="1">
        <f t="array" ref="F136">SUMPRODUCT('Archetype Data'!AG$6:AG$687,'Archetype Data'!$S$6:$S$687,--('Archetype Data'!$C$6:$C$687="Industry"),--('Archetype Data'!$D$6:$D$687=$B136),--('Archetype Data'!$H$6:$H$687=$C136))</f>
        <v>0</v>
      </c>
      <c r="G136" s="15" cm="1">
        <f t="array" ref="G136">SUMPRODUCT('Archetype Data'!AH$6:AH$687,'Archetype Data'!$S$6:$S$687,--('Archetype Data'!$C$6:$C$687="Industry"),--('Archetype Data'!$D$6:$D$687=$B136),--('Archetype Data'!$H$6:$H$687=$C136))</f>
        <v>0</v>
      </c>
      <c r="H136" s="15" cm="1">
        <f t="array" ref="H136">SUMPRODUCT('Archetype Data'!AI$6:AI$687,'Archetype Data'!$S$6:$S$687,--('Archetype Data'!$C$6:$C$687="Industry"),--('Archetype Data'!$D$6:$D$687=$B136),--('Archetype Data'!$H$6:$H$687=$C136))</f>
        <v>0</v>
      </c>
      <c r="I136" s="15" cm="1">
        <f t="array" ref="I136">SUMPRODUCT('Archetype Data'!AJ$6:AJ$687,'Archetype Data'!$S$6:$S$687,--('Archetype Data'!$C$6:$C$687="Industry"),--('Archetype Data'!$D$6:$D$687=$B136),--('Archetype Data'!$H$6:$H$687=$C136))</f>
        <v>0</v>
      </c>
      <c r="J136" s="15" cm="1">
        <f t="array" ref="J136">SUMPRODUCT('Archetype Data'!AK$6:AK$687,'Archetype Data'!$S$6:$S$687,--('Archetype Data'!$C$6:$C$687="Industry"),--('Archetype Data'!$D$6:$D$687=$B136),--('Archetype Data'!$H$6:$H$687=$C136))</f>
        <v>0</v>
      </c>
    </row>
    <row r="137" spans="2:12" outlineLevel="1">
      <c r="B137" t="s">
        <v>60</v>
      </c>
      <c r="C137" t="s">
        <v>99</v>
      </c>
      <c r="D137" s="15">
        <f>SUMIFS('Archetype Data'!AF$6:AF$687,'Archetype Data'!$C$6:$C$687,"Industry",'Archetype Data'!$D$6:$D$687,$B137, 'Archetype Data'!$H$6:$H$687,$C137)</f>
        <v>0.56765859843128097</v>
      </c>
      <c r="E137" s="15">
        <f>SUMIFS('Archetype Data'!S$6:S$687,'Archetype Data'!$C$6:$C$687,"Industry",'Archetype Data'!$D$6:$D$687,$B137, 'Archetype Data'!$H$6:$H$687,$C137)</f>
        <v>0.58521504992915563</v>
      </c>
      <c r="F137" s="15" cm="1">
        <f t="array" ref="F137">SUMPRODUCT('Archetype Data'!AG$6:AG$687,'Archetype Data'!$S$6:$S$687,--('Archetype Data'!$C$6:$C$687="Industry"),--('Archetype Data'!$D$6:$D$687=$B137),--('Archetype Data'!$H$6:$H$687=$C137))</f>
        <v>410119.61369245715</v>
      </c>
      <c r="G137" s="15" cm="1">
        <f t="array" ref="G137">SUMPRODUCT('Archetype Data'!AH$6:AH$687,'Archetype Data'!$S$6:$S$687,--('Archetype Data'!$C$6:$C$687="Industry"),--('Archetype Data'!$D$6:$D$687=$B137),--('Archetype Data'!$H$6:$H$687=$C137))</f>
        <v>410119.61369245715</v>
      </c>
      <c r="H137" s="15" cm="1">
        <f t="array" ref="H137">SUMPRODUCT('Archetype Data'!AI$6:AI$687,'Archetype Data'!$S$6:$S$687,--('Archetype Data'!$C$6:$C$687="Industry"),--('Archetype Data'!$D$6:$D$687=$B137),--('Archetype Data'!$H$6:$H$687=$C137))</f>
        <v>0</v>
      </c>
      <c r="I137" s="15" cm="1">
        <f t="array" ref="I137">SUMPRODUCT('Archetype Data'!AJ$6:AJ$687,'Archetype Data'!$S$6:$S$687,--('Archetype Data'!$C$6:$C$687="Industry"),--('Archetype Data'!$D$6:$D$687=$B137),--('Archetype Data'!$H$6:$H$687=$C137))</f>
        <v>0</v>
      </c>
      <c r="J137" s="15" cm="1">
        <f t="array" ref="J137">SUMPRODUCT('Archetype Data'!AK$6:AK$687,'Archetype Data'!$S$6:$S$687,--('Archetype Data'!$C$6:$C$687="Industry"),--('Archetype Data'!$D$6:$D$687=$B137),--('Archetype Data'!$H$6:$H$687=$C137))</f>
        <v>0</v>
      </c>
    </row>
    <row r="138" spans="2:12" outlineLevel="1">
      <c r="B138" t="s">
        <v>60</v>
      </c>
      <c r="C138" t="s">
        <v>98</v>
      </c>
      <c r="D138" s="15">
        <f>SUMIFS('Archetype Data'!AF$6:AF$687,'Archetype Data'!$C$6:$C$687,"Industry",'Archetype Data'!$D$6:$D$687,$B138, 'Archetype Data'!$H$6:$H$687,$C138)</f>
        <v>0</v>
      </c>
      <c r="E138" s="15">
        <f>SUMIFS('Archetype Data'!S$6:S$687,'Archetype Data'!$C$6:$C$687,"Industry",'Archetype Data'!$D$6:$D$687,$B138, 'Archetype Data'!$H$6:$H$687,$C138)</f>
        <v>0</v>
      </c>
      <c r="F138" s="15" cm="1">
        <f t="array" ref="F138">SUMPRODUCT('Archetype Data'!AG$6:AG$687,'Archetype Data'!$S$6:$S$687,--('Archetype Data'!$C$6:$C$687="Industry"),--('Archetype Data'!$D$6:$D$687=$B138),--('Archetype Data'!$H$6:$H$687=$C138))</f>
        <v>0</v>
      </c>
      <c r="G138" s="15" cm="1">
        <f t="array" ref="G138">SUMPRODUCT('Archetype Data'!AH$6:AH$687,'Archetype Data'!$S$6:$S$687,--('Archetype Data'!$C$6:$C$687="Industry"),--('Archetype Data'!$D$6:$D$687=$B138),--('Archetype Data'!$H$6:$H$687=$C138))</f>
        <v>0</v>
      </c>
      <c r="H138" s="15" cm="1">
        <f t="array" ref="H138">SUMPRODUCT('Archetype Data'!AI$6:AI$687,'Archetype Data'!$S$6:$S$687,--('Archetype Data'!$C$6:$C$687="Industry"),--('Archetype Data'!$D$6:$D$687=$B138),--('Archetype Data'!$H$6:$H$687=$C138))</f>
        <v>0</v>
      </c>
      <c r="I138" s="15" cm="1">
        <f t="array" ref="I138">SUMPRODUCT('Archetype Data'!AJ$6:AJ$687,'Archetype Data'!$S$6:$S$687,--('Archetype Data'!$C$6:$C$687="Industry"),--('Archetype Data'!$D$6:$D$687=$B138),--('Archetype Data'!$H$6:$H$687=$C138))</f>
        <v>0</v>
      </c>
      <c r="J138" s="15" cm="1">
        <f t="array" ref="J138">SUMPRODUCT('Archetype Data'!AK$6:AK$687,'Archetype Data'!$S$6:$S$687,--('Archetype Data'!$C$6:$C$687="Industry"),--('Archetype Data'!$D$6:$D$687=$B138),--('Archetype Data'!$H$6:$H$687=$C138))</f>
        <v>0</v>
      </c>
    </row>
    <row r="139" spans="2:12" outlineLevel="1">
      <c r="B139" t="s">
        <v>60</v>
      </c>
      <c r="C139" t="s">
        <v>100</v>
      </c>
      <c r="D139" s="15">
        <f>SUMIFS('Archetype Data'!AF$6:AF$687,'Archetype Data'!$C$6:$C$687,"Industry",'Archetype Data'!$D$6:$D$687,$B139, 'Archetype Data'!$H$6:$H$687,$C139)</f>
        <v>1.7556451497874669E-2</v>
      </c>
      <c r="E139" s="15">
        <f>SUMIFS('Archetype Data'!S$6:S$687,'Archetype Data'!$C$6:$C$687,"Industry",'Archetype Data'!$D$6:$D$687,$B139, 'Archetype Data'!$H$6:$H$687,$C139)</f>
        <v>0.58521504992915563</v>
      </c>
      <c r="F139" s="15" cm="1">
        <f t="array" ref="F139">SUMPRODUCT('Archetype Data'!AG$6:AG$687,'Archetype Data'!$S$6:$S$687,--('Archetype Data'!$C$6:$C$687="Industry"),--('Archetype Data'!$D$6:$D$687=$B139),--('Archetype Data'!$H$6:$H$687=$C139))</f>
        <v>12965.980913988333</v>
      </c>
      <c r="G139" s="15" cm="1">
        <f t="array" ref="G139">SUMPRODUCT('Archetype Data'!AH$6:AH$687,'Archetype Data'!$S$6:$S$687,--('Archetype Data'!$C$6:$C$687="Industry"),--('Archetype Data'!$D$6:$D$687=$B139),--('Archetype Data'!$H$6:$H$687=$C139))</f>
        <v>0</v>
      </c>
      <c r="H139" s="15" cm="1">
        <f t="array" ref="H139">SUMPRODUCT('Archetype Data'!AI$6:AI$687,'Archetype Data'!$S$6:$S$687,--('Archetype Data'!$C$6:$C$687="Industry"),--('Archetype Data'!$D$6:$D$687=$B139),--('Archetype Data'!$H$6:$H$687=$C139))</f>
        <v>12965.980913988333</v>
      </c>
      <c r="I139" s="15" cm="1">
        <f t="array" ref="I139">SUMPRODUCT('Archetype Data'!AJ$6:AJ$687,'Archetype Data'!$S$6:$S$687,--('Archetype Data'!$C$6:$C$687="Industry"),--('Archetype Data'!$D$6:$D$687=$B139),--('Archetype Data'!$H$6:$H$687=$C139))</f>
        <v>0</v>
      </c>
      <c r="J139" s="15" cm="1">
        <f t="array" ref="J139">SUMPRODUCT('Archetype Data'!AK$6:AK$687,'Archetype Data'!$S$6:$S$687,--('Archetype Data'!$C$6:$C$687="Industry"),--('Archetype Data'!$D$6:$D$687=$B139),--('Archetype Data'!$H$6:$H$687=$C139))</f>
        <v>0</v>
      </c>
    </row>
    <row r="140" spans="2:12" outlineLevel="1">
      <c r="B140" t="s">
        <v>61</v>
      </c>
      <c r="C140" t="s">
        <v>96</v>
      </c>
      <c r="D140" s="15">
        <f>SUMIFS('Archetype Data'!AF$6:AF$687,'Archetype Data'!$C$6:$C$687,"Industry",'Archetype Data'!$D$6:$D$687,$B140, 'Archetype Data'!$H$6:$H$687,$C140)</f>
        <v>0</v>
      </c>
      <c r="E140" s="15">
        <f>SUMIFS('Archetype Data'!S$6:S$687,'Archetype Data'!$C$6:$C$687,"Industry",'Archetype Data'!$D$6:$D$687,$B140, 'Archetype Data'!$H$6:$H$687,$C140)</f>
        <v>0</v>
      </c>
      <c r="F140" s="15" cm="1">
        <f t="array" ref="F140">SUMPRODUCT('Archetype Data'!AG$6:AG$687,'Archetype Data'!$S$6:$S$687,--('Archetype Data'!$C$6:$C$687="Industry"),--('Archetype Data'!$D$6:$D$687=$B140),--('Archetype Data'!$H$6:$H$687=$C140))</f>
        <v>0</v>
      </c>
      <c r="G140" s="15" cm="1">
        <f t="array" ref="G140">SUMPRODUCT('Archetype Data'!AH$6:AH$687,'Archetype Data'!$S$6:$S$687,--('Archetype Data'!$C$6:$C$687="Industry"),--('Archetype Data'!$D$6:$D$687=$B140),--('Archetype Data'!$H$6:$H$687=$C140))</f>
        <v>0</v>
      </c>
      <c r="H140" s="15" cm="1">
        <f t="array" ref="H140">SUMPRODUCT('Archetype Data'!AI$6:AI$687,'Archetype Data'!$S$6:$S$687,--('Archetype Data'!$C$6:$C$687="Industry"),--('Archetype Data'!$D$6:$D$687=$B140),--('Archetype Data'!$H$6:$H$687=$C140))</f>
        <v>0</v>
      </c>
      <c r="I140" s="15" cm="1">
        <f t="array" ref="I140">SUMPRODUCT('Archetype Data'!AJ$6:AJ$687,'Archetype Data'!$S$6:$S$687,--('Archetype Data'!$C$6:$C$687="Industry"),--('Archetype Data'!$D$6:$D$687=$B140),--('Archetype Data'!$H$6:$H$687=$C140))</f>
        <v>0</v>
      </c>
      <c r="J140" s="15" cm="1">
        <f t="array" ref="J140">SUMPRODUCT('Archetype Data'!AK$6:AK$687,'Archetype Data'!$S$6:$S$687,--('Archetype Data'!$C$6:$C$687="Industry"),--('Archetype Data'!$D$6:$D$687=$B140),--('Archetype Data'!$H$6:$H$687=$C140))</f>
        <v>0</v>
      </c>
    </row>
    <row r="141" spans="2:12" outlineLevel="1">
      <c r="B141" t="s">
        <v>61</v>
      </c>
      <c r="C141" t="s">
        <v>97</v>
      </c>
      <c r="D141" s="15">
        <f>SUMIFS('Archetype Data'!AF$6:AF$687,'Archetype Data'!$C$6:$C$687,"Industry",'Archetype Data'!$D$6:$D$687,$B141, 'Archetype Data'!$H$6:$H$687,$C141)</f>
        <v>0</v>
      </c>
      <c r="E141" s="15">
        <f>SUMIFS('Archetype Data'!S$6:S$687,'Archetype Data'!$C$6:$C$687,"Industry",'Archetype Data'!$D$6:$D$687,$B141, 'Archetype Data'!$H$6:$H$687,$C141)</f>
        <v>0</v>
      </c>
      <c r="F141" s="15" cm="1">
        <f t="array" ref="F141">SUMPRODUCT('Archetype Data'!AG$6:AG$687,'Archetype Data'!$S$6:$S$687,--('Archetype Data'!$C$6:$C$687="Industry"),--('Archetype Data'!$D$6:$D$687=$B141),--('Archetype Data'!$H$6:$H$687=$C141))</f>
        <v>0</v>
      </c>
      <c r="G141" s="15" cm="1">
        <f t="array" ref="G141">SUMPRODUCT('Archetype Data'!AH$6:AH$687,'Archetype Data'!$S$6:$S$687,--('Archetype Data'!$C$6:$C$687="Industry"),--('Archetype Data'!$D$6:$D$687=$B141),--('Archetype Data'!$H$6:$H$687=$C141))</f>
        <v>0</v>
      </c>
      <c r="H141" s="15" cm="1">
        <f t="array" ref="H141">SUMPRODUCT('Archetype Data'!AI$6:AI$687,'Archetype Data'!$S$6:$S$687,--('Archetype Data'!$C$6:$C$687="Industry"),--('Archetype Data'!$D$6:$D$687=$B141),--('Archetype Data'!$H$6:$H$687=$C141))</f>
        <v>0</v>
      </c>
      <c r="I141" s="15" cm="1">
        <f t="array" ref="I141">SUMPRODUCT('Archetype Data'!AJ$6:AJ$687,'Archetype Data'!$S$6:$S$687,--('Archetype Data'!$C$6:$C$687="Industry"),--('Archetype Data'!$D$6:$D$687=$B141),--('Archetype Data'!$H$6:$H$687=$C141))</f>
        <v>0</v>
      </c>
      <c r="J141" s="15" cm="1">
        <f t="array" ref="J141">SUMPRODUCT('Archetype Data'!AK$6:AK$687,'Archetype Data'!$S$6:$S$687,--('Archetype Data'!$C$6:$C$687="Industry"),--('Archetype Data'!$D$6:$D$687=$B141),--('Archetype Data'!$H$6:$H$687=$C141))</f>
        <v>0</v>
      </c>
    </row>
    <row r="142" spans="2:12" outlineLevel="1">
      <c r="B142" t="s">
        <v>61</v>
      </c>
      <c r="C142" t="s">
        <v>98</v>
      </c>
      <c r="D142" s="15">
        <f>SUMIFS('Archetype Data'!AF$6:AF$687,'Archetype Data'!$C$6:$C$687,"Industry",'Archetype Data'!$D$6:$D$687,$B142, 'Archetype Data'!$H$6:$H$687,$C142)</f>
        <v>0</v>
      </c>
      <c r="E142" s="15">
        <f>SUMIFS('Archetype Data'!S$6:S$687,'Archetype Data'!$C$6:$C$687,"Industry",'Archetype Data'!$D$6:$D$687,$B142, 'Archetype Data'!$H$6:$H$687,$C142)</f>
        <v>0</v>
      </c>
      <c r="F142" s="15" cm="1">
        <f t="array" ref="F142">SUMPRODUCT('Archetype Data'!AG$6:AG$687,'Archetype Data'!$S$6:$S$687,--('Archetype Data'!$C$6:$C$687="Industry"),--('Archetype Data'!$D$6:$D$687=$B142),--('Archetype Data'!$H$6:$H$687=$C142))</f>
        <v>0</v>
      </c>
      <c r="G142" s="15" cm="1">
        <f t="array" ref="G142">SUMPRODUCT('Archetype Data'!AH$6:AH$687,'Archetype Data'!$S$6:$S$687,--('Archetype Data'!$C$6:$C$687="Industry"),--('Archetype Data'!$D$6:$D$687=$B142),--('Archetype Data'!$H$6:$H$687=$C142))</f>
        <v>0</v>
      </c>
      <c r="H142" s="15" cm="1">
        <f t="array" ref="H142">SUMPRODUCT('Archetype Data'!AI$6:AI$687,'Archetype Data'!$S$6:$S$687,--('Archetype Data'!$C$6:$C$687="Industry"),--('Archetype Data'!$D$6:$D$687=$B142),--('Archetype Data'!$H$6:$H$687=$C142))</f>
        <v>0</v>
      </c>
      <c r="I142" s="15" cm="1">
        <f t="array" ref="I142">SUMPRODUCT('Archetype Data'!AJ$6:AJ$687,'Archetype Data'!$S$6:$S$687,--('Archetype Data'!$C$6:$C$687="Industry"),--('Archetype Data'!$D$6:$D$687=$B142),--('Archetype Data'!$H$6:$H$687=$C142))</f>
        <v>0</v>
      </c>
      <c r="J142" s="15" cm="1">
        <f t="array" ref="J142">SUMPRODUCT('Archetype Data'!AK$6:AK$687,'Archetype Data'!$S$6:$S$687,--('Archetype Data'!$C$6:$C$687="Industry"),--('Archetype Data'!$D$6:$D$687=$B142),--('Archetype Data'!$H$6:$H$687=$C142))</f>
        <v>0</v>
      </c>
    </row>
    <row r="143" spans="2:12" outlineLevel="1">
      <c r="B143" t="s">
        <v>62</v>
      </c>
      <c r="C143" t="s">
        <v>96</v>
      </c>
      <c r="D143" s="15">
        <f>SUMIFS('Archetype Data'!AF$6:AF$687,'Archetype Data'!$C$6:$C$687,"Industry",'Archetype Data'!$D$6:$D$687,$B143, 'Archetype Data'!$H$6:$H$687,$C143)</f>
        <v>0</v>
      </c>
      <c r="E143" s="15">
        <f>SUMIFS('Archetype Data'!S$6:S$687,'Archetype Data'!$C$6:$C$687,"Industry",'Archetype Data'!$D$6:$D$687,$B143, 'Archetype Data'!$H$6:$H$687,$C143)</f>
        <v>0</v>
      </c>
      <c r="F143" s="15" cm="1">
        <f t="array" ref="F143">SUMPRODUCT('Archetype Data'!AG$6:AG$687,'Archetype Data'!$S$6:$S$687,--('Archetype Data'!$C$6:$C$687="Industry"),--('Archetype Data'!$D$6:$D$687=$B143),--('Archetype Data'!$H$6:$H$687=$C143))</f>
        <v>0</v>
      </c>
      <c r="G143" s="15" cm="1">
        <f t="array" ref="G143">SUMPRODUCT('Archetype Data'!AH$6:AH$687,'Archetype Data'!$S$6:$S$687,--('Archetype Data'!$C$6:$C$687="Industry"),--('Archetype Data'!$D$6:$D$687=$B143),--('Archetype Data'!$H$6:$H$687=$C143))</f>
        <v>0</v>
      </c>
      <c r="H143" s="15" cm="1">
        <f t="array" ref="H143">SUMPRODUCT('Archetype Data'!AI$6:AI$687,'Archetype Data'!$S$6:$S$687,--('Archetype Data'!$C$6:$C$687="Industry"),--('Archetype Data'!$D$6:$D$687=$B143),--('Archetype Data'!$H$6:$H$687=$C143))</f>
        <v>0</v>
      </c>
      <c r="I143" s="15" cm="1">
        <f t="array" ref="I143">SUMPRODUCT('Archetype Data'!AJ$6:AJ$687,'Archetype Data'!$S$6:$S$687,--('Archetype Data'!$C$6:$C$687="Industry"),--('Archetype Data'!$D$6:$D$687=$B143),--('Archetype Data'!$H$6:$H$687=$C143))</f>
        <v>0</v>
      </c>
      <c r="J143" s="15" cm="1">
        <f t="array" ref="J143">SUMPRODUCT('Archetype Data'!AK$6:AK$687,'Archetype Data'!$S$6:$S$687,--('Archetype Data'!$C$6:$C$687="Industry"),--('Archetype Data'!$D$6:$D$687=$B143),--('Archetype Data'!$H$6:$H$687=$C143))</f>
        <v>0</v>
      </c>
    </row>
    <row r="144" spans="2:12" outlineLevel="1">
      <c r="B144" t="s">
        <v>62</v>
      </c>
      <c r="C144" t="s">
        <v>100</v>
      </c>
      <c r="D144" s="15">
        <f>SUMIFS('Archetype Data'!AF$6:AF$687,'Archetype Data'!$C$6:$C$687,"Industry",'Archetype Data'!$D$6:$D$687,$B144, 'Archetype Data'!$H$6:$H$687,$C144)</f>
        <v>0</v>
      </c>
      <c r="E144" s="15">
        <f>SUMIFS('Archetype Data'!S$6:S$687,'Archetype Data'!$C$6:$C$687,"Industry",'Archetype Data'!$D$6:$D$687,$B144, 'Archetype Data'!$H$6:$H$687,$C144)</f>
        <v>0</v>
      </c>
      <c r="F144" s="15" cm="1">
        <f t="array" ref="F144">SUMPRODUCT('Archetype Data'!AG$6:AG$687,'Archetype Data'!$S$6:$S$687,--('Archetype Data'!$C$6:$C$687="Industry"),--('Archetype Data'!$D$6:$D$687=$B144),--('Archetype Data'!$H$6:$H$687=$C144))</f>
        <v>0</v>
      </c>
      <c r="G144" s="15" cm="1">
        <f t="array" ref="G144">SUMPRODUCT('Archetype Data'!AH$6:AH$687,'Archetype Data'!$S$6:$S$687,--('Archetype Data'!$C$6:$C$687="Industry"),--('Archetype Data'!$D$6:$D$687=$B144),--('Archetype Data'!$H$6:$H$687=$C144))</f>
        <v>0</v>
      </c>
      <c r="H144" s="15" cm="1">
        <f t="array" ref="H144">SUMPRODUCT('Archetype Data'!AI$6:AI$687,'Archetype Data'!$S$6:$S$687,--('Archetype Data'!$C$6:$C$687="Industry"),--('Archetype Data'!$D$6:$D$687=$B144),--('Archetype Data'!$H$6:$H$687=$C144))</f>
        <v>0</v>
      </c>
      <c r="I144" s="15" cm="1">
        <f t="array" ref="I144">SUMPRODUCT('Archetype Data'!AJ$6:AJ$687,'Archetype Data'!$S$6:$S$687,--('Archetype Data'!$C$6:$C$687="Industry"),--('Archetype Data'!$D$6:$D$687=$B144),--('Archetype Data'!$H$6:$H$687=$C144))</f>
        <v>0</v>
      </c>
      <c r="J144" s="15" cm="1">
        <f t="array" ref="J144">SUMPRODUCT('Archetype Data'!AK$6:AK$687,'Archetype Data'!$S$6:$S$687,--('Archetype Data'!$C$6:$C$687="Industry"),--('Archetype Data'!$D$6:$D$687=$B144),--('Archetype Data'!$H$6:$H$687=$C144))</f>
        <v>0</v>
      </c>
    </row>
    <row r="145" spans="2:10" outlineLevel="1">
      <c r="B145" t="s">
        <v>63</v>
      </c>
      <c r="C145" t="s">
        <v>101</v>
      </c>
      <c r="D145" s="15">
        <f>SUMIFS('Archetype Data'!AF$6:AF$687,'Archetype Data'!$C$6:$C$687,"Industry",'Archetype Data'!$D$6:$D$687,$B145, 'Archetype Data'!$H$6:$H$687,$C145)</f>
        <v>0</v>
      </c>
      <c r="E145" s="15">
        <f>SUMIFS('Archetype Data'!S$6:S$687,'Archetype Data'!$C$6:$C$687,"Industry",'Archetype Data'!$D$6:$D$687,$B145, 'Archetype Data'!$H$6:$H$687,$C145)</f>
        <v>0</v>
      </c>
      <c r="F145" s="15" cm="1">
        <f t="array" ref="F145">SUMPRODUCT('Archetype Data'!AG$6:AG$687,'Archetype Data'!$S$6:$S$687,--('Archetype Data'!$C$6:$C$687="Industry"),--('Archetype Data'!$D$6:$D$687=$B145),--('Archetype Data'!$H$6:$H$687=$C145))</f>
        <v>0</v>
      </c>
      <c r="G145" s="15" cm="1">
        <f t="array" ref="G145">SUMPRODUCT('Archetype Data'!AH$6:AH$687,'Archetype Data'!$S$6:$S$687,--('Archetype Data'!$C$6:$C$687="Industry"),--('Archetype Data'!$D$6:$D$687=$B145),--('Archetype Data'!$H$6:$H$687=$C145))</f>
        <v>0</v>
      </c>
      <c r="H145" s="15" cm="1">
        <f t="array" ref="H145">SUMPRODUCT('Archetype Data'!AI$6:AI$687,'Archetype Data'!$S$6:$S$687,--('Archetype Data'!$C$6:$C$687="Industry"),--('Archetype Data'!$D$6:$D$687=$B145),--('Archetype Data'!$H$6:$H$687=$C145))</f>
        <v>0</v>
      </c>
      <c r="I145" s="15" cm="1">
        <f t="array" ref="I145">SUMPRODUCT('Archetype Data'!AJ$6:AJ$687,'Archetype Data'!$S$6:$S$687,--('Archetype Data'!$C$6:$C$687="Industry"),--('Archetype Data'!$D$6:$D$687=$B145),--('Archetype Data'!$H$6:$H$687=$C145))</f>
        <v>0</v>
      </c>
      <c r="J145" s="15" cm="1">
        <f t="array" ref="J145">SUMPRODUCT('Archetype Data'!AK$6:AK$687,'Archetype Data'!$S$6:$S$687,--('Archetype Data'!$C$6:$C$687="Industry"),--('Archetype Data'!$D$6:$D$687=$B145),--('Archetype Data'!$H$6:$H$687=$C145))</f>
        <v>0</v>
      </c>
    </row>
    <row r="146" spans="2:10" outlineLevel="1">
      <c r="B146" t="s">
        <v>63</v>
      </c>
      <c r="C146" t="s">
        <v>96</v>
      </c>
      <c r="D146" s="15">
        <f>SUMIFS('Archetype Data'!AF$6:AF$687,'Archetype Data'!$C$6:$C$687,"Industry",'Archetype Data'!$D$6:$D$687,$B146, 'Archetype Data'!$H$6:$H$687,$C146)</f>
        <v>0</v>
      </c>
      <c r="E146" s="15">
        <f>SUMIFS('Archetype Data'!S$6:S$687,'Archetype Data'!$C$6:$C$687,"Industry",'Archetype Data'!$D$6:$D$687,$B146, 'Archetype Data'!$H$6:$H$687,$C146)</f>
        <v>0</v>
      </c>
      <c r="F146" s="15" cm="1">
        <f t="array" ref="F146">SUMPRODUCT('Archetype Data'!AG$6:AG$687,'Archetype Data'!$S$6:$S$687,--('Archetype Data'!$C$6:$C$687="Industry"),--('Archetype Data'!$D$6:$D$687=$B146),--('Archetype Data'!$H$6:$H$687=$C146))</f>
        <v>0</v>
      </c>
      <c r="G146" s="15" cm="1">
        <f t="array" ref="G146">SUMPRODUCT('Archetype Data'!AH$6:AH$687,'Archetype Data'!$S$6:$S$687,--('Archetype Data'!$C$6:$C$687="Industry"),--('Archetype Data'!$D$6:$D$687=$B146),--('Archetype Data'!$H$6:$H$687=$C146))</f>
        <v>0</v>
      </c>
      <c r="H146" s="15" cm="1">
        <f t="array" ref="H146">SUMPRODUCT('Archetype Data'!AI$6:AI$687,'Archetype Data'!$S$6:$S$687,--('Archetype Data'!$C$6:$C$687="Industry"),--('Archetype Data'!$D$6:$D$687=$B146),--('Archetype Data'!$H$6:$H$687=$C146))</f>
        <v>0</v>
      </c>
      <c r="I146" s="15" cm="1">
        <f t="array" ref="I146">SUMPRODUCT('Archetype Data'!AJ$6:AJ$687,'Archetype Data'!$S$6:$S$687,--('Archetype Data'!$C$6:$C$687="Industry"),--('Archetype Data'!$D$6:$D$687=$B146),--('Archetype Data'!$H$6:$H$687=$C146))</f>
        <v>0</v>
      </c>
      <c r="J146" s="15" cm="1">
        <f t="array" ref="J146">SUMPRODUCT('Archetype Data'!AK$6:AK$687,'Archetype Data'!$S$6:$S$687,--('Archetype Data'!$C$6:$C$687="Industry"),--('Archetype Data'!$D$6:$D$687=$B146),--('Archetype Data'!$H$6:$H$687=$C146))</f>
        <v>0</v>
      </c>
    </row>
    <row r="147" spans="2:10" outlineLevel="1">
      <c r="B147" t="s">
        <v>63</v>
      </c>
      <c r="C147" t="s">
        <v>100</v>
      </c>
      <c r="D147" s="15">
        <f>SUMIFS('Archetype Data'!AF$6:AF$687,'Archetype Data'!$C$6:$C$687,"Industry",'Archetype Data'!$D$6:$D$687,$B147, 'Archetype Data'!$H$6:$H$687,$C147)</f>
        <v>0</v>
      </c>
      <c r="E147" s="15">
        <f>SUMIFS('Archetype Data'!S$6:S$687,'Archetype Data'!$C$6:$C$687,"Industry",'Archetype Data'!$D$6:$D$687,$B147, 'Archetype Data'!$H$6:$H$687,$C147)</f>
        <v>0</v>
      </c>
      <c r="F147" s="15" cm="1">
        <f t="array" ref="F147">SUMPRODUCT('Archetype Data'!AG$6:AG$687,'Archetype Data'!$S$6:$S$687,--('Archetype Data'!$C$6:$C$687="Industry"),--('Archetype Data'!$D$6:$D$687=$B147),--('Archetype Data'!$H$6:$H$687=$C147))</f>
        <v>0</v>
      </c>
      <c r="G147" s="15" cm="1">
        <f t="array" ref="G147">SUMPRODUCT('Archetype Data'!AH$6:AH$687,'Archetype Data'!$S$6:$S$687,--('Archetype Data'!$C$6:$C$687="Industry"),--('Archetype Data'!$D$6:$D$687=$B147),--('Archetype Data'!$H$6:$H$687=$C147))</f>
        <v>0</v>
      </c>
      <c r="H147" s="15" cm="1">
        <f t="array" ref="H147">SUMPRODUCT('Archetype Data'!AI$6:AI$687,'Archetype Data'!$S$6:$S$687,--('Archetype Data'!$C$6:$C$687="Industry"),--('Archetype Data'!$D$6:$D$687=$B147),--('Archetype Data'!$H$6:$H$687=$C147))</f>
        <v>0</v>
      </c>
      <c r="I147" s="15" cm="1">
        <f t="array" ref="I147">SUMPRODUCT('Archetype Data'!AJ$6:AJ$687,'Archetype Data'!$S$6:$S$687,--('Archetype Data'!$C$6:$C$687="Industry"),--('Archetype Data'!$D$6:$D$687=$B147),--('Archetype Data'!$H$6:$H$687=$C147))</f>
        <v>0</v>
      </c>
      <c r="J147" s="15" cm="1">
        <f t="array" ref="J147">SUMPRODUCT('Archetype Data'!AK$6:AK$687,'Archetype Data'!$S$6:$S$687,--('Archetype Data'!$C$6:$C$687="Industry"),--('Archetype Data'!$D$6:$D$687=$B147),--('Archetype Data'!$H$6:$H$687=$C147))</f>
        <v>0</v>
      </c>
    </row>
    <row r="148" spans="2:10" outlineLevel="1">
      <c r="B148" t="s">
        <v>64</v>
      </c>
      <c r="C148" t="s">
        <v>96</v>
      </c>
      <c r="D148" s="15">
        <f>SUMIFS('Archetype Data'!AF$6:AF$687,'Archetype Data'!$C$6:$C$687,"Industry",'Archetype Data'!$D$6:$D$687,$B148, 'Archetype Data'!$H$6:$H$687,$C148)</f>
        <v>0</v>
      </c>
      <c r="E148" s="15">
        <f>SUMIFS('Archetype Data'!S$6:S$687,'Archetype Data'!$C$6:$C$687,"Industry",'Archetype Data'!$D$6:$D$687,$B148, 'Archetype Data'!$H$6:$H$687,$C148)</f>
        <v>0</v>
      </c>
      <c r="F148" s="15" cm="1">
        <f t="array" ref="F148">SUMPRODUCT('Archetype Data'!AG$6:AG$687,'Archetype Data'!$S$6:$S$687,--('Archetype Data'!$C$6:$C$687="Industry"),--('Archetype Data'!$D$6:$D$687=$B148),--('Archetype Data'!$H$6:$H$687=$C148))</f>
        <v>0</v>
      </c>
      <c r="G148" s="15" cm="1">
        <f t="array" ref="G148">SUMPRODUCT('Archetype Data'!AH$6:AH$687,'Archetype Data'!$S$6:$S$687,--('Archetype Data'!$C$6:$C$687="Industry"),--('Archetype Data'!$D$6:$D$687=$B148),--('Archetype Data'!$H$6:$H$687=$C148))</f>
        <v>0</v>
      </c>
      <c r="H148" s="15" cm="1">
        <f t="array" ref="H148">SUMPRODUCT('Archetype Data'!AI$6:AI$687,'Archetype Data'!$S$6:$S$687,--('Archetype Data'!$C$6:$C$687="Industry"),--('Archetype Data'!$D$6:$D$687=$B148),--('Archetype Data'!$H$6:$H$687=$C148))</f>
        <v>0</v>
      </c>
      <c r="I148" s="15" cm="1">
        <f t="array" ref="I148">SUMPRODUCT('Archetype Data'!AJ$6:AJ$687,'Archetype Data'!$S$6:$S$687,--('Archetype Data'!$C$6:$C$687="Industry"),--('Archetype Data'!$D$6:$D$687=$B148),--('Archetype Data'!$H$6:$H$687=$C148))</f>
        <v>0</v>
      </c>
      <c r="J148" s="15" cm="1">
        <f t="array" ref="J148">SUMPRODUCT('Archetype Data'!AK$6:AK$687,'Archetype Data'!$S$6:$S$687,--('Archetype Data'!$C$6:$C$687="Industry"),--('Archetype Data'!$D$6:$D$687=$B148),--('Archetype Data'!$H$6:$H$687=$C148))</f>
        <v>0</v>
      </c>
    </row>
    <row r="149" spans="2:10" outlineLevel="1">
      <c r="B149" t="s">
        <v>64</v>
      </c>
      <c r="C149" t="s">
        <v>97</v>
      </c>
      <c r="D149" s="15">
        <f>SUMIFS('Archetype Data'!AF$6:AF$687,'Archetype Data'!$C$6:$C$687,"Industry",'Archetype Data'!$D$6:$D$687,$B149, 'Archetype Data'!$H$6:$H$687,$C149)</f>
        <v>0</v>
      </c>
      <c r="E149" s="15">
        <f>SUMIFS('Archetype Data'!S$6:S$687,'Archetype Data'!$C$6:$C$687,"Industry",'Archetype Data'!$D$6:$D$687,$B149, 'Archetype Data'!$H$6:$H$687,$C149)</f>
        <v>0</v>
      </c>
      <c r="F149" s="15" cm="1">
        <f t="array" ref="F149">SUMPRODUCT('Archetype Data'!AG$6:AG$687,'Archetype Data'!$S$6:$S$687,--('Archetype Data'!$C$6:$C$687="Industry"),--('Archetype Data'!$D$6:$D$687=$B149),--('Archetype Data'!$H$6:$H$687=$C149))</f>
        <v>0</v>
      </c>
      <c r="G149" s="15" cm="1">
        <f t="array" ref="G149">SUMPRODUCT('Archetype Data'!AH$6:AH$687,'Archetype Data'!$S$6:$S$687,--('Archetype Data'!$C$6:$C$687="Industry"),--('Archetype Data'!$D$6:$D$687=$B149),--('Archetype Data'!$H$6:$H$687=$C149))</f>
        <v>0</v>
      </c>
      <c r="H149" s="15" cm="1">
        <f t="array" ref="H149">SUMPRODUCT('Archetype Data'!AI$6:AI$687,'Archetype Data'!$S$6:$S$687,--('Archetype Data'!$C$6:$C$687="Industry"),--('Archetype Data'!$D$6:$D$687=$B149),--('Archetype Data'!$H$6:$H$687=$C149))</f>
        <v>0</v>
      </c>
      <c r="I149" s="15" cm="1">
        <f t="array" ref="I149">SUMPRODUCT('Archetype Data'!AJ$6:AJ$687,'Archetype Data'!$S$6:$S$687,--('Archetype Data'!$C$6:$C$687="Industry"),--('Archetype Data'!$D$6:$D$687=$B149),--('Archetype Data'!$H$6:$H$687=$C149))</f>
        <v>0</v>
      </c>
      <c r="J149" s="15" cm="1">
        <f t="array" ref="J149">SUMPRODUCT('Archetype Data'!AK$6:AK$687,'Archetype Data'!$S$6:$S$687,--('Archetype Data'!$C$6:$C$687="Industry"),--('Archetype Data'!$D$6:$D$687=$B149),--('Archetype Data'!$H$6:$H$687=$C149))</f>
        <v>0</v>
      </c>
    </row>
    <row r="150" spans="2:10" outlineLevel="1">
      <c r="B150" t="s">
        <v>64</v>
      </c>
      <c r="C150" t="s">
        <v>102</v>
      </c>
      <c r="D150" s="15">
        <f>SUMIFS('Archetype Data'!AF$6:AF$687,'Archetype Data'!$C$6:$C$687,"Industry",'Archetype Data'!$D$6:$D$687,$B150, 'Archetype Data'!$H$6:$H$687,$C150)</f>
        <v>0</v>
      </c>
      <c r="E150" s="15">
        <f>SUMIFS('Archetype Data'!S$6:S$687,'Archetype Data'!$C$6:$C$687,"Industry",'Archetype Data'!$D$6:$D$687,$B150, 'Archetype Data'!$H$6:$H$687,$C150)</f>
        <v>0</v>
      </c>
      <c r="F150" s="15" cm="1">
        <f t="array" ref="F150">SUMPRODUCT('Archetype Data'!AG$6:AG$687,'Archetype Data'!$S$6:$S$687,--('Archetype Data'!$C$6:$C$687="Industry"),--('Archetype Data'!$D$6:$D$687=$B150),--('Archetype Data'!$H$6:$H$687=$C150))</f>
        <v>0</v>
      </c>
      <c r="G150" s="15" cm="1">
        <f t="array" ref="G150">SUMPRODUCT('Archetype Data'!AH$6:AH$687,'Archetype Data'!$S$6:$S$687,--('Archetype Data'!$C$6:$C$687="Industry"),--('Archetype Data'!$D$6:$D$687=$B150),--('Archetype Data'!$H$6:$H$687=$C150))</f>
        <v>0</v>
      </c>
      <c r="H150" s="15" cm="1">
        <f t="array" ref="H150">SUMPRODUCT('Archetype Data'!AI$6:AI$687,'Archetype Data'!$S$6:$S$687,--('Archetype Data'!$C$6:$C$687="Industry"),--('Archetype Data'!$D$6:$D$687=$B150),--('Archetype Data'!$H$6:$H$687=$C150))</f>
        <v>0</v>
      </c>
      <c r="I150" s="15" cm="1">
        <f t="array" ref="I150">SUMPRODUCT('Archetype Data'!AJ$6:AJ$687,'Archetype Data'!$S$6:$S$687,--('Archetype Data'!$C$6:$C$687="Industry"),--('Archetype Data'!$D$6:$D$687=$B150),--('Archetype Data'!$H$6:$H$687=$C150))</f>
        <v>0</v>
      </c>
      <c r="J150" s="15" cm="1">
        <f t="array" ref="J150">SUMPRODUCT('Archetype Data'!AK$6:AK$687,'Archetype Data'!$S$6:$S$687,--('Archetype Data'!$C$6:$C$687="Industry"),--('Archetype Data'!$D$6:$D$687=$B150),--('Archetype Data'!$H$6:$H$687=$C150))</f>
        <v>0</v>
      </c>
    </row>
    <row r="151" spans="2:10" outlineLevel="1">
      <c r="B151" t="s">
        <v>64</v>
      </c>
      <c r="C151" t="s">
        <v>100</v>
      </c>
      <c r="D151" s="15">
        <f>SUMIFS('Archetype Data'!AF$6:AF$687,'Archetype Data'!$C$6:$C$687,"Industry",'Archetype Data'!$D$6:$D$687,$B151, 'Archetype Data'!$H$6:$H$687,$C151)</f>
        <v>0</v>
      </c>
      <c r="E151" s="15">
        <f>SUMIFS('Archetype Data'!S$6:S$687,'Archetype Data'!$C$6:$C$687,"Industry",'Archetype Data'!$D$6:$D$687,$B151, 'Archetype Data'!$H$6:$H$687,$C151)</f>
        <v>0</v>
      </c>
      <c r="F151" s="15" cm="1">
        <f t="array" ref="F151">SUMPRODUCT('Archetype Data'!AG$6:AG$687,'Archetype Data'!$S$6:$S$687,--('Archetype Data'!$C$6:$C$687="Industry"),--('Archetype Data'!$D$6:$D$687=$B151),--('Archetype Data'!$H$6:$H$687=$C151))</f>
        <v>0</v>
      </c>
      <c r="G151" s="15" cm="1">
        <f t="array" ref="G151">SUMPRODUCT('Archetype Data'!AH$6:AH$687,'Archetype Data'!$S$6:$S$687,--('Archetype Data'!$C$6:$C$687="Industry"),--('Archetype Data'!$D$6:$D$687=$B151),--('Archetype Data'!$H$6:$H$687=$C151))</f>
        <v>0</v>
      </c>
      <c r="H151" s="15" cm="1">
        <f t="array" ref="H151">SUMPRODUCT('Archetype Data'!AI$6:AI$687,'Archetype Data'!$S$6:$S$687,--('Archetype Data'!$C$6:$C$687="Industry"),--('Archetype Data'!$D$6:$D$687=$B151),--('Archetype Data'!$H$6:$H$687=$C151))</f>
        <v>0</v>
      </c>
      <c r="I151" s="15" cm="1">
        <f t="array" ref="I151">SUMPRODUCT('Archetype Data'!AJ$6:AJ$687,'Archetype Data'!$S$6:$S$687,--('Archetype Data'!$C$6:$C$687="Industry"),--('Archetype Data'!$D$6:$D$687=$B151),--('Archetype Data'!$H$6:$H$687=$C151))</f>
        <v>0</v>
      </c>
      <c r="J151" s="15" cm="1">
        <f t="array" ref="J151">SUMPRODUCT('Archetype Data'!AK$6:AK$687,'Archetype Data'!$S$6:$S$687,--('Archetype Data'!$C$6:$C$687="Industry"),--('Archetype Data'!$D$6:$D$687=$B151),--('Archetype Data'!$H$6:$H$687=$C151))</f>
        <v>0</v>
      </c>
    </row>
    <row r="152" spans="2:10" outlineLevel="1">
      <c r="B152" t="s">
        <v>65</v>
      </c>
      <c r="C152" t="s">
        <v>99</v>
      </c>
      <c r="D152" s="15">
        <f>SUMIFS('Archetype Data'!AF$6:AF$687,'Archetype Data'!$C$6:$C$687,"Industry",'Archetype Data'!$D$6:$D$687,$B152, 'Archetype Data'!$H$6:$H$687,$C152)</f>
        <v>0</v>
      </c>
      <c r="E152" s="15">
        <f>SUMIFS('Archetype Data'!S$6:S$687,'Archetype Data'!$C$6:$C$687,"Industry",'Archetype Data'!$D$6:$D$687,$B152, 'Archetype Data'!$H$6:$H$687,$C152)</f>
        <v>0</v>
      </c>
      <c r="F152" s="15" cm="1">
        <f t="array" ref="F152">SUMPRODUCT('Archetype Data'!AG$6:AG$687,'Archetype Data'!$S$6:$S$687,--('Archetype Data'!$C$6:$C$687="Industry"),--('Archetype Data'!$D$6:$D$687=$B152),--('Archetype Data'!$H$6:$H$687=$C152))</f>
        <v>0</v>
      </c>
      <c r="G152" s="15" cm="1">
        <f t="array" ref="G152">SUMPRODUCT('Archetype Data'!AH$6:AH$687,'Archetype Data'!$S$6:$S$687,--('Archetype Data'!$C$6:$C$687="Industry"),--('Archetype Data'!$D$6:$D$687=$B152),--('Archetype Data'!$H$6:$H$687=$C152))</f>
        <v>0</v>
      </c>
      <c r="H152" s="15" cm="1">
        <f t="array" ref="H152">SUMPRODUCT('Archetype Data'!AI$6:AI$687,'Archetype Data'!$S$6:$S$687,--('Archetype Data'!$C$6:$C$687="Industry"),--('Archetype Data'!$D$6:$D$687=$B152),--('Archetype Data'!$H$6:$H$687=$C152))</f>
        <v>0</v>
      </c>
      <c r="I152" s="15" cm="1">
        <f t="array" ref="I152">SUMPRODUCT('Archetype Data'!AJ$6:AJ$687,'Archetype Data'!$S$6:$S$687,--('Archetype Data'!$C$6:$C$687="Industry"),--('Archetype Data'!$D$6:$D$687=$B152),--('Archetype Data'!$H$6:$H$687=$C152))</f>
        <v>0</v>
      </c>
      <c r="J152" s="15" cm="1">
        <f t="array" ref="J152">SUMPRODUCT('Archetype Data'!AK$6:AK$687,'Archetype Data'!$S$6:$S$687,--('Archetype Data'!$C$6:$C$687="Industry"),--('Archetype Data'!$D$6:$D$687=$B152),--('Archetype Data'!$H$6:$H$687=$C152))</f>
        <v>0</v>
      </c>
    </row>
    <row r="153" spans="2:10" outlineLevel="1">
      <c r="B153" t="s">
        <v>65</v>
      </c>
      <c r="C153" t="s">
        <v>101</v>
      </c>
      <c r="D153" s="15">
        <f>SUMIFS('Archetype Data'!AF$6:AF$687,'Archetype Data'!$C$6:$C$687,"Industry",'Archetype Data'!$D$6:$D$687,$B153, 'Archetype Data'!$H$6:$H$687,$C153)</f>
        <v>0</v>
      </c>
      <c r="E153" s="15">
        <f>SUMIFS('Archetype Data'!S$6:S$687,'Archetype Data'!$C$6:$C$687,"Industry",'Archetype Data'!$D$6:$D$687,$B153, 'Archetype Data'!$H$6:$H$687,$C153)</f>
        <v>0</v>
      </c>
      <c r="F153" s="15" cm="1">
        <f t="array" ref="F153">SUMPRODUCT('Archetype Data'!AG$6:AG$687,'Archetype Data'!$S$6:$S$687,--('Archetype Data'!$C$6:$C$687="Industry"),--('Archetype Data'!$D$6:$D$687=$B153),--('Archetype Data'!$H$6:$H$687=$C153))</f>
        <v>0</v>
      </c>
      <c r="G153" s="15" cm="1">
        <f t="array" ref="G153">SUMPRODUCT('Archetype Data'!AH$6:AH$687,'Archetype Data'!$S$6:$S$687,--('Archetype Data'!$C$6:$C$687="Industry"),--('Archetype Data'!$D$6:$D$687=$B153),--('Archetype Data'!$H$6:$H$687=$C153))</f>
        <v>0</v>
      </c>
      <c r="H153" s="15" cm="1">
        <f t="array" ref="H153">SUMPRODUCT('Archetype Data'!AI$6:AI$687,'Archetype Data'!$S$6:$S$687,--('Archetype Data'!$C$6:$C$687="Industry"),--('Archetype Data'!$D$6:$D$687=$B153),--('Archetype Data'!$H$6:$H$687=$C153))</f>
        <v>0</v>
      </c>
      <c r="I153" s="15" cm="1">
        <f t="array" ref="I153">SUMPRODUCT('Archetype Data'!AJ$6:AJ$687,'Archetype Data'!$S$6:$S$687,--('Archetype Data'!$C$6:$C$687="Industry"),--('Archetype Data'!$D$6:$D$687=$B153),--('Archetype Data'!$H$6:$H$687=$C153))</f>
        <v>0</v>
      </c>
      <c r="J153" s="15" cm="1">
        <f t="array" ref="J153">SUMPRODUCT('Archetype Data'!AK$6:AK$687,'Archetype Data'!$S$6:$S$687,--('Archetype Data'!$C$6:$C$687="Industry"),--('Archetype Data'!$D$6:$D$687=$B153),--('Archetype Data'!$H$6:$H$687=$C153))</f>
        <v>0</v>
      </c>
    </row>
    <row r="154" spans="2:10" outlineLevel="1">
      <c r="B154" t="s">
        <v>65</v>
      </c>
      <c r="C154" t="s">
        <v>98</v>
      </c>
      <c r="D154" s="15">
        <f>SUMIFS('Archetype Data'!AF$6:AF$687,'Archetype Data'!$C$6:$C$687,"Industry",'Archetype Data'!$D$6:$D$687,$B154, 'Archetype Data'!$H$6:$H$687,$C154)</f>
        <v>0</v>
      </c>
      <c r="E154" s="15">
        <f>SUMIFS('Archetype Data'!S$6:S$687,'Archetype Data'!$C$6:$C$687,"Industry",'Archetype Data'!$D$6:$D$687,$B154, 'Archetype Data'!$H$6:$H$687,$C154)</f>
        <v>0</v>
      </c>
      <c r="F154" s="15" cm="1">
        <f t="array" ref="F154">SUMPRODUCT('Archetype Data'!AG$6:AG$687,'Archetype Data'!$S$6:$S$687,--('Archetype Data'!$C$6:$C$687="Industry"),--('Archetype Data'!$D$6:$D$687=$B154),--('Archetype Data'!$H$6:$H$687=$C154))</f>
        <v>0</v>
      </c>
      <c r="G154" s="15" cm="1">
        <f t="array" ref="G154">SUMPRODUCT('Archetype Data'!AH$6:AH$687,'Archetype Data'!$S$6:$S$687,--('Archetype Data'!$C$6:$C$687="Industry"),--('Archetype Data'!$D$6:$D$687=$B154),--('Archetype Data'!$H$6:$H$687=$C154))</f>
        <v>0</v>
      </c>
      <c r="H154" s="15" cm="1">
        <f t="array" ref="H154">SUMPRODUCT('Archetype Data'!AI$6:AI$687,'Archetype Data'!$S$6:$S$687,--('Archetype Data'!$C$6:$C$687="Industry"),--('Archetype Data'!$D$6:$D$687=$B154),--('Archetype Data'!$H$6:$H$687=$C154))</f>
        <v>0</v>
      </c>
      <c r="I154" s="15" cm="1">
        <f t="array" ref="I154">SUMPRODUCT('Archetype Data'!AJ$6:AJ$687,'Archetype Data'!$S$6:$S$687,--('Archetype Data'!$C$6:$C$687="Industry"),--('Archetype Data'!$D$6:$D$687=$B154),--('Archetype Data'!$H$6:$H$687=$C154))</f>
        <v>0</v>
      </c>
      <c r="J154" s="15" cm="1">
        <f t="array" ref="J154">SUMPRODUCT('Archetype Data'!AK$6:AK$687,'Archetype Data'!$S$6:$S$687,--('Archetype Data'!$C$6:$C$687="Industry"),--('Archetype Data'!$D$6:$D$687=$B154),--('Archetype Data'!$H$6:$H$687=$C154))</f>
        <v>0</v>
      </c>
    </row>
    <row r="155" spans="2:10" outlineLevel="1">
      <c r="B155" t="s">
        <v>65</v>
      </c>
      <c r="C155" t="s">
        <v>100</v>
      </c>
      <c r="D155" s="15">
        <f>SUMIFS('Archetype Data'!AF$6:AF$687,'Archetype Data'!$C$6:$C$687,"Industry",'Archetype Data'!$D$6:$D$687,$B155, 'Archetype Data'!$H$6:$H$687,$C155)</f>
        <v>0</v>
      </c>
      <c r="E155" s="15">
        <f>SUMIFS('Archetype Data'!S$6:S$687,'Archetype Data'!$C$6:$C$687,"Industry",'Archetype Data'!$D$6:$D$687,$B155, 'Archetype Data'!$H$6:$H$687,$C155)</f>
        <v>0</v>
      </c>
      <c r="F155" s="15" cm="1">
        <f t="array" ref="F155">SUMPRODUCT('Archetype Data'!AG$6:AG$687,'Archetype Data'!$S$6:$S$687,--('Archetype Data'!$C$6:$C$687="Industry"),--('Archetype Data'!$D$6:$D$687=$B155),--('Archetype Data'!$H$6:$H$687=$C155))</f>
        <v>0</v>
      </c>
      <c r="G155" s="15" cm="1">
        <f t="array" ref="G155">SUMPRODUCT('Archetype Data'!AH$6:AH$687,'Archetype Data'!$S$6:$S$687,--('Archetype Data'!$C$6:$C$687="Industry"),--('Archetype Data'!$D$6:$D$687=$B155),--('Archetype Data'!$H$6:$H$687=$C155))</f>
        <v>0</v>
      </c>
      <c r="H155" s="15" cm="1">
        <f t="array" ref="H155">SUMPRODUCT('Archetype Data'!AI$6:AI$687,'Archetype Data'!$S$6:$S$687,--('Archetype Data'!$C$6:$C$687="Industry"),--('Archetype Data'!$D$6:$D$687=$B155),--('Archetype Data'!$H$6:$H$687=$C155))</f>
        <v>0</v>
      </c>
      <c r="I155" s="15" cm="1">
        <f t="array" ref="I155">SUMPRODUCT('Archetype Data'!AJ$6:AJ$687,'Archetype Data'!$S$6:$S$687,--('Archetype Data'!$C$6:$C$687="Industry"),--('Archetype Data'!$D$6:$D$687=$B155),--('Archetype Data'!$H$6:$H$687=$C155))</f>
        <v>0</v>
      </c>
      <c r="J155" s="15" cm="1">
        <f t="array" ref="J155">SUMPRODUCT('Archetype Data'!AK$6:AK$687,'Archetype Data'!$S$6:$S$687,--('Archetype Data'!$C$6:$C$687="Industry"),--('Archetype Data'!$D$6:$D$687=$B155),--('Archetype Data'!$H$6:$H$687=$C155))</f>
        <v>0</v>
      </c>
    </row>
    <row r="156" spans="2:10" outlineLevel="1">
      <c r="B156" t="s">
        <v>66</v>
      </c>
      <c r="C156" t="s">
        <v>101</v>
      </c>
      <c r="D156" s="15">
        <f>SUMIFS('Archetype Data'!AF$6:AF$687,'Archetype Data'!$C$6:$C$687,"Industry",'Archetype Data'!$D$6:$D$687,$B156, 'Archetype Data'!$H$6:$H$687,$C156)</f>
        <v>0</v>
      </c>
      <c r="E156" s="15">
        <f>SUMIFS('Archetype Data'!S$6:S$687,'Archetype Data'!$C$6:$C$687,"Industry",'Archetype Data'!$D$6:$D$687,$B156, 'Archetype Data'!$H$6:$H$687,$C156)</f>
        <v>0</v>
      </c>
      <c r="F156" s="15" cm="1">
        <f t="array" ref="F156">SUMPRODUCT('Archetype Data'!AG$6:AG$687,'Archetype Data'!$S$6:$S$687,--('Archetype Data'!$C$6:$C$687="Industry"),--('Archetype Data'!$D$6:$D$687=$B156),--('Archetype Data'!$H$6:$H$687=$C156))</f>
        <v>0</v>
      </c>
      <c r="G156" s="15" cm="1">
        <f t="array" ref="G156">SUMPRODUCT('Archetype Data'!AH$6:AH$687,'Archetype Data'!$S$6:$S$687,--('Archetype Data'!$C$6:$C$687="Industry"),--('Archetype Data'!$D$6:$D$687=$B156),--('Archetype Data'!$H$6:$H$687=$C156))</f>
        <v>0</v>
      </c>
      <c r="H156" s="15" cm="1">
        <f t="array" ref="H156">SUMPRODUCT('Archetype Data'!AI$6:AI$687,'Archetype Data'!$S$6:$S$687,--('Archetype Data'!$C$6:$C$687="Industry"),--('Archetype Data'!$D$6:$D$687=$B156),--('Archetype Data'!$H$6:$H$687=$C156))</f>
        <v>0</v>
      </c>
      <c r="I156" s="15" cm="1">
        <f t="array" ref="I156">SUMPRODUCT('Archetype Data'!AJ$6:AJ$687,'Archetype Data'!$S$6:$S$687,--('Archetype Data'!$C$6:$C$687="Industry"),--('Archetype Data'!$D$6:$D$687=$B156),--('Archetype Data'!$H$6:$H$687=$C156))</f>
        <v>0</v>
      </c>
      <c r="J156" s="15" cm="1">
        <f t="array" ref="J156">SUMPRODUCT('Archetype Data'!AK$6:AK$687,'Archetype Data'!$S$6:$S$687,--('Archetype Data'!$C$6:$C$687="Industry"),--('Archetype Data'!$D$6:$D$687=$B156),--('Archetype Data'!$H$6:$H$687=$C156))</f>
        <v>0</v>
      </c>
    </row>
    <row r="157" spans="2:10" outlineLevel="1">
      <c r="B157" t="s">
        <v>66</v>
      </c>
      <c r="C157" t="s">
        <v>96</v>
      </c>
      <c r="D157" s="15">
        <f>SUMIFS('Archetype Data'!AF$6:AF$687,'Archetype Data'!$C$6:$C$687,"Industry",'Archetype Data'!$D$6:$D$687,$B157, 'Archetype Data'!$H$6:$H$687,$C157)</f>
        <v>0</v>
      </c>
      <c r="E157" s="15">
        <f>SUMIFS('Archetype Data'!S$6:S$687,'Archetype Data'!$C$6:$C$687,"Industry",'Archetype Data'!$D$6:$D$687,$B157, 'Archetype Data'!$H$6:$H$687,$C157)</f>
        <v>0</v>
      </c>
      <c r="F157" s="15" cm="1">
        <f t="array" ref="F157">SUMPRODUCT('Archetype Data'!AG$6:AG$687,'Archetype Data'!$S$6:$S$687,--('Archetype Data'!$C$6:$C$687="Industry"),--('Archetype Data'!$D$6:$D$687=$B157),--('Archetype Data'!$H$6:$H$687=$C157))</f>
        <v>0</v>
      </c>
      <c r="G157" s="15" cm="1">
        <f t="array" ref="G157">SUMPRODUCT('Archetype Data'!AH$6:AH$687,'Archetype Data'!$S$6:$S$687,--('Archetype Data'!$C$6:$C$687="Industry"),--('Archetype Data'!$D$6:$D$687=$B157),--('Archetype Data'!$H$6:$H$687=$C157))</f>
        <v>0</v>
      </c>
      <c r="H157" s="15" cm="1">
        <f t="array" ref="H157">SUMPRODUCT('Archetype Data'!AI$6:AI$687,'Archetype Data'!$S$6:$S$687,--('Archetype Data'!$C$6:$C$687="Industry"),--('Archetype Data'!$D$6:$D$687=$B157),--('Archetype Data'!$H$6:$H$687=$C157))</f>
        <v>0</v>
      </c>
      <c r="I157" s="15" cm="1">
        <f t="array" ref="I157">SUMPRODUCT('Archetype Data'!AJ$6:AJ$687,'Archetype Data'!$S$6:$S$687,--('Archetype Data'!$C$6:$C$687="Industry"),--('Archetype Data'!$D$6:$D$687=$B157),--('Archetype Data'!$H$6:$H$687=$C157))</f>
        <v>0</v>
      </c>
      <c r="J157" s="15" cm="1">
        <f t="array" ref="J157">SUMPRODUCT('Archetype Data'!AK$6:AK$687,'Archetype Data'!$S$6:$S$687,--('Archetype Data'!$C$6:$C$687="Industry"),--('Archetype Data'!$D$6:$D$687=$B157),--('Archetype Data'!$H$6:$H$687=$C157))</f>
        <v>0</v>
      </c>
    </row>
    <row r="158" spans="2:10" outlineLevel="1">
      <c r="B158" t="s">
        <v>66</v>
      </c>
      <c r="C158" t="s">
        <v>97</v>
      </c>
      <c r="D158" s="15">
        <f>SUMIFS('Archetype Data'!AF$6:AF$687,'Archetype Data'!$C$6:$C$687,"Industry",'Archetype Data'!$D$6:$D$687,$B158, 'Archetype Data'!$H$6:$H$687,$C158)</f>
        <v>0</v>
      </c>
      <c r="E158" s="15">
        <f>SUMIFS('Archetype Data'!S$6:S$687,'Archetype Data'!$C$6:$C$687,"Industry",'Archetype Data'!$D$6:$D$687,$B158, 'Archetype Data'!$H$6:$H$687,$C158)</f>
        <v>0</v>
      </c>
      <c r="F158" s="15" cm="1">
        <f t="array" ref="F158">SUMPRODUCT('Archetype Data'!AG$6:AG$687,'Archetype Data'!$S$6:$S$687,--('Archetype Data'!$C$6:$C$687="Industry"),--('Archetype Data'!$D$6:$D$687=$B158),--('Archetype Data'!$H$6:$H$687=$C158))</f>
        <v>0</v>
      </c>
      <c r="G158" s="15" cm="1">
        <f t="array" ref="G158">SUMPRODUCT('Archetype Data'!AH$6:AH$687,'Archetype Data'!$S$6:$S$687,--('Archetype Data'!$C$6:$C$687="Industry"),--('Archetype Data'!$D$6:$D$687=$B158),--('Archetype Data'!$H$6:$H$687=$C158))</f>
        <v>0</v>
      </c>
      <c r="H158" s="15" cm="1">
        <f t="array" ref="H158">SUMPRODUCT('Archetype Data'!AI$6:AI$687,'Archetype Data'!$S$6:$S$687,--('Archetype Data'!$C$6:$C$687="Industry"),--('Archetype Data'!$D$6:$D$687=$B158),--('Archetype Data'!$H$6:$H$687=$C158))</f>
        <v>0</v>
      </c>
      <c r="I158" s="15" cm="1">
        <f t="array" ref="I158">SUMPRODUCT('Archetype Data'!AJ$6:AJ$687,'Archetype Data'!$S$6:$S$687,--('Archetype Data'!$C$6:$C$687="Industry"),--('Archetype Data'!$D$6:$D$687=$B158),--('Archetype Data'!$H$6:$H$687=$C158))</f>
        <v>0</v>
      </c>
      <c r="J158" s="15" cm="1">
        <f t="array" ref="J158">SUMPRODUCT('Archetype Data'!AK$6:AK$687,'Archetype Data'!$S$6:$S$687,--('Archetype Data'!$C$6:$C$687="Industry"),--('Archetype Data'!$D$6:$D$687=$B158),--('Archetype Data'!$H$6:$H$687=$C158))</f>
        <v>0</v>
      </c>
    </row>
    <row r="159" spans="2:10" outlineLevel="1">
      <c r="B159" t="s">
        <v>66</v>
      </c>
      <c r="C159" t="s">
        <v>102</v>
      </c>
      <c r="D159" s="15">
        <f>SUMIFS('Archetype Data'!AF$6:AF$687,'Archetype Data'!$C$6:$C$687,"Industry",'Archetype Data'!$D$6:$D$687,$B159, 'Archetype Data'!$H$6:$H$687,$C159)</f>
        <v>0</v>
      </c>
      <c r="E159" s="15">
        <f>SUMIFS('Archetype Data'!S$6:S$687,'Archetype Data'!$C$6:$C$687,"Industry",'Archetype Data'!$D$6:$D$687,$B159, 'Archetype Data'!$H$6:$H$687,$C159)</f>
        <v>0</v>
      </c>
      <c r="F159" s="15" cm="1">
        <f t="array" ref="F159">SUMPRODUCT('Archetype Data'!AG$6:AG$687,'Archetype Data'!$S$6:$S$687,--('Archetype Data'!$C$6:$C$687="Industry"),--('Archetype Data'!$D$6:$D$687=$B159),--('Archetype Data'!$H$6:$H$687=$C159))</f>
        <v>0</v>
      </c>
      <c r="G159" s="15" cm="1">
        <f t="array" ref="G159">SUMPRODUCT('Archetype Data'!AH$6:AH$687,'Archetype Data'!$S$6:$S$687,--('Archetype Data'!$C$6:$C$687="Industry"),--('Archetype Data'!$D$6:$D$687=$B159),--('Archetype Data'!$H$6:$H$687=$C159))</f>
        <v>0</v>
      </c>
      <c r="H159" s="15" cm="1">
        <f t="array" ref="H159">SUMPRODUCT('Archetype Data'!AI$6:AI$687,'Archetype Data'!$S$6:$S$687,--('Archetype Data'!$C$6:$C$687="Industry"),--('Archetype Data'!$D$6:$D$687=$B159),--('Archetype Data'!$H$6:$H$687=$C159))</f>
        <v>0</v>
      </c>
      <c r="I159" s="15" cm="1">
        <f t="array" ref="I159">SUMPRODUCT('Archetype Data'!AJ$6:AJ$687,'Archetype Data'!$S$6:$S$687,--('Archetype Data'!$C$6:$C$687="Industry"),--('Archetype Data'!$D$6:$D$687=$B159),--('Archetype Data'!$H$6:$H$687=$C159))</f>
        <v>0</v>
      </c>
      <c r="J159" s="15" cm="1">
        <f t="array" ref="J159">SUMPRODUCT('Archetype Data'!AK$6:AK$687,'Archetype Data'!$S$6:$S$687,--('Archetype Data'!$C$6:$C$687="Industry"),--('Archetype Data'!$D$6:$D$687=$B159),--('Archetype Data'!$H$6:$H$687=$C159))</f>
        <v>0</v>
      </c>
    </row>
    <row r="160" spans="2:10" outlineLevel="1">
      <c r="B160" t="s">
        <v>66</v>
      </c>
      <c r="C160" t="s">
        <v>98</v>
      </c>
      <c r="D160" s="15">
        <f>SUMIFS('Archetype Data'!AF$6:AF$687,'Archetype Data'!$C$6:$C$687,"Industry",'Archetype Data'!$D$6:$D$687,$B160, 'Archetype Data'!$H$6:$H$687,$C160)</f>
        <v>0</v>
      </c>
      <c r="E160" s="15">
        <f>SUMIFS('Archetype Data'!S$6:S$687,'Archetype Data'!$C$6:$C$687,"Industry",'Archetype Data'!$D$6:$D$687,$B160, 'Archetype Data'!$H$6:$H$687,$C160)</f>
        <v>0</v>
      </c>
      <c r="F160" s="15" cm="1">
        <f t="array" ref="F160">SUMPRODUCT('Archetype Data'!AG$6:AG$687,'Archetype Data'!$S$6:$S$687,--('Archetype Data'!$C$6:$C$687="Industry"),--('Archetype Data'!$D$6:$D$687=$B160),--('Archetype Data'!$H$6:$H$687=$C160))</f>
        <v>0</v>
      </c>
      <c r="G160" s="15" cm="1">
        <f t="array" ref="G160">SUMPRODUCT('Archetype Data'!AH$6:AH$687,'Archetype Data'!$S$6:$S$687,--('Archetype Data'!$C$6:$C$687="Industry"),--('Archetype Data'!$D$6:$D$687=$B160),--('Archetype Data'!$H$6:$H$687=$C160))</f>
        <v>0</v>
      </c>
      <c r="H160" s="15" cm="1">
        <f t="array" ref="H160">SUMPRODUCT('Archetype Data'!AI$6:AI$687,'Archetype Data'!$S$6:$S$687,--('Archetype Data'!$C$6:$C$687="Industry"),--('Archetype Data'!$D$6:$D$687=$B160),--('Archetype Data'!$H$6:$H$687=$C160))</f>
        <v>0</v>
      </c>
      <c r="I160" s="15" cm="1">
        <f t="array" ref="I160">SUMPRODUCT('Archetype Data'!AJ$6:AJ$687,'Archetype Data'!$S$6:$S$687,--('Archetype Data'!$C$6:$C$687="Industry"),--('Archetype Data'!$D$6:$D$687=$B160),--('Archetype Data'!$H$6:$H$687=$C160))</f>
        <v>0</v>
      </c>
      <c r="J160" s="15" cm="1">
        <f t="array" ref="J160">SUMPRODUCT('Archetype Data'!AK$6:AK$687,'Archetype Data'!$S$6:$S$687,--('Archetype Data'!$C$6:$C$687="Industry"),--('Archetype Data'!$D$6:$D$687=$B160),--('Archetype Data'!$H$6:$H$687=$C160))</f>
        <v>0</v>
      </c>
    </row>
    <row r="161" spans="2:10" outlineLevel="1">
      <c r="B161" t="s">
        <v>66</v>
      </c>
      <c r="C161" t="s">
        <v>100</v>
      </c>
      <c r="D161" s="15">
        <f>SUMIFS('Archetype Data'!AF$6:AF$687,'Archetype Data'!$C$6:$C$687,"Industry",'Archetype Data'!$D$6:$D$687,$B161, 'Archetype Data'!$H$6:$H$687,$C161)</f>
        <v>0</v>
      </c>
      <c r="E161" s="15">
        <f>SUMIFS('Archetype Data'!S$6:S$687,'Archetype Data'!$C$6:$C$687,"Industry",'Archetype Data'!$D$6:$D$687,$B161, 'Archetype Data'!$H$6:$H$687,$C161)</f>
        <v>0</v>
      </c>
      <c r="F161" s="15" cm="1">
        <f t="array" ref="F161">SUMPRODUCT('Archetype Data'!AG$6:AG$687,'Archetype Data'!$S$6:$S$687,--('Archetype Data'!$C$6:$C$687="Industry"),--('Archetype Data'!$D$6:$D$687=$B161),--('Archetype Data'!$H$6:$H$687=$C161))</f>
        <v>0</v>
      </c>
      <c r="G161" s="15" cm="1">
        <f t="array" ref="G161">SUMPRODUCT('Archetype Data'!AH$6:AH$687,'Archetype Data'!$S$6:$S$687,--('Archetype Data'!$C$6:$C$687="Industry"),--('Archetype Data'!$D$6:$D$687=$B161),--('Archetype Data'!$H$6:$H$687=$C161))</f>
        <v>0</v>
      </c>
      <c r="H161" s="15" cm="1">
        <f t="array" ref="H161">SUMPRODUCT('Archetype Data'!AI$6:AI$687,'Archetype Data'!$S$6:$S$687,--('Archetype Data'!$C$6:$C$687="Industry"),--('Archetype Data'!$D$6:$D$687=$B161),--('Archetype Data'!$H$6:$H$687=$C161))</f>
        <v>0</v>
      </c>
      <c r="I161" s="15" cm="1">
        <f t="array" ref="I161">SUMPRODUCT('Archetype Data'!AJ$6:AJ$687,'Archetype Data'!$S$6:$S$687,--('Archetype Data'!$C$6:$C$687="Industry"),--('Archetype Data'!$D$6:$D$687=$B161),--('Archetype Data'!$H$6:$H$687=$C161))</f>
        <v>0</v>
      </c>
      <c r="J161" s="15" cm="1">
        <f t="array" ref="J161">SUMPRODUCT('Archetype Data'!AK$6:AK$687,'Archetype Data'!$S$6:$S$687,--('Archetype Data'!$C$6:$C$687="Industry"),--('Archetype Data'!$D$6:$D$687=$B161),--('Archetype Data'!$H$6:$H$687=$C161))</f>
        <v>0</v>
      </c>
    </row>
    <row r="162" spans="2:10" outlineLevel="1">
      <c r="B162" t="s">
        <v>67</v>
      </c>
      <c r="C162" t="s">
        <v>96</v>
      </c>
      <c r="D162" s="15">
        <f>SUMIFS('Archetype Data'!AF$6:AF$687,'Archetype Data'!$C$6:$C$687,"Industry",'Archetype Data'!$D$6:$D$687,$B162, 'Archetype Data'!$H$6:$H$687,$C162)</f>
        <v>0</v>
      </c>
      <c r="E162" s="15">
        <f>SUMIFS('Archetype Data'!S$6:S$687,'Archetype Data'!$C$6:$C$687,"Industry",'Archetype Data'!$D$6:$D$687,$B162, 'Archetype Data'!$H$6:$H$687,$C162)</f>
        <v>0</v>
      </c>
      <c r="F162" s="15" cm="1">
        <f t="array" ref="F162">SUMPRODUCT('Archetype Data'!AG$6:AG$687,'Archetype Data'!$S$6:$S$687,--('Archetype Data'!$C$6:$C$687="Industry"),--('Archetype Data'!$D$6:$D$687=$B162),--('Archetype Data'!$H$6:$H$687=$C162))</f>
        <v>0</v>
      </c>
      <c r="G162" s="15" cm="1">
        <f t="array" ref="G162">SUMPRODUCT('Archetype Data'!AH$6:AH$687,'Archetype Data'!$S$6:$S$687,--('Archetype Data'!$C$6:$C$687="Industry"),--('Archetype Data'!$D$6:$D$687=$B162),--('Archetype Data'!$H$6:$H$687=$C162))</f>
        <v>0</v>
      </c>
      <c r="H162" s="15" cm="1">
        <f t="array" ref="H162">SUMPRODUCT('Archetype Data'!AI$6:AI$687,'Archetype Data'!$S$6:$S$687,--('Archetype Data'!$C$6:$C$687="Industry"),--('Archetype Data'!$D$6:$D$687=$B162),--('Archetype Data'!$H$6:$H$687=$C162))</f>
        <v>0</v>
      </c>
      <c r="I162" s="15" cm="1">
        <f t="array" ref="I162">SUMPRODUCT('Archetype Data'!AJ$6:AJ$687,'Archetype Data'!$S$6:$S$687,--('Archetype Data'!$C$6:$C$687="Industry"),--('Archetype Data'!$D$6:$D$687=$B162),--('Archetype Data'!$H$6:$H$687=$C162))</f>
        <v>0</v>
      </c>
      <c r="J162" s="15" cm="1">
        <f t="array" ref="J162">SUMPRODUCT('Archetype Data'!AK$6:AK$687,'Archetype Data'!$S$6:$S$687,--('Archetype Data'!$C$6:$C$687="Industry"),--('Archetype Data'!$D$6:$D$687=$B162),--('Archetype Data'!$H$6:$H$687=$C162))</f>
        <v>0</v>
      </c>
    </row>
    <row r="163" spans="2:10" outlineLevel="1">
      <c r="B163" t="s">
        <v>67</v>
      </c>
      <c r="C163" t="s">
        <v>97</v>
      </c>
      <c r="D163" s="15">
        <f>SUMIFS('Archetype Data'!AF$6:AF$687,'Archetype Data'!$C$6:$C$687,"Industry",'Archetype Data'!$D$6:$D$687,$B163, 'Archetype Data'!$H$6:$H$687,$C163)</f>
        <v>0</v>
      </c>
      <c r="E163" s="15">
        <f>SUMIFS('Archetype Data'!S$6:S$687,'Archetype Data'!$C$6:$C$687,"Industry",'Archetype Data'!$D$6:$D$687,$B163, 'Archetype Data'!$H$6:$H$687,$C163)</f>
        <v>0</v>
      </c>
      <c r="F163" s="15" cm="1">
        <f t="array" ref="F163">SUMPRODUCT('Archetype Data'!AG$6:AG$687,'Archetype Data'!$S$6:$S$687,--('Archetype Data'!$C$6:$C$687="Industry"),--('Archetype Data'!$D$6:$D$687=$B163),--('Archetype Data'!$H$6:$H$687=$C163))</f>
        <v>0</v>
      </c>
      <c r="G163" s="15" cm="1">
        <f t="array" ref="G163">SUMPRODUCT('Archetype Data'!AH$6:AH$687,'Archetype Data'!$S$6:$S$687,--('Archetype Data'!$C$6:$C$687="Industry"),--('Archetype Data'!$D$6:$D$687=$B163),--('Archetype Data'!$H$6:$H$687=$C163))</f>
        <v>0</v>
      </c>
      <c r="H163" s="15" cm="1">
        <f t="array" ref="H163">SUMPRODUCT('Archetype Data'!AI$6:AI$687,'Archetype Data'!$S$6:$S$687,--('Archetype Data'!$C$6:$C$687="Industry"),--('Archetype Data'!$D$6:$D$687=$B163),--('Archetype Data'!$H$6:$H$687=$C163))</f>
        <v>0</v>
      </c>
      <c r="I163" s="15" cm="1">
        <f t="array" ref="I163">SUMPRODUCT('Archetype Data'!AJ$6:AJ$687,'Archetype Data'!$S$6:$S$687,--('Archetype Data'!$C$6:$C$687="Industry"),--('Archetype Data'!$D$6:$D$687=$B163),--('Archetype Data'!$H$6:$H$687=$C163))</f>
        <v>0</v>
      </c>
      <c r="J163" s="15" cm="1">
        <f t="array" ref="J163">SUMPRODUCT('Archetype Data'!AK$6:AK$687,'Archetype Data'!$S$6:$S$687,--('Archetype Data'!$C$6:$C$687="Industry"),--('Archetype Data'!$D$6:$D$687=$B163),--('Archetype Data'!$H$6:$H$687=$C163))</f>
        <v>0</v>
      </c>
    </row>
    <row r="164" spans="2:10" outlineLevel="1">
      <c r="B164" t="s">
        <v>67</v>
      </c>
      <c r="C164" t="s">
        <v>102</v>
      </c>
      <c r="D164" s="15">
        <f>SUMIFS('Archetype Data'!AF$6:AF$687,'Archetype Data'!$C$6:$C$687,"Industry",'Archetype Data'!$D$6:$D$687,$B164, 'Archetype Data'!$H$6:$H$687,$C164)</f>
        <v>0</v>
      </c>
      <c r="E164" s="15">
        <f>SUMIFS('Archetype Data'!S$6:S$687,'Archetype Data'!$C$6:$C$687,"Industry",'Archetype Data'!$D$6:$D$687,$B164, 'Archetype Data'!$H$6:$H$687,$C164)</f>
        <v>0</v>
      </c>
      <c r="F164" s="15" cm="1">
        <f t="array" ref="F164">SUMPRODUCT('Archetype Data'!AG$6:AG$687,'Archetype Data'!$S$6:$S$687,--('Archetype Data'!$C$6:$C$687="Industry"),--('Archetype Data'!$D$6:$D$687=$B164),--('Archetype Data'!$H$6:$H$687=$C164))</f>
        <v>0</v>
      </c>
      <c r="G164" s="15" cm="1">
        <f t="array" ref="G164">SUMPRODUCT('Archetype Data'!AH$6:AH$687,'Archetype Data'!$S$6:$S$687,--('Archetype Data'!$C$6:$C$687="Industry"),--('Archetype Data'!$D$6:$D$687=$B164),--('Archetype Data'!$H$6:$H$687=$C164))</f>
        <v>0</v>
      </c>
      <c r="H164" s="15" cm="1">
        <f t="array" ref="H164">SUMPRODUCT('Archetype Data'!AI$6:AI$687,'Archetype Data'!$S$6:$S$687,--('Archetype Data'!$C$6:$C$687="Industry"),--('Archetype Data'!$D$6:$D$687=$B164),--('Archetype Data'!$H$6:$H$687=$C164))</f>
        <v>0</v>
      </c>
      <c r="I164" s="15" cm="1">
        <f t="array" ref="I164">SUMPRODUCT('Archetype Data'!AJ$6:AJ$687,'Archetype Data'!$S$6:$S$687,--('Archetype Data'!$C$6:$C$687="Industry"),--('Archetype Data'!$D$6:$D$687=$B164),--('Archetype Data'!$H$6:$H$687=$C164))</f>
        <v>0</v>
      </c>
      <c r="J164" s="15" cm="1">
        <f t="array" ref="J164">SUMPRODUCT('Archetype Data'!AK$6:AK$687,'Archetype Data'!$S$6:$S$687,--('Archetype Data'!$C$6:$C$687="Industry"),--('Archetype Data'!$D$6:$D$687=$B164),--('Archetype Data'!$H$6:$H$687=$C164))</f>
        <v>0</v>
      </c>
    </row>
    <row r="165" spans="2:10" outlineLevel="1">
      <c r="B165" t="s">
        <v>67</v>
      </c>
      <c r="C165" t="s">
        <v>98</v>
      </c>
      <c r="D165" s="15">
        <f>SUMIFS('Archetype Data'!AF$6:AF$687,'Archetype Data'!$C$6:$C$687,"Industry",'Archetype Data'!$D$6:$D$687,$B165, 'Archetype Data'!$H$6:$H$687,$C165)</f>
        <v>0</v>
      </c>
      <c r="E165" s="15">
        <f>SUMIFS('Archetype Data'!S$6:S$687,'Archetype Data'!$C$6:$C$687,"Industry",'Archetype Data'!$D$6:$D$687,$B165, 'Archetype Data'!$H$6:$H$687,$C165)</f>
        <v>0</v>
      </c>
      <c r="F165" s="15" cm="1">
        <f t="array" ref="F165">SUMPRODUCT('Archetype Data'!AG$6:AG$687,'Archetype Data'!$S$6:$S$687,--('Archetype Data'!$C$6:$C$687="Industry"),--('Archetype Data'!$D$6:$D$687=$B165),--('Archetype Data'!$H$6:$H$687=$C165))</f>
        <v>0</v>
      </c>
      <c r="G165" s="15" cm="1">
        <f t="array" ref="G165">SUMPRODUCT('Archetype Data'!AH$6:AH$687,'Archetype Data'!$S$6:$S$687,--('Archetype Data'!$C$6:$C$687="Industry"),--('Archetype Data'!$D$6:$D$687=$B165),--('Archetype Data'!$H$6:$H$687=$C165))</f>
        <v>0</v>
      </c>
      <c r="H165" s="15" cm="1">
        <f t="array" ref="H165">SUMPRODUCT('Archetype Data'!AI$6:AI$687,'Archetype Data'!$S$6:$S$687,--('Archetype Data'!$C$6:$C$687="Industry"),--('Archetype Data'!$D$6:$D$687=$B165),--('Archetype Data'!$H$6:$H$687=$C165))</f>
        <v>0</v>
      </c>
      <c r="I165" s="15" cm="1">
        <f t="array" ref="I165">SUMPRODUCT('Archetype Data'!AJ$6:AJ$687,'Archetype Data'!$S$6:$S$687,--('Archetype Data'!$C$6:$C$687="Industry"),--('Archetype Data'!$D$6:$D$687=$B165),--('Archetype Data'!$H$6:$H$687=$C165))</f>
        <v>0</v>
      </c>
      <c r="J165" s="15" cm="1">
        <f t="array" ref="J165">SUMPRODUCT('Archetype Data'!AK$6:AK$687,'Archetype Data'!$S$6:$S$687,--('Archetype Data'!$C$6:$C$687="Industry"),--('Archetype Data'!$D$6:$D$687=$B165),--('Archetype Data'!$H$6:$H$687=$C165))</f>
        <v>0</v>
      </c>
    </row>
    <row r="166" spans="2:10" outlineLevel="1">
      <c r="B166" t="s">
        <v>67</v>
      </c>
      <c r="C166" t="s">
        <v>100</v>
      </c>
      <c r="D166" s="15">
        <f>SUMIFS('Archetype Data'!AF$6:AF$687,'Archetype Data'!$C$6:$C$687,"Industry",'Archetype Data'!$D$6:$D$687,$B166, 'Archetype Data'!$H$6:$H$687,$C166)</f>
        <v>0</v>
      </c>
      <c r="E166" s="15">
        <f>SUMIFS('Archetype Data'!S$6:S$687,'Archetype Data'!$C$6:$C$687,"Industry",'Archetype Data'!$D$6:$D$687,$B166, 'Archetype Data'!$H$6:$H$687,$C166)</f>
        <v>0</v>
      </c>
      <c r="F166" s="15" cm="1">
        <f t="array" ref="F166">SUMPRODUCT('Archetype Data'!AG$6:AG$687,'Archetype Data'!$S$6:$S$687,--('Archetype Data'!$C$6:$C$687="Industry"),--('Archetype Data'!$D$6:$D$687=$B166),--('Archetype Data'!$H$6:$H$687=$C166))</f>
        <v>0</v>
      </c>
      <c r="G166" s="15" cm="1">
        <f t="array" ref="G166">SUMPRODUCT('Archetype Data'!AH$6:AH$687,'Archetype Data'!$S$6:$S$687,--('Archetype Data'!$C$6:$C$687="Industry"),--('Archetype Data'!$D$6:$D$687=$B166),--('Archetype Data'!$H$6:$H$687=$C166))</f>
        <v>0</v>
      </c>
      <c r="H166" s="15" cm="1">
        <f t="array" ref="H166">SUMPRODUCT('Archetype Data'!AI$6:AI$687,'Archetype Data'!$S$6:$S$687,--('Archetype Data'!$C$6:$C$687="Industry"),--('Archetype Data'!$D$6:$D$687=$B166),--('Archetype Data'!$H$6:$H$687=$C166))</f>
        <v>0</v>
      </c>
      <c r="I166" s="15" cm="1">
        <f t="array" ref="I166">SUMPRODUCT('Archetype Data'!AJ$6:AJ$687,'Archetype Data'!$S$6:$S$687,--('Archetype Data'!$C$6:$C$687="Industry"),--('Archetype Data'!$D$6:$D$687=$B166),--('Archetype Data'!$H$6:$H$687=$C166))</f>
        <v>0</v>
      </c>
      <c r="J166" s="15" cm="1">
        <f t="array" ref="J166">SUMPRODUCT('Archetype Data'!AK$6:AK$687,'Archetype Data'!$S$6:$S$687,--('Archetype Data'!$C$6:$C$687="Industry"),--('Archetype Data'!$D$6:$D$687=$B166),--('Archetype Data'!$H$6:$H$687=$C166))</f>
        <v>0</v>
      </c>
    </row>
    <row r="167" spans="2:10" outlineLevel="1">
      <c r="B167" t="s">
        <v>59</v>
      </c>
      <c r="C167" t="s">
        <v>103</v>
      </c>
      <c r="D167" s="15">
        <f>SUMIFS('Archetype Data'!AF$6:AF$687,'Archetype Data'!$C$6:$C$687,"Industry",'Archetype Data'!$D$6:$D$687,$B167, 'Archetype Data'!$H$6:$H$687,$C167)</f>
        <v>0</v>
      </c>
      <c r="E167" s="15">
        <f>SUMIFS('Archetype Data'!S$6:S$687,'Archetype Data'!$C$6:$C$687,"Industry",'Archetype Data'!$D$6:$D$687,$B167, 'Archetype Data'!$H$6:$H$687,$C167)</f>
        <v>0</v>
      </c>
      <c r="F167" s="15" cm="1">
        <f t="array" ref="F167">SUMPRODUCT('Archetype Data'!AG$6:AG$687,'Archetype Data'!$S$6:$S$687,--('Archetype Data'!$C$6:$C$687="Industry"),--('Archetype Data'!$D$6:$D$687=$B167),--('Archetype Data'!$H$6:$H$687=$C167))</f>
        <v>0</v>
      </c>
      <c r="G167" s="15" cm="1">
        <f t="array" ref="G167">SUMPRODUCT('Archetype Data'!AH$6:AH$687,'Archetype Data'!$S$6:$S$687,--('Archetype Data'!$C$6:$C$687="Industry"),--('Archetype Data'!$D$6:$D$687=$B167),--('Archetype Data'!$H$6:$H$687=$C167))</f>
        <v>0</v>
      </c>
      <c r="H167" s="15" cm="1">
        <f t="array" ref="H167">SUMPRODUCT('Archetype Data'!AI$6:AI$687,'Archetype Data'!$S$6:$S$687,--('Archetype Data'!$C$6:$C$687="Industry"),--('Archetype Data'!$D$6:$D$687=$B167),--('Archetype Data'!$H$6:$H$687=$C167))</f>
        <v>0</v>
      </c>
      <c r="I167" s="15" cm="1">
        <f t="array" ref="I167">SUMPRODUCT('Archetype Data'!AJ$6:AJ$687,'Archetype Data'!$S$6:$S$687,--('Archetype Data'!$C$6:$C$687="Industry"),--('Archetype Data'!$D$6:$D$687=$B167),--('Archetype Data'!$H$6:$H$687=$C167))</f>
        <v>0</v>
      </c>
      <c r="J167" s="15" cm="1">
        <f t="array" ref="J167">SUMPRODUCT('Archetype Data'!AK$6:AK$687,'Archetype Data'!$S$6:$S$687,--('Archetype Data'!$C$6:$C$687="Industry"),--('Archetype Data'!$D$6:$D$687=$B167),--('Archetype Data'!$H$6:$H$687=$C167))</f>
        <v>0</v>
      </c>
    </row>
    <row r="168" spans="2:10" outlineLevel="1">
      <c r="B168" t="s">
        <v>59</v>
      </c>
      <c r="C168" t="s">
        <v>104</v>
      </c>
      <c r="D168" s="15">
        <f>SUMIFS('Archetype Data'!AF$6:AF$687,'Archetype Data'!$C$6:$C$687,"Industry",'Archetype Data'!$D$6:$D$687,$B168, 'Archetype Data'!$H$6:$H$687,$C168)</f>
        <v>0</v>
      </c>
      <c r="E168" s="15">
        <f>SUMIFS('Archetype Data'!S$6:S$687,'Archetype Data'!$C$6:$C$687,"Industry",'Archetype Data'!$D$6:$D$687,$B168, 'Archetype Data'!$H$6:$H$687,$C168)</f>
        <v>0</v>
      </c>
      <c r="F168" s="15" cm="1">
        <f t="array" ref="F168">SUMPRODUCT('Archetype Data'!AG$6:AG$687,'Archetype Data'!$S$6:$S$687,--('Archetype Data'!$C$6:$C$687="Industry"),--('Archetype Data'!$D$6:$D$687=$B168),--('Archetype Data'!$H$6:$H$687=$C168))</f>
        <v>0</v>
      </c>
      <c r="G168" s="15" cm="1">
        <f t="array" ref="G168">SUMPRODUCT('Archetype Data'!AH$6:AH$687,'Archetype Data'!$S$6:$S$687,--('Archetype Data'!$C$6:$C$687="Industry"),--('Archetype Data'!$D$6:$D$687=$B168),--('Archetype Data'!$H$6:$H$687=$C168))</f>
        <v>0</v>
      </c>
      <c r="H168" s="15" cm="1">
        <f t="array" ref="H168">SUMPRODUCT('Archetype Data'!AI$6:AI$687,'Archetype Data'!$S$6:$S$687,--('Archetype Data'!$C$6:$C$687="Industry"),--('Archetype Data'!$D$6:$D$687=$B168),--('Archetype Data'!$H$6:$H$687=$C168))</f>
        <v>0</v>
      </c>
      <c r="I168" s="15" cm="1">
        <f t="array" ref="I168">SUMPRODUCT('Archetype Data'!AJ$6:AJ$687,'Archetype Data'!$S$6:$S$687,--('Archetype Data'!$C$6:$C$687="Industry"),--('Archetype Data'!$D$6:$D$687=$B168),--('Archetype Data'!$H$6:$H$687=$C168))</f>
        <v>0</v>
      </c>
      <c r="J168" s="15" cm="1">
        <f t="array" ref="J168">SUMPRODUCT('Archetype Data'!AK$6:AK$687,'Archetype Data'!$S$6:$S$687,--('Archetype Data'!$C$6:$C$687="Industry"),--('Archetype Data'!$D$6:$D$687=$B168),--('Archetype Data'!$H$6:$H$687=$C168))</f>
        <v>0</v>
      </c>
    </row>
    <row r="169" spans="2:10" outlineLevel="1">
      <c r="B169" t="s">
        <v>59</v>
      </c>
      <c r="C169" t="s">
        <v>105</v>
      </c>
      <c r="D169" s="15">
        <f>SUMIFS('Archetype Data'!AF$6:AF$687,'Archetype Data'!$C$6:$C$687,"Industry",'Archetype Data'!$D$6:$D$687,$B169, 'Archetype Data'!$H$6:$H$687,$C169)</f>
        <v>0</v>
      </c>
      <c r="E169" s="15">
        <f>SUMIFS('Archetype Data'!S$6:S$687,'Archetype Data'!$C$6:$C$687,"Industry",'Archetype Data'!$D$6:$D$687,$B169, 'Archetype Data'!$H$6:$H$687,$C169)</f>
        <v>0</v>
      </c>
      <c r="F169" s="15" cm="1">
        <f t="array" ref="F169">SUMPRODUCT('Archetype Data'!AG$6:AG$687,'Archetype Data'!$S$6:$S$687,--('Archetype Data'!$C$6:$C$687="Industry"),--('Archetype Data'!$D$6:$D$687=$B169),--('Archetype Data'!$H$6:$H$687=$C169))</f>
        <v>0</v>
      </c>
      <c r="G169" s="15" cm="1">
        <f t="array" ref="G169">SUMPRODUCT('Archetype Data'!AH$6:AH$687,'Archetype Data'!$S$6:$S$687,--('Archetype Data'!$C$6:$C$687="Industry"),--('Archetype Data'!$D$6:$D$687=$B169),--('Archetype Data'!$H$6:$H$687=$C169))</f>
        <v>0</v>
      </c>
      <c r="H169" s="15" cm="1">
        <f t="array" ref="H169">SUMPRODUCT('Archetype Data'!AI$6:AI$687,'Archetype Data'!$S$6:$S$687,--('Archetype Data'!$C$6:$C$687="Industry"),--('Archetype Data'!$D$6:$D$687=$B169),--('Archetype Data'!$H$6:$H$687=$C169))</f>
        <v>0</v>
      </c>
      <c r="I169" s="15" cm="1">
        <f t="array" ref="I169">SUMPRODUCT('Archetype Data'!AJ$6:AJ$687,'Archetype Data'!$S$6:$S$687,--('Archetype Data'!$C$6:$C$687="Industry"),--('Archetype Data'!$D$6:$D$687=$B169),--('Archetype Data'!$H$6:$H$687=$C169))</f>
        <v>0</v>
      </c>
      <c r="J169" s="15" cm="1">
        <f t="array" ref="J169">SUMPRODUCT('Archetype Data'!AK$6:AK$687,'Archetype Data'!$S$6:$S$687,--('Archetype Data'!$C$6:$C$687="Industry"),--('Archetype Data'!$D$6:$D$687=$B169),--('Archetype Data'!$H$6:$H$687=$C169))</f>
        <v>0</v>
      </c>
    </row>
    <row r="170" spans="2:10" outlineLevel="1">
      <c r="B170" t="s">
        <v>60</v>
      </c>
      <c r="C170" t="s">
        <v>106</v>
      </c>
      <c r="D170" s="15">
        <f>SUMIFS('Archetype Data'!AF$6:AF$687,'Archetype Data'!$C$6:$C$687,"Industry",'Archetype Data'!$D$6:$D$687,$B170, 'Archetype Data'!$H$6:$H$687,$C170)</f>
        <v>0.79219063334697259</v>
      </c>
      <c r="E170" s="15">
        <f>SUMIFS('Archetype Data'!S$6:S$687,'Archetype Data'!$C$6:$C$687,"Industry",'Archetype Data'!$D$6:$D$687,$B170, 'Archetype Data'!$H$6:$H$687,$C170)</f>
        <v>0.8166913745845078</v>
      </c>
      <c r="F170" s="15" cm="1">
        <f t="array" ref="F170">SUMPRODUCT('Archetype Data'!AG$6:AG$687,'Archetype Data'!$S$6:$S$687,--('Archetype Data'!$C$6:$C$687="Industry"),--('Archetype Data'!$D$6:$D$687=$B170),--('Archetype Data'!$H$6:$H$687=$C170))</f>
        <v>572338.58064844203</v>
      </c>
      <c r="G170" s="15" cm="1">
        <f t="array" ref="G170">SUMPRODUCT('Archetype Data'!AH$6:AH$687,'Archetype Data'!$S$6:$S$687,--('Archetype Data'!$C$6:$C$687="Industry"),--('Archetype Data'!$D$6:$D$687=$B170),--('Archetype Data'!$H$6:$H$687=$C170))</f>
        <v>572338.58064844203</v>
      </c>
      <c r="H170" s="15" cm="1">
        <f t="array" ref="H170">SUMPRODUCT('Archetype Data'!AI$6:AI$687,'Archetype Data'!$S$6:$S$687,--('Archetype Data'!$C$6:$C$687="Industry"),--('Archetype Data'!$D$6:$D$687=$B170),--('Archetype Data'!$H$6:$H$687=$C170))</f>
        <v>0</v>
      </c>
      <c r="I170" s="15" cm="1">
        <f t="array" ref="I170">SUMPRODUCT('Archetype Data'!AJ$6:AJ$687,'Archetype Data'!$S$6:$S$687,--('Archetype Data'!$C$6:$C$687="Industry"),--('Archetype Data'!$D$6:$D$687=$B170),--('Archetype Data'!$H$6:$H$687=$C170))</f>
        <v>0</v>
      </c>
      <c r="J170" s="15" cm="1">
        <f t="array" ref="J170">SUMPRODUCT('Archetype Data'!AK$6:AK$687,'Archetype Data'!$S$6:$S$687,--('Archetype Data'!$C$6:$C$687="Industry"),--('Archetype Data'!$D$6:$D$687=$B170),--('Archetype Data'!$H$6:$H$687=$C170))</f>
        <v>0</v>
      </c>
    </row>
    <row r="171" spans="2:10" outlineLevel="1">
      <c r="B171" t="s">
        <v>60</v>
      </c>
      <c r="C171" t="s">
        <v>105</v>
      </c>
      <c r="D171" s="15">
        <f>SUMIFS('Archetype Data'!AF$6:AF$687,'Archetype Data'!$C$6:$C$687,"Industry",'Archetype Data'!$D$6:$D$687,$B171, 'Archetype Data'!$H$6:$H$687,$C171)</f>
        <v>0</v>
      </c>
      <c r="E171" s="15">
        <f>SUMIFS('Archetype Data'!S$6:S$687,'Archetype Data'!$C$6:$C$687,"Industry",'Archetype Data'!$D$6:$D$687,$B171, 'Archetype Data'!$H$6:$H$687,$C171)</f>
        <v>0</v>
      </c>
      <c r="F171" s="15" cm="1">
        <f t="array" ref="F171">SUMPRODUCT('Archetype Data'!AG$6:AG$687,'Archetype Data'!$S$6:$S$687,--('Archetype Data'!$C$6:$C$687="Industry"),--('Archetype Data'!$D$6:$D$687=$B171),--('Archetype Data'!$H$6:$H$687=$C171))</f>
        <v>0</v>
      </c>
      <c r="G171" s="15" cm="1">
        <f t="array" ref="G171">SUMPRODUCT('Archetype Data'!AH$6:AH$687,'Archetype Data'!$S$6:$S$687,--('Archetype Data'!$C$6:$C$687="Industry"),--('Archetype Data'!$D$6:$D$687=$B171),--('Archetype Data'!$H$6:$H$687=$C171))</f>
        <v>0</v>
      </c>
      <c r="H171" s="15" cm="1">
        <f t="array" ref="H171">SUMPRODUCT('Archetype Data'!AI$6:AI$687,'Archetype Data'!$S$6:$S$687,--('Archetype Data'!$C$6:$C$687="Industry"),--('Archetype Data'!$D$6:$D$687=$B171),--('Archetype Data'!$H$6:$H$687=$C171))</f>
        <v>0</v>
      </c>
      <c r="I171" s="15" cm="1">
        <f t="array" ref="I171">SUMPRODUCT('Archetype Data'!AJ$6:AJ$687,'Archetype Data'!$S$6:$S$687,--('Archetype Data'!$C$6:$C$687="Industry"),--('Archetype Data'!$D$6:$D$687=$B171),--('Archetype Data'!$H$6:$H$687=$C171))</f>
        <v>0</v>
      </c>
      <c r="J171" s="15" cm="1">
        <f t="array" ref="J171">SUMPRODUCT('Archetype Data'!AK$6:AK$687,'Archetype Data'!$S$6:$S$687,--('Archetype Data'!$C$6:$C$687="Industry"),--('Archetype Data'!$D$6:$D$687=$B171),--('Archetype Data'!$H$6:$H$687=$C171))</f>
        <v>0</v>
      </c>
    </row>
    <row r="172" spans="2:10" outlineLevel="1">
      <c r="B172" t="s">
        <v>60</v>
      </c>
      <c r="C172" t="s">
        <v>107</v>
      </c>
      <c r="D172" s="15">
        <f>SUMIFS('Archetype Data'!AF$6:AF$687,'Archetype Data'!$C$6:$C$687,"Industry",'Archetype Data'!$D$6:$D$687,$B172, 'Archetype Data'!$H$6:$H$687,$C172)</f>
        <v>2.4500741237535234E-2</v>
      </c>
      <c r="E172" s="15">
        <f>SUMIFS('Archetype Data'!S$6:S$687,'Archetype Data'!$C$6:$C$687,"Industry",'Archetype Data'!$D$6:$D$687,$B172, 'Archetype Data'!$H$6:$H$687,$C172)</f>
        <v>0.8166913745845078</v>
      </c>
      <c r="F172" s="15" cm="1">
        <f t="array" ref="F172">SUMPRODUCT('Archetype Data'!AG$6:AG$687,'Archetype Data'!$S$6:$S$687,--('Archetype Data'!$C$6:$C$687="Industry"),--('Archetype Data'!$D$6:$D$687=$B172),--('Archetype Data'!$H$6:$H$687=$C172))</f>
        <v>18094.553065174114</v>
      </c>
      <c r="G172" s="15" cm="1">
        <f t="array" ref="G172">SUMPRODUCT('Archetype Data'!AH$6:AH$687,'Archetype Data'!$S$6:$S$687,--('Archetype Data'!$C$6:$C$687="Industry"),--('Archetype Data'!$D$6:$D$687=$B172),--('Archetype Data'!$H$6:$H$687=$C172))</f>
        <v>0</v>
      </c>
      <c r="H172" s="15" cm="1">
        <f t="array" ref="H172">SUMPRODUCT('Archetype Data'!AI$6:AI$687,'Archetype Data'!$S$6:$S$687,--('Archetype Data'!$C$6:$C$687="Industry"),--('Archetype Data'!$D$6:$D$687=$B172),--('Archetype Data'!$H$6:$H$687=$C172))</f>
        <v>18094.553065174114</v>
      </c>
      <c r="I172" s="15" cm="1">
        <f t="array" ref="I172">SUMPRODUCT('Archetype Data'!AJ$6:AJ$687,'Archetype Data'!$S$6:$S$687,--('Archetype Data'!$C$6:$C$687="Industry"),--('Archetype Data'!$D$6:$D$687=$B172),--('Archetype Data'!$H$6:$H$687=$C172))</f>
        <v>0</v>
      </c>
      <c r="J172" s="15" cm="1">
        <f t="array" ref="J172">SUMPRODUCT('Archetype Data'!AK$6:AK$687,'Archetype Data'!$S$6:$S$687,--('Archetype Data'!$C$6:$C$687="Industry"),--('Archetype Data'!$D$6:$D$687=$B172),--('Archetype Data'!$H$6:$H$687=$C172))</f>
        <v>0</v>
      </c>
    </row>
    <row r="173" spans="2:10" outlineLevel="1">
      <c r="B173" t="s">
        <v>61</v>
      </c>
      <c r="C173" t="s">
        <v>103</v>
      </c>
      <c r="D173" s="15">
        <f>SUMIFS('Archetype Data'!AF$6:AF$687,'Archetype Data'!$C$6:$C$687,"Industry",'Archetype Data'!$D$6:$D$687,$B173, 'Archetype Data'!$H$6:$H$687,$C173)</f>
        <v>0</v>
      </c>
      <c r="E173" s="15">
        <f>SUMIFS('Archetype Data'!S$6:S$687,'Archetype Data'!$C$6:$C$687,"Industry",'Archetype Data'!$D$6:$D$687,$B173, 'Archetype Data'!$H$6:$H$687,$C173)</f>
        <v>0</v>
      </c>
      <c r="F173" s="15" cm="1">
        <f t="array" ref="F173">SUMPRODUCT('Archetype Data'!AG$6:AG$687,'Archetype Data'!$S$6:$S$687,--('Archetype Data'!$C$6:$C$687="Industry"),--('Archetype Data'!$D$6:$D$687=$B173),--('Archetype Data'!$H$6:$H$687=$C173))</f>
        <v>0</v>
      </c>
      <c r="G173" s="15" cm="1">
        <f t="array" ref="G173">SUMPRODUCT('Archetype Data'!AH$6:AH$687,'Archetype Data'!$S$6:$S$687,--('Archetype Data'!$C$6:$C$687="Industry"),--('Archetype Data'!$D$6:$D$687=$B173),--('Archetype Data'!$H$6:$H$687=$C173))</f>
        <v>0</v>
      </c>
      <c r="H173" s="15" cm="1">
        <f t="array" ref="H173">SUMPRODUCT('Archetype Data'!AI$6:AI$687,'Archetype Data'!$S$6:$S$687,--('Archetype Data'!$C$6:$C$687="Industry"),--('Archetype Data'!$D$6:$D$687=$B173),--('Archetype Data'!$H$6:$H$687=$C173))</f>
        <v>0</v>
      </c>
      <c r="I173" s="15" cm="1">
        <f t="array" ref="I173">SUMPRODUCT('Archetype Data'!AJ$6:AJ$687,'Archetype Data'!$S$6:$S$687,--('Archetype Data'!$C$6:$C$687="Industry"),--('Archetype Data'!$D$6:$D$687=$B173),--('Archetype Data'!$H$6:$H$687=$C173))</f>
        <v>0</v>
      </c>
      <c r="J173" s="15" cm="1">
        <f t="array" ref="J173">SUMPRODUCT('Archetype Data'!AK$6:AK$687,'Archetype Data'!$S$6:$S$687,--('Archetype Data'!$C$6:$C$687="Industry"),--('Archetype Data'!$D$6:$D$687=$B173),--('Archetype Data'!$H$6:$H$687=$C173))</f>
        <v>0</v>
      </c>
    </row>
    <row r="174" spans="2:10" outlineLevel="1">
      <c r="B174" t="s">
        <v>61</v>
      </c>
      <c r="C174" t="s">
        <v>104</v>
      </c>
      <c r="D174" s="15">
        <f>SUMIFS('Archetype Data'!AF$6:AF$687,'Archetype Data'!$C$6:$C$687,"Industry",'Archetype Data'!$D$6:$D$687,$B174, 'Archetype Data'!$H$6:$H$687,$C174)</f>
        <v>0</v>
      </c>
      <c r="E174" s="15">
        <f>SUMIFS('Archetype Data'!S$6:S$687,'Archetype Data'!$C$6:$C$687,"Industry",'Archetype Data'!$D$6:$D$687,$B174, 'Archetype Data'!$H$6:$H$687,$C174)</f>
        <v>0</v>
      </c>
      <c r="F174" s="15" cm="1">
        <f t="array" ref="F174">SUMPRODUCT('Archetype Data'!AG$6:AG$687,'Archetype Data'!$S$6:$S$687,--('Archetype Data'!$C$6:$C$687="Industry"),--('Archetype Data'!$D$6:$D$687=$B174),--('Archetype Data'!$H$6:$H$687=$C174))</f>
        <v>0</v>
      </c>
      <c r="G174" s="15" cm="1">
        <f t="array" ref="G174">SUMPRODUCT('Archetype Data'!AH$6:AH$687,'Archetype Data'!$S$6:$S$687,--('Archetype Data'!$C$6:$C$687="Industry"),--('Archetype Data'!$D$6:$D$687=$B174),--('Archetype Data'!$H$6:$H$687=$C174))</f>
        <v>0</v>
      </c>
      <c r="H174" s="15" cm="1">
        <f t="array" ref="H174">SUMPRODUCT('Archetype Data'!AI$6:AI$687,'Archetype Data'!$S$6:$S$687,--('Archetype Data'!$C$6:$C$687="Industry"),--('Archetype Data'!$D$6:$D$687=$B174),--('Archetype Data'!$H$6:$H$687=$C174))</f>
        <v>0</v>
      </c>
      <c r="I174" s="15" cm="1">
        <f t="array" ref="I174">SUMPRODUCT('Archetype Data'!AJ$6:AJ$687,'Archetype Data'!$S$6:$S$687,--('Archetype Data'!$C$6:$C$687="Industry"),--('Archetype Data'!$D$6:$D$687=$B174),--('Archetype Data'!$H$6:$H$687=$C174))</f>
        <v>0</v>
      </c>
      <c r="J174" s="15" cm="1">
        <f t="array" ref="J174">SUMPRODUCT('Archetype Data'!AK$6:AK$687,'Archetype Data'!$S$6:$S$687,--('Archetype Data'!$C$6:$C$687="Industry"),--('Archetype Data'!$D$6:$D$687=$B174),--('Archetype Data'!$H$6:$H$687=$C174))</f>
        <v>0</v>
      </c>
    </row>
    <row r="175" spans="2:10" outlineLevel="1">
      <c r="B175" t="s">
        <v>61</v>
      </c>
      <c r="C175" t="s">
        <v>105</v>
      </c>
      <c r="D175" s="15">
        <f>SUMIFS('Archetype Data'!AF$6:AF$687,'Archetype Data'!$C$6:$C$687,"Industry",'Archetype Data'!$D$6:$D$687,$B175, 'Archetype Data'!$H$6:$H$687,$C175)</f>
        <v>0</v>
      </c>
      <c r="E175" s="15">
        <f>SUMIFS('Archetype Data'!S$6:S$687,'Archetype Data'!$C$6:$C$687,"Industry",'Archetype Data'!$D$6:$D$687,$B175, 'Archetype Data'!$H$6:$H$687,$C175)</f>
        <v>0</v>
      </c>
      <c r="F175" s="15" cm="1">
        <f t="array" ref="F175">SUMPRODUCT('Archetype Data'!AG$6:AG$687,'Archetype Data'!$S$6:$S$687,--('Archetype Data'!$C$6:$C$687="Industry"),--('Archetype Data'!$D$6:$D$687=$B175),--('Archetype Data'!$H$6:$H$687=$C175))</f>
        <v>0</v>
      </c>
      <c r="G175" s="15" cm="1">
        <f t="array" ref="G175">SUMPRODUCT('Archetype Data'!AH$6:AH$687,'Archetype Data'!$S$6:$S$687,--('Archetype Data'!$C$6:$C$687="Industry"),--('Archetype Data'!$D$6:$D$687=$B175),--('Archetype Data'!$H$6:$H$687=$C175))</f>
        <v>0</v>
      </c>
      <c r="H175" s="15" cm="1">
        <f t="array" ref="H175">SUMPRODUCT('Archetype Data'!AI$6:AI$687,'Archetype Data'!$S$6:$S$687,--('Archetype Data'!$C$6:$C$687="Industry"),--('Archetype Data'!$D$6:$D$687=$B175),--('Archetype Data'!$H$6:$H$687=$C175))</f>
        <v>0</v>
      </c>
      <c r="I175" s="15" cm="1">
        <f t="array" ref="I175">SUMPRODUCT('Archetype Data'!AJ$6:AJ$687,'Archetype Data'!$S$6:$S$687,--('Archetype Data'!$C$6:$C$687="Industry"),--('Archetype Data'!$D$6:$D$687=$B175),--('Archetype Data'!$H$6:$H$687=$C175))</f>
        <v>0</v>
      </c>
      <c r="J175" s="15" cm="1">
        <f t="array" ref="J175">SUMPRODUCT('Archetype Data'!AK$6:AK$687,'Archetype Data'!$S$6:$S$687,--('Archetype Data'!$C$6:$C$687="Industry"),--('Archetype Data'!$D$6:$D$687=$B175),--('Archetype Data'!$H$6:$H$687=$C175))</f>
        <v>0</v>
      </c>
    </row>
    <row r="176" spans="2:10" outlineLevel="1">
      <c r="B176" t="s">
        <v>62</v>
      </c>
      <c r="C176" t="s">
        <v>103</v>
      </c>
      <c r="D176" s="15">
        <f>SUMIFS('Archetype Data'!AF$6:AF$687,'Archetype Data'!$C$6:$C$687,"Industry",'Archetype Data'!$D$6:$D$687,$B176, 'Archetype Data'!$H$6:$H$687,$C176)</f>
        <v>0</v>
      </c>
      <c r="E176" s="15">
        <f>SUMIFS('Archetype Data'!S$6:S$687,'Archetype Data'!$C$6:$C$687,"Industry",'Archetype Data'!$D$6:$D$687,$B176, 'Archetype Data'!$H$6:$H$687,$C176)</f>
        <v>0</v>
      </c>
      <c r="F176" s="15" cm="1">
        <f t="array" ref="F176">SUMPRODUCT('Archetype Data'!AG$6:AG$687,'Archetype Data'!$S$6:$S$687,--('Archetype Data'!$C$6:$C$687="Industry"),--('Archetype Data'!$D$6:$D$687=$B176),--('Archetype Data'!$H$6:$H$687=$C176))</f>
        <v>0</v>
      </c>
      <c r="G176" s="15" cm="1">
        <f t="array" ref="G176">SUMPRODUCT('Archetype Data'!AH$6:AH$687,'Archetype Data'!$S$6:$S$687,--('Archetype Data'!$C$6:$C$687="Industry"),--('Archetype Data'!$D$6:$D$687=$B176),--('Archetype Data'!$H$6:$H$687=$C176))</f>
        <v>0</v>
      </c>
      <c r="H176" s="15" cm="1">
        <f t="array" ref="H176">SUMPRODUCT('Archetype Data'!AI$6:AI$687,'Archetype Data'!$S$6:$S$687,--('Archetype Data'!$C$6:$C$687="Industry"),--('Archetype Data'!$D$6:$D$687=$B176),--('Archetype Data'!$H$6:$H$687=$C176))</f>
        <v>0</v>
      </c>
      <c r="I176" s="15" cm="1">
        <f t="array" ref="I176">SUMPRODUCT('Archetype Data'!AJ$6:AJ$687,'Archetype Data'!$S$6:$S$687,--('Archetype Data'!$C$6:$C$687="Industry"),--('Archetype Data'!$D$6:$D$687=$B176),--('Archetype Data'!$H$6:$H$687=$C176))</f>
        <v>0</v>
      </c>
      <c r="J176" s="15" cm="1">
        <f t="array" ref="J176">SUMPRODUCT('Archetype Data'!AK$6:AK$687,'Archetype Data'!$S$6:$S$687,--('Archetype Data'!$C$6:$C$687="Industry"),--('Archetype Data'!$D$6:$D$687=$B176),--('Archetype Data'!$H$6:$H$687=$C176))</f>
        <v>0</v>
      </c>
    </row>
    <row r="177" spans="2:10" outlineLevel="1">
      <c r="B177" t="s">
        <v>62</v>
      </c>
      <c r="C177" t="s">
        <v>107</v>
      </c>
      <c r="D177" s="15">
        <f>SUMIFS('Archetype Data'!AF$6:AF$687,'Archetype Data'!$C$6:$C$687,"Industry",'Archetype Data'!$D$6:$D$687,$B177, 'Archetype Data'!$H$6:$H$687,$C177)</f>
        <v>0</v>
      </c>
      <c r="E177" s="15">
        <f>SUMIFS('Archetype Data'!S$6:S$687,'Archetype Data'!$C$6:$C$687,"Industry",'Archetype Data'!$D$6:$D$687,$B177, 'Archetype Data'!$H$6:$H$687,$C177)</f>
        <v>0</v>
      </c>
      <c r="F177" s="15" cm="1">
        <f t="array" ref="F177">SUMPRODUCT('Archetype Data'!AG$6:AG$687,'Archetype Data'!$S$6:$S$687,--('Archetype Data'!$C$6:$C$687="Industry"),--('Archetype Data'!$D$6:$D$687=$B177),--('Archetype Data'!$H$6:$H$687=$C177))</f>
        <v>0</v>
      </c>
      <c r="G177" s="15" cm="1">
        <f t="array" ref="G177">SUMPRODUCT('Archetype Data'!AH$6:AH$687,'Archetype Data'!$S$6:$S$687,--('Archetype Data'!$C$6:$C$687="Industry"),--('Archetype Data'!$D$6:$D$687=$B177),--('Archetype Data'!$H$6:$H$687=$C177))</f>
        <v>0</v>
      </c>
      <c r="H177" s="15" cm="1">
        <f t="array" ref="H177">SUMPRODUCT('Archetype Data'!AI$6:AI$687,'Archetype Data'!$S$6:$S$687,--('Archetype Data'!$C$6:$C$687="Industry"),--('Archetype Data'!$D$6:$D$687=$B177),--('Archetype Data'!$H$6:$H$687=$C177))</f>
        <v>0</v>
      </c>
      <c r="I177" s="15" cm="1">
        <f t="array" ref="I177">SUMPRODUCT('Archetype Data'!AJ$6:AJ$687,'Archetype Data'!$S$6:$S$687,--('Archetype Data'!$C$6:$C$687="Industry"),--('Archetype Data'!$D$6:$D$687=$B177),--('Archetype Data'!$H$6:$H$687=$C177))</f>
        <v>0</v>
      </c>
      <c r="J177" s="15" cm="1">
        <f t="array" ref="J177">SUMPRODUCT('Archetype Data'!AK$6:AK$687,'Archetype Data'!$S$6:$S$687,--('Archetype Data'!$C$6:$C$687="Industry"),--('Archetype Data'!$D$6:$D$687=$B177),--('Archetype Data'!$H$6:$H$687=$C177))</f>
        <v>0</v>
      </c>
    </row>
    <row r="178" spans="2:10" outlineLevel="1">
      <c r="B178" t="s">
        <v>63</v>
      </c>
      <c r="C178" t="s">
        <v>108</v>
      </c>
      <c r="D178" s="15">
        <f>SUMIFS('Archetype Data'!AF$6:AF$687,'Archetype Data'!$C$6:$C$687,"Industry",'Archetype Data'!$D$6:$D$687,$B178, 'Archetype Data'!$H$6:$H$687,$C178)</f>
        <v>0</v>
      </c>
      <c r="E178" s="15">
        <f>SUMIFS('Archetype Data'!S$6:S$687,'Archetype Data'!$C$6:$C$687,"Industry",'Archetype Data'!$D$6:$D$687,$B178, 'Archetype Data'!$H$6:$H$687,$C178)</f>
        <v>0</v>
      </c>
      <c r="F178" s="15" cm="1">
        <f t="array" ref="F178">SUMPRODUCT('Archetype Data'!AG$6:AG$687,'Archetype Data'!$S$6:$S$687,--('Archetype Data'!$C$6:$C$687="Industry"),--('Archetype Data'!$D$6:$D$687=$B178),--('Archetype Data'!$H$6:$H$687=$C178))</f>
        <v>0</v>
      </c>
      <c r="G178" s="15" cm="1">
        <f t="array" ref="G178">SUMPRODUCT('Archetype Data'!AH$6:AH$687,'Archetype Data'!$S$6:$S$687,--('Archetype Data'!$C$6:$C$687="Industry"),--('Archetype Data'!$D$6:$D$687=$B178),--('Archetype Data'!$H$6:$H$687=$C178))</f>
        <v>0</v>
      </c>
      <c r="H178" s="15" cm="1">
        <f t="array" ref="H178">SUMPRODUCT('Archetype Data'!AI$6:AI$687,'Archetype Data'!$S$6:$S$687,--('Archetype Data'!$C$6:$C$687="Industry"),--('Archetype Data'!$D$6:$D$687=$B178),--('Archetype Data'!$H$6:$H$687=$C178))</f>
        <v>0</v>
      </c>
      <c r="I178" s="15" cm="1">
        <f t="array" ref="I178">SUMPRODUCT('Archetype Data'!AJ$6:AJ$687,'Archetype Data'!$S$6:$S$687,--('Archetype Data'!$C$6:$C$687="Industry"),--('Archetype Data'!$D$6:$D$687=$B178),--('Archetype Data'!$H$6:$H$687=$C178))</f>
        <v>0</v>
      </c>
      <c r="J178" s="15" cm="1">
        <f t="array" ref="J178">SUMPRODUCT('Archetype Data'!AK$6:AK$687,'Archetype Data'!$S$6:$S$687,--('Archetype Data'!$C$6:$C$687="Industry"),--('Archetype Data'!$D$6:$D$687=$B178),--('Archetype Data'!$H$6:$H$687=$C178))</f>
        <v>0</v>
      </c>
    </row>
    <row r="179" spans="2:10" outlineLevel="1">
      <c r="B179" t="s">
        <v>63</v>
      </c>
      <c r="C179" t="s">
        <v>103</v>
      </c>
      <c r="D179" s="15">
        <f>SUMIFS('Archetype Data'!AF$6:AF$687,'Archetype Data'!$C$6:$C$687,"Industry",'Archetype Data'!$D$6:$D$687,$B179, 'Archetype Data'!$H$6:$H$687,$C179)</f>
        <v>0</v>
      </c>
      <c r="E179" s="15">
        <f>SUMIFS('Archetype Data'!S$6:S$687,'Archetype Data'!$C$6:$C$687,"Industry",'Archetype Data'!$D$6:$D$687,$B179, 'Archetype Data'!$H$6:$H$687,$C179)</f>
        <v>0</v>
      </c>
      <c r="F179" s="15" cm="1">
        <f t="array" ref="F179">SUMPRODUCT('Archetype Data'!AG$6:AG$687,'Archetype Data'!$S$6:$S$687,--('Archetype Data'!$C$6:$C$687="Industry"),--('Archetype Data'!$D$6:$D$687=$B179),--('Archetype Data'!$H$6:$H$687=$C179))</f>
        <v>0</v>
      </c>
      <c r="G179" s="15" cm="1">
        <f t="array" ref="G179">SUMPRODUCT('Archetype Data'!AH$6:AH$687,'Archetype Data'!$S$6:$S$687,--('Archetype Data'!$C$6:$C$687="Industry"),--('Archetype Data'!$D$6:$D$687=$B179),--('Archetype Data'!$H$6:$H$687=$C179))</f>
        <v>0</v>
      </c>
      <c r="H179" s="15" cm="1">
        <f t="array" ref="H179">SUMPRODUCT('Archetype Data'!AI$6:AI$687,'Archetype Data'!$S$6:$S$687,--('Archetype Data'!$C$6:$C$687="Industry"),--('Archetype Data'!$D$6:$D$687=$B179),--('Archetype Data'!$H$6:$H$687=$C179))</f>
        <v>0</v>
      </c>
      <c r="I179" s="15" cm="1">
        <f t="array" ref="I179">SUMPRODUCT('Archetype Data'!AJ$6:AJ$687,'Archetype Data'!$S$6:$S$687,--('Archetype Data'!$C$6:$C$687="Industry"),--('Archetype Data'!$D$6:$D$687=$B179),--('Archetype Data'!$H$6:$H$687=$C179))</f>
        <v>0</v>
      </c>
      <c r="J179" s="15" cm="1">
        <f t="array" ref="J179">SUMPRODUCT('Archetype Data'!AK$6:AK$687,'Archetype Data'!$S$6:$S$687,--('Archetype Data'!$C$6:$C$687="Industry"),--('Archetype Data'!$D$6:$D$687=$B179),--('Archetype Data'!$H$6:$H$687=$C179))</f>
        <v>0</v>
      </c>
    </row>
    <row r="180" spans="2:10" outlineLevel="1">
      <c r="B180" t="s">
        <v>63</v>
      </c>
      <c r="C180" t="s">
        <v>107</v>
      </c>
      <c r="D180" s="15">
        <f>SUMIFS('Archetype Data'!AF$6:AF$687,'Archetype Data'!$C$6:$C$687,"Industry",'Archetype Data'!$D$6:$D$687,$B180, 'Archetype Data'!$H$6:$H$687,$C180)</f>
        <v>0</v>
      </c>
      <c r="E180" s="15">
        <f>SUMIFS('Archetype Data'!S$6:S$687,'Archetype Data'!$C$6:$C$687,"Industry",'Archetype Data'!$D$6:$D$687,$B180, 'Archetype Data'!$H$6:$H$687,$C180)</f>
        <v>0</v>
      </c>
      <c r="F180" s="15" cm="1">
        <f t="array" ref="F180">SUMPRODUCT('Archetype Data'!AG$6:AG$687,'Archetype Data'!$S$6:$S$687,--('Archetype Data'!$C$6:$C$687="Industry"),--('Archetype Data'!$D$6:$D$687=$B180),--('Archetype Data'!$H$6:$H$687=$C180))</f>
        <v>0</v>
      </c>
      <c r="G180" s="15" cm="1">
        <f t="array" ref="G180">SUMPRODUCT('Archetype Data'!AH$6:AH$687,'Archetype Data'!$S$6:$S$687,--('Archetype Data'!$C$6:$C$687="Industry"),--('Archetype Data'!$D$6:$D$687=$B180),--('Archetype Data'!$H$6:$H$687=$C180))</f>
        <v>0</v>
      </c>
      <c r="H180" s="15" cm="1">
        <f t="array" ref="H180">SUMPRODUCT('Archetype Data'!AI$6:AI$687,'Archetype Data'!$S$6:$S$687,--('Archetype Data'!$C$6:$C$687="Industry"),--('Archetype Data'!$D$6:$D$687=$B180),--('Archetype Data'!$H$6:$H$687=$C180))</f>
        <v>0</v>
      </c>
      <c r="I180" s="15" cm="1">
        <f t="array" ref="I180">SUMPRODUCT('Archetype Data'!AJ$6:AJ$687,'Archetype Data'!$S$6:$S$687,--('Archetype Data'!$C$6:$C$687="Industry"),--('Archetype Data'!$D$6:$D$687=$B180),--('Archetype Data'!$H$6:$H$687=$C180))</f>
        <v>0</v>
      </c>
      <c r="J180" s="15" cm="1">
        <f t="array" ref="J180">SUMPRODUCT('Archetype Data'!AK$6:AK$687,'Archetype Data'!$S$6:$S$687,--('Archetype Data'!$C$6:$C$687="Industry"),--('Archetype Data'!$D$6:$D$687=$B180),--('Archetype Data'!$H$6:$H$687=$C180))</f>
        <v>0</v>
      </c>
    </row>
    <row r="181" spans="2:10" outlineLevel="1">
      <c r="B181" t="s">
        <v>64</v>
      </c>
      <c r="C181" t="s">
        <v>103</v>
      </c>
      <c r="D181" s="15">
        <f>SUMIFS('Archetype Data'!AF$6:AF$687,'Archetype Data'!$C$6:$C$687,"Industry",'Archetype Data'!$D$6:$D$687,$B181, 'Archetype Data'!$H$6:$H$687,$C181)</f>
        <v>0</v>
      </c>
      <c r="E181" s="15">
        <f>SUMIFS('Archetype Data'!S$6:S$687,'Archetype Data'!$C$6:$C$687,"Industry",'Archetype Data'!$D$6:$D$687,$B181, 'Archetype Data'!$H$6:$H$687,$C181)</f>
        <v>0</v>
      </c>
      <c r="F181" s="15" cm="1">
        <f t="array" ref="F181">SUMPRODUCT('Archetype Data'!AG$6:AG$687,'Archetype Data'!$S$6:$S$687,--('Archetype Data'!$C$6:$C$687="Industry"),--('Archetype Data'!$D$6:$D$687=$B181),--('Archetype Data'!$H$6:$H$687=$C181))</f>
        <v>0</v>
      </c>
      <c r="G181" s="15" cm="1">
        <f t="array" ref="G181">SUMPRODUCT('Archetype Data'!AH$6:AH$687,'Archetype Data'!$S$6:$S$687,--('Archetype Data'!$C$6:$C$687="Industry"),--('Archetype Data'!$D$6:$D$687=$B181),--('Archetype Data'!$H$6:$H$687=$C181))</f>
        <v>0</v>
      </c>
      <c r="H181" s="15" cm="1">
        <f t="array" ref="H181">SUMPRODUCT('Archetype Data'!AI$6:AI$687,'Archetype Data'!$S$6:$S$687,--('Archetype Data'!$C$6:$C$687="Industry"),--('Archetype Data'!$D$6:$D$687=$B181),--('Archetype Data'!$H$6:$H$687=$C181))</f>
        <v>0</v>
      </c>
      <c r="I181" s="15" cm="1">
        <f t="array" ref="I181">SUMPRODUCT('Archetype Data'!AJ$6:AJ$687,'Archetype Data'!$S$6:$S$687,--('Archetype Data'!$C$6:$C$687="Industry"),--('Archetype Data'!$D$6:$D$687=$B181),--('Archetype Data'!$H$6:$H$687=$C181))</f>
        <v>0</v>
      </c>
      <c r="J181" s="15" cm="1">
        <f t="array" ref="J181">SUMPRODUCT('Archetype Data'!AK$6:AK$687,'Archetype Data'!$S$6:$S$687,--('Archetype Data'!$C$6:$C$687="Industry"),--('Archetype Data'!$D$6:$D$687=$B181),--('Archetype Data'!$H$6:$H$687=$C181))</f>
        <v>0</v>
      </c>
    </row>
    <row r="182" spans="2:10" outlineLevel="1">
      <c r="B182" t="s">
        <v>64</v>
      </c>
      <c r="C182" t="s">
        <v>104</v>
      </c>
      <c r="D182" s="15">
        <f>SUMIFS('Archetype Data'!AF$6:AF$687,'Archetype Data'!$C$6:$C$687,"Industry",'Archetype Data'!$D$6:$D$687,$B182, 'Archetype Data'!$H$6:$H$687,$C182)</f>
        <v>0</v>
      </c>
      <c r="E182" s="15">
        <f>SUMIFS('Archetype Data'!S$6:S$687,'Archetype Data'!$C$6:$C$687,"Industry",'Archetype Data'!$D$6:$D$687,$B182, 'Archetype Data'!$H$6:$H$687,$C182)</f>
        <v>0</v>
      </c>
      <c r="F182" s="15" cm="1">
        <f t="array" ref="F182">SUMPRODUCT('Archetype Data'!AG$6:AG$687,'Archetype Data'!$S$6:$S$687,--('Archetype Data'!$C$6:$C$687="Industry"),--('Archetype Data'!$D$6:$D$687=$B182),--('Archetype Data'!$H$6:$H$687=$C182))</f>
        <v>0</v>
      </c>
      <c r="G182" s="15" cm="1">
        <f t="array" ref="G182">SUMPRODUCT('Archetype Data'!AH$6:AH$687,'Archetype Data'!$S$6:$S$687,--('Archetype Data'!$C$6:$C$687="Industry"),--('Archetype Data'!$D$6:$D$687=$B182),--('Archetype Data'!$H$6:$H$687=$C182))</f>
        <v>0</v>
      </c>
      <c r="H182" s="15" cm="1">
        <f t="array" ref="H182">SUMPRODUCT('Archetype Data'!AI$6:AI$687,'Archetype Data'!$S$6:$S$687,--('Archetype Data'!$C$6:$C$687="Industry"),--('Archetype Data'!$D$6:$D$687=$B182),--('Archetype Data'!$H$6:$H$687=$C182))</f>
        <v>0</v>
      </c>
      <c r="I182" s="15" cm="1">
        <f t="array" ref="I182">SUMPRODUCT('Archetype Data'!AJ$6:AJ$687,'Archetype Data'!$S$6:$S$687,--('Archetype Data'!$C$6:$C$687="Industry"),--('Archetype Data'!$D$6:$D$687=$B182),--('Archetype Data'!$H$6:$H$687=$C182))</f>
        <v>0</v>
      </c>
      <c r="J182" s="15" cm="1">
        <f t="array" ref="J182">SUMPRODUCT('Archetype Data'!AK$6:AK$687,'Archetype Data'!$S$6:$S$687,--('Archetype Data'!$C$6:$C$687="Industry"),--('Archetype Data'!$D$6:$D$687=$B182),--('Archetype Data'!$H$6:$H$687=$C182))</f>
        <v>0</v>
      </c>
    </row>
    <row r="183" spans="2:10" outlineLevel="1">
      <c r="B183" t="s">
        <v>64</v>
      </c>
      <c r="C183" t="s">
        <v>109</v>
      </c>
      <c r="D183" s="15">
        <f>SUMIFS('Archetype Data'!AF$6:AF$687,'Archetype Data'!$C$6:$C$687,"Industry",'Archetype Data'!$D$6:$D$687,$B183, 'Archetype Data'!$H$6:$H$687,$C183)</f>
        <v>0</v>
      </c>
      <c r="E183" s="15">
        <f>SUMIFS('Archetype Data'!S$6:S$687,'Archetype Data'!$C$6:$C$687,"Industry",'Archetype Data'!$D$6:$D$687,$B183, 'Archetype Data'!$H$6:$H$687,$C183)</f>
        <v>0</v>
      </c>
      <c r="F183" s="15" cm="1">
        <f t="array" ref="F183">SUMPRODUCT('Archetype Data'!AG$6:AG$687,'Archetype Data'!$S$6:$S$687,--('Archetype Data'!$C$6:$C$687="Industry"),--('Archetype Data'!$D$6:$D$687=$B183),--('Archetype Data'!$H$6:$H$687=$C183))</f>
        <v>0</v>
      </c>
      <c r="G183" s="15" cm="1">
        <f t="array" ref="G183">SUMPRODUCT('Archetype Data'!AH$6:AH$687,'Archetype Data'!$S$6:$S$687,--('Archetype Data'!$C$6:$C$687="Industry"),--('Archetype Data'!$D$6:$D$687=$B183),--('Archetype Data'!$H$6:$H$687=$C183))</f>
        <v>0</v>
      </c>
      <c r="H183" s="15" cm="1">
        <f t="array" ref="H183">SUMPRODUCT('Archetype Data'!AI$6:AI$687,'Archetype Data'!$S$6:$S$687,--('Archetype Data'!$C$6:$C$687="Industry"),--('Archetype Data'!$D$6:$D$687=$B183),--('Archetype Data'!$H$6:$H$687=$C183))</f>
        <v>0</v>
      </c>
      <c r="I183" s="15" cm="1">
        <f t="array" ref="I183">SUMPRODUCT('Archetype Data'!AJ$6:AJ$687,'Archetype Data'!$S$6:$S$687,--('Archetype Data'!$C$6:$C$687="Industry"),--('Archetype Data'!$D$6:$D$687=$B183),--('Archetype Data'!$H$6:$H$687=$C183))</f>
        <v>0</v>
      </c>
      <c r="J183" s="15" cm="1">
        <f t="array" ref="J183">SUMPRODUCT('Archetype Data'!AK$6:AK$687,'Archetype Data'!$S$6:$S$687,--('Archetype Data'!$C$6:$C$687="Industry"),--('Archetype Data'!$D$6:$D$687=$B183),--('Archetype Data'!$H$6:$H$687=$C183))</f>
        <v>0</v>
      </c>
    </row>
    <row r="184" spans="2:10" outlineLevel="1">
      <c r="B184" t="s">
        <v>64</v>
      </c>
      <c r="C184" t="s">
        <v>107</v>
      </c>
      <c r="D184" s="15">
        <f>SUMIFS('Archetype Data'!AF$6:AF$687,'Archetype Data'!$C$6:$C$687,"Industry",'Archetype Data'!$D$6:$D$687,$B184, 'Archetype Data'!$H$6:$H$687,$C184)</f>
        <v>0</v>
      </c>
      <c r="E184" s="15">
        <f>SUMIFS('Archetype Data'!S$6:S$687,'Archetype Data'!$C$6:$C$687,"Industry",'Archetype Data'!$D$6:$D$687,$B184, 'Archetype Data'!$H$6:$H$687,$C184)</f>
        <v>0</v>
      </c>
      <c r="F184" s="15" cm="1">
        <f t="array" ref="F184">SUMPRODUCT('Archetype Data'!AG$6:AG$687,'Archetype Data'!$S$6:$S$687,--('Archetype Data'!$C$6:$C$687="Industry"),--('Archetype Data'!$D$6:$D$687=$B184),--('Archetype Data'!$H$6:$H$687=$C184))</f>
        <v>0</v>
      </c>
      <c r="G184" s="15" cm="1">
        <f t="array" ref="G184">SUMPRODUCT('Archetype Data'!AH$6:AH$687,'Archetype Data'!$S$6:$S$687,--('Archetype Data'!$C$6:$C$687="Industry"),--('Archetype Data'!$D$6:$D$687=$B184),--('Archetype Data'!$H$6:$H$687=$C184))</f>
        <v>0</v>
      </c>
      <c r="H184" s="15" cm="1">
        <f t="array" ref="H184">SUMPRODUCT('Archetype Data'!AI$6:AI$687,'Archetype Data'!$S$6:$S$687,--('Archetype Data'!$C$6:$C$687="Industry"),--('Archetype Data'!$D$6:$D$687=$B184),--('Archetype Data'!$H$6:$H$687=$C184))</f>
        <v>0</v>
      </c>
      <c r="I184" s="15" cm="1">
        <f t="array" ref="I184">SUMPRODUCT('Archetype Data'!AJ$6:AJ$687,'Archetype Data'!$S$6:$S$687,--('Archetype Data'!$C$6:$C$687="Industry"),--('Archetype Data'!$D$6:$D$687=$B184),--('Archetype Data'!$H$6:$H$687=$C184))</f>
        <v>0</v>
      </c>
      <c r="J184" s="15" cm="1">
        <f t="array" ref="J184">SUMPRODUCT('Archetype Data'!AK$6:AK$687,'Archetype Data'!$S$6:$S$687,--('Archetype Data'!$C$6:$C$687="Industry"),--('Archetype Data'!$D$6:$D$687=$B184),--('Archetype Data'!$H$6:$H$687=$C184))</f>
        <v>0</v>
      </c>
    </row>
    <row r="185" spans="2:10" outlineLevel="1">
      <c r="B185" t="s">
        <v>65</v>
      </c>
      <c r="C185" t="s">
        <v>106</v>
      </c>
      <c r="D185" s="15">
        <f>SUMIFS('Archetype Data'!AF$6:AF$687,'Archetype Data'!$C$6:$C$687,"Industry",'Archetype Data'!$D$6:$D$687,$B185, 'Archetype Data'!$H$6:$H$687,$C185)</f>
        <v>0</v>
      </c>
      <c r="E185" s="15">
        <f>SUMIFS('Archetype Data'!S$6:S$687,'Archetype Data'!$C$6:$C$687,"Industry",'Archetype Data'!$D$6:$D$687,$B185, 'Archetype Data'!$H$6:$H$687,$C185)</f>
        <v>0</v>
      </c>
      <c r="F185" s="15" cm="1">
        <f t="array" ref="F185">SUMPRODUCT('Archetype Data'!AG$6:AG$687,'Archetype Data'!$S$6:$S$687,--('Archetype Data'!$C$6:$C$687="Industry"),--('Archetype Data'!$D$6:$D$687=$B185),--('Archetype Data'!$H$6:$H$687=$C185))</f>
        <v>0</v>
      </c>
      <c r="G185" s="15" cm="1">
        <f t="array" ref="G185">SUMPRODUCT('Archetype Data'!AH$6:AH$687,'Archetype Data'!$S$6:$S$687,--('Archetype Data'!$C$6:$C$687="Industry"),--('Archetype Data'!$D$6:$D$687=$B185),--('Archetype Data'!$H$6:$H$687=$C185))</f>
        <v>0</v>
      </c>
      <c r="H185" s="15" cm="1">
        <f t="array" ref="H185">SUMPRODUCT('Archetype Data'!AI$6:AI$687,'Archetype Data'!$S$6:$S$687,--('Archetype Data'!$C$6:$C$687="Industry"),--('Archetype Data'!$D$6:$D$687=$B185),--('Archetype Data'!$H$6:$H$687=$C185))</f>
        <v>0</v>
      </c>
      <c r="I185" s="15" cm="1">
        <f t="array" ref="I185">SUMPRODUCT('Archetype Data'!AJ$6:AJ$687,'Archetype Data'!$S$6:$S$687,--('Archetype Data'!$C$6:$C$687="Industry"),--('Archetype Data'!$D$6:$D$687=$B185),--('Archetype Data'!$H$6:$H$687=$C185))</f>
        <v>0</v>
      </c>
      <c r="J185" s="15" cm="1">
        <f t="array" ref="J185">SUMPRODUCT('Archetype Data'!AK$6:AK$687,'Archetype Data'!$S$6:$S$687,--('Archetype Data'!$C$6:$C$687="Industry"),--('Archetype Data'!$D$6:$D$687=$B185),--('Archetype Data'!$H$6:$H$687=$C185))</f>
        <v>0</v>
      </c>
    </row>
    <row r="186" spans="2:10" outlineLevel="1">
      <c r="B186" t="s">
        <v>65</v>
      </c>
      <c r="C186" t="s">
        <v>108</v>
      </c>
      <c r="D186" s="15">
        <f>SUMIFS('Archetype Data'!AF$6:AF$687,'Archetype Data'!$C$6:$C$687,"Industry",'Archetype Data'!$D$6:$D$687,$B186, 'Archetype Data'!$H$6:$H$687,$C186)</f>
        <v>0</v>
      </c>
      <c r="E186" s="15">
        <f>SUMIFS('Archetype Data'!S$6:S$687,'Archetype Data'!$C$6:$C$687,"Industry",'Archetype Data'!$D$6:$D$687,$B186, 'Archetype Data'!$H$6:$H$687,$C186)</f>
        <v>0</v>
      </c>
      <c r="F186" s="15" cm="1">
        <f t="array" ref="F186">SUMPRODUCT('Archetype Data'!AG$6:AG$687,'Archetype Data'!$S$6:$S$687,--('Archetype Data'!$C$6:$C$687="Industry"),--('Archetype Data'!$D$6:$D$687=$B186),--('Archetype Data'!$H$6:$H$687=$C186))</f>
        <v>0</v>
      </c>
      <c r="G186" s="15" cm="1">
        <f t="array" ref="G186">SUMPRODUCT('Archetype Data'!AH$6:AH$687,'Archetype Data'!$S$6:$S$687,--('Archetype Data'!$C$6:$C$687="Industry"),--('Archetype Data'!$D$6:$D$687=$B186),--('Archetype Data'!$H$6:$H$687=$C186))</f>
        <v>0</v>
      </c>
      <c r="H186" s="15" cm="1">
        <f t="array" ref="H186">SUMPRODUCT('Archetype Data'!AI$6:AI$687,'Archetype Data'!$S$6:$S$687,--('Archetype Data'!$C$6:$C$687="Industry"),--('Archetype Data'!$D$6:$D$687=$B186),--('Archetype Data'!$H$6:$H$687=$C186))</f>
        <v>0</v>
      </c>
      <c r="I186" s="15" cm="1">
        <f t="array" ref="I186">SUMPRODUCT('Archetype Data'!AJ$6:AJ$687,'Archetype Data'!$S$6:$S$687,--('Archetype Data'!$C$6:$C$687="Industry"),--('Archetype Data'!$D$6:$D$687=$B186),--('Archetype Data'!$H$6:$H$687=$C186))</f>
        <v>0</v>
      </c>
      <c r="J186" s="15" cm="1">
        <f t="array" ref="J186">SUMPRODUCT('Archetype Data'!AK$6:AK$687,'Archetype Data'!$S$6:$S$687,--('Archetype Data'!$C$6:$C$687="Industry"),--('Archetype Data'!$D$6:$D$687=$B186),--('Archetype Data'!$H$6:$H$687=$C186))</f>
        <v>0</v>
      </c>
    </row>
    <row r="187" spans="2:10" outlineLevel="1">
      <c r="B187" t="s">
        <v>65</v>
      </c>
      <c r="C187" t="s">
        <v>105</v>
      </c>
      <c r="D187" s="15">
        <f>SUMIFS('Archetype Data'!AF$6:AF$687,'Archetype Data'!$C$6:$C$687,"Industry",'Archetype Data'!$D$6:$D$687,$B187, 'Archetype Data'!$H$6:$H$687,$C187)</f>
        <v>0</v>
      </c>
      <c r="E187" s="15">
        <f>SUMIFS('Archetype Data'!S$6:S$687,'Archetype Data'!$C$6:$C$687,"Industry",'Archetype Data'!$D$6:$D$687,$B187, 'Archetype Data'!$H$6:$H$687,$C187)</f>
        <v>0</v>
      </c>
      <c r="F187" s="15" cm="1">
        <f t="array" ref="F187">SUMPRODUCT('Archetype Data'!AG$6:AG$687,'Archetype Data'!$S$6:$S$687,--('Archetype Data'!$C$6:$C$687="Industry"),--('Archetype Data'!$D$6:$D$687=$B187),--('Archetype Data'!$H$6:$H$687=$C187))</f>
        <v>0</v>
      </c>
      <c r="G187" s="15" cm="1">
        <f t="array" ref="G187">SUMPRODUCT('Archetype Data'!AH$6:AH$687,'Archetype Data'!$S$6:$S$687,--('Archetype Data'!$C$6:$C$687="Industry"),--('Archetype Data'!$D$6:$D$687=$B187),--('Archetype Data'!$H$6:$H$687=$C187))</f>
        <v>0</v>
      </c>
      <c r="H187" s="15" cm="1">
        <f t="array" ref="H187">SUMPRODUCT('Archetype Data'!AI$6:AI$687,'Archetype Data'!$S$6:$S$687,--('Archetype Data'!$C$6:$C$687="Industry"),--('Archetype Data'!$D$6:$D$687=$B187),--('Archetype Data'!$H$6:$H$687=$C187))</f>
        <v>0</v>
      </c>
      <c r="I187" s="15" cm="1">
        <f t="array" ref="I187">SUMPRODUCT('Archetype Data'!AJ$6:AJ$687,'Archetype Data'!$S$6:$S$687,--('Archetype Data'!$C$6:$C$687="Industry"),--('Archetype Data'!$D$6:$D$687=$B187),--('Archetype Data'!$H$6:$H$687=$C187))</f>
        <v>0</v>
      </c>
      <c r="J187" s="15" cm="1">
        <f t="array" ref="J187">SUMPRODUCT('Archetype Data'!AK$6:AK$687,'Archetype Data'!$S$6:$S$687,--('Archetype Data'!$C$6:$C$687="Industry"),--('Archetype Data'!$D$6:$D$687=$B187),--('Archetype Data'!$H$6:$H$687=$C187))</f>
        <v>0</v>
      </c>
    </row>
    <row r="188" spans="2:10" outlineLevel="1">
      <c r="B188" t="s">
        <v>65</v>
      </c>
      <c r="C188" t="s">
        <v>107</v>
      </c>
      <c r="D188" s="15">
        <f>SUMIFS('Archetype Data'!AF$6:AF$687,'Archetype Data'!$C$6:$C$687,"Industry",'Archetype Data'!$D$6:$D$687,$B188, 'Archetype Data'!$H$6:$H$687,$C188)</f>
        <v>0</v>
      </c>
      <c r="E188" s="15">
        <f>SUMIFS('Archetype Data'!S$6:S$687,'Archetype Data'!$C$6:$C$687,"Industry",'Archetype Data'!$D$6:$D$687,$B188, 'Archetype Data'!$H$6:$H$687,$C188)</f>
        <v>0</v>
      </c>
      <c r="F188" s="15" cm="1">
        <f t="array" ref="F188">SUMPRODUCT('Archetype Data'!AG$6:AG$687,'Archetype Data'!$S$6:$S$687,--('Archetype Data'!$C$6:$C$687="Industry"),--('Archetype Data'!$D$6:$D$687=$B188),--('Archetype Data'!$H$6:$H$687=$C188))</f>
        <v>0</v>
      </c>
      <c r="G188" s="15" cm="1">
        <f t="array" ref="G188">SUMPRODUCT('Archetype Data'!AH$6:AH$687,'Archetype Data'!$S$6:$S$687,--('Archetype Data'!$C$6:$C$687="Industry"),--('Archetype Data'!$D$6:$D$687=$B188),--('Archetype Data'!$H$6:$H$687=$C188))</f>
        <v>0</v>
      </c>
      <c r="H188" s="15" cm="1">
        <f t="array" ref="H188">SUMPRODUCT('Archetype Data'!AI$6:AI$687,'Archetype Data'!$S$6:$S$687,--('Archetype Data'!$C$6:$C$687="Industry"),--('Archetype Data'!$D$6:$D$687=$B188),--('Archetype Data'!$H$6:$H$687=$C188))</f>
        <v>0</v>
      </c>
      <c r="I188" s="15" cm="1">
        <f t="array" ref="I188">SUMPRODUCT('Archetype Data'!AJ$6:AJ$687,'Archetype Data'!$S$6:$S$687,--('Archetype Data'!$C$6:$C$687="Industry"),--('Archetype Data'!$D$6:$D$687=$B188),--('Archetype Data'!$H$6:$H$687=$C188))</f>
        <v>0</v>
      </c>
      <c r="J188" s="15" cm="1">
        <f t="array" ref="J188">SUMPRODUCT('Archetype Data'!AK$6:AK$687,'Archetype Data'!$S$6:$S$687,--('Archetype Data'!$C$6:$C$687="Industry"),--('Archetype Data'!$D$6:$D$687=$B188),--('Archetype Data'!$H$6:$H$687=$C188))</f>
        <v>0</v>
      </c>
    </row>
    <row r="189" spans="2:10" outlineLevel="1">
      <c r="B189" t="s">
        <v>66</v>
      </c>
      <c r="C189" t="s">
        <v>108</v>
      </c>
      <c r="D189" s="15">
        <f>SUMIFS('Archetype Data'!AF$6:AF$687,'Archetype Data'!$C$6:$C$687,"Industry",'Archetype Data'!$D$6:$D$687,$B189, 'Archetype Data'!$H$6:$H$687,$C189)</f>
        <v>0</v>
      </c>
      <c r="E189" s="15">
        <f>SUMIFS('Archetype Data'!S$6:S$687,'Archetype Data'!$C$6:$C$687,"Industry",'Archetype Data'!$D$6:$D$687,$B189, 'Archetype Data'!$H$6:$H$687,$C189)</f>
        <v>0</v>
      </c>
      <c r="F189" s="15" cm="1">
        <f t="array" ref="F189">SUMPRODUCT('Archetype Data'!AG$6:AG$687,'Archetype Data'!$S$6:$S$687,--('Archetype Data'!$C$6:$C$687="Industry"),--('Archetype Data'!$D$6:$D$687=$B189),--('Archetype Data'!$H$6:$H$687=$C189))</f>
        <v>0</v>
      </c>
      <c r="G189" s="15" cm="1">
        <f t="array" ref="G189">SUMPRODUCT('Archetype Data'!AH$6:AH$687,'Archetype Data'!$S$6:$S$687,--('Archetype Data'!$C$6:$C$687="Industry"),--('Archetype Data'!$D$6:$D$687=$B189),--('Archetype Data'!$H$6:$H$687=$C189))</f>
        <v>0</v>
      </c>
      <c r="H189" s="15" cm="1">
        <f t="array" ref="H189">SUMPRODUCT('Archetype Data'!AI$6:AI$687,'Archetype Data'!$S$6:$S$687,--('Archetype Data'!$C$6:$C$687="Industry"),--('Archetype Data'!$D$6:$D$687=$B189),--('Archetype Data'!$H$6:$H$687=$C189))</f>
        <v>0</v>
      </c>
      <c r="I189" s="15" cm="1">
        <f t="array" ref="I189">SUMPRODUCT('Archetype Data'!AJ$6:AJ$687,'Archetype Data'!$S$6:$S$687,--('Archetype Data'!$C$6:$C$687="Industry"),--('Archetype Data'!$D$6:$D$687=$B189),--('Archetype Data'!$H$6:$H$687=$C189))</f>
        <v>0</v>
      </c>
      <c r="J189" s="15" cm="1">
        <f t="array" ref="J189">SUMPRODUCT('Archetype Data'!AK$6:AK$687,'Archetype Data'!$S$6:$S$687,--('Archetype Data'!$C$6:$C$687="Industry"),--('Archetype Data'!$D$6:$D$687=$B189),--('Archetype Data'!$H$6:$H$687=$C189))</f>
        <v>0</v>
      </c>
    </row>
    <row r="190" spans="2:10" outlineLevel="1">
      <c r="B190" t="s">
        <v>66</v>
      </c>
      <c r="C190" t="s">
        <v>103</v>
      </c>
      <c r="D190" s="15">
        <f>SUMIFS('Archetype Data'!AF$6:AF$687,'Archetype Data'!$C$6:$C$687,"Industry",'Archetype Data'!$D$6:$D$687,$B190, 'Archetype Data'!$H$6:$H$687,$C190)</f>
        <v>0</v>
      </c>
      <c r="E190" s="15">
        <f>SUMIFS('Archetype Data'!S$6:S$687,'Archetype Data'!$C$6:$C$687,"Industry",'Archetype Data'!$D$6:$D$687,$B190, 'Archetype Data'!$H$6:$H$687,$C190)</f>
        <v>0</v>
      </c>
      <c r="F190" s="15" cm="1">
        <f t="array" ref="F190">SUMPRODUCT('Archetype Data'!AG$6:AG$687,'Archetype Data'!$S$6:$S$687,--('Archetype Data'!$C$6:$C$687="Industry"),--('Archetype Data'!$D$6:$D$687=$B190),--('Archetype Data'!$H$6:$H$687=$C190))</f>
        <v>0</v>
      </c>
      <c r="G190" s="15" cm="1">
        <f t="array" ref="G190">SUMPRODUCT('Archetype Data'!AH$6:AH$687,'Archetype Data'!$S$6:$S$687,--('Archetype Data'!$C$6:$C$687="Industry"),--('Archetype Data'!$D$6:$D$687=$B190),--('Archetype Data'!$H$6:$H$687=$C190))</f>
        <v>0</v>
      </c>
      <c r="H190" s="15" cm="1">
        <f t="array" ref="H190">SUMPRODUCT('Archetype Data'!AI$6:AI$687,'Archetype Data'!$S$6:$S$687,--('Archetype Data'!$C$6:$C$687="Industry"),--('Archetype Data'!$D$6:$D$687=$B190),--('Archetype Data'!$H$6:$H$687=$C190))</f>
        <v>0</v>
      </c>
      <c r="I190" s="15" cm="1">
        <f t="array" ref="I190">SUMPRODUCT('Archetype Data'!AJ$6:AJ$687,'Archetype Data'!$S$6:$S$687,--('Archetype Data'!$C$6:$C$687="Industry"),--('Archetype Data'!$D$6:$D$687=$B190),--('Archetype Data'!$H$6:$H$687=$C190))</f>
        <v>0</v>
      </c>
      <c r="J190" s="15" cm="1">
        <f t="array" ref="J190">SUMPRODUCT('Archetype Data'!AK$6:AK$687,'Archetype Data'!$S$6:$S$687,--('Archetype Data'!$C$6:$C$687="Industry"),--('Archetype Data'!$D$6:$D$687=$B190),--('Archetype Data'!$H$6:$H$687=$C190))</f>
        <v>0</v>
      </c>
    </row>
    <row r="191" spans="2:10" outlineLevel="1">
      <c r="B191" t="s">
        <v>66</v>
      </c>
      <c r="C191" t="s">
        <v>104</v>
      </c>
      <c r="D191" s="15">
        <f>SUMIFS('Archetype Data'!AF$6:AF$687,'Archetype Data'!$C$6:$C$687,"Industry",'Archetype Data'!$D$6:$D$687,$B191, 'Archetype Data'!$H$6:$H$687,$C191)</f>
        <v>0</v>
      </c>
      <c r="E191" s="15">
        <f>SUMIFS('Archetype Data'!S$6:S$687,'Archetype Data'!$C$6:$C$687,"Industry",'Archetype Data'!$D$6:$D$687,$B191, 'Archetype Data'!$H$6:$H$687,$C191)</f>
        <v>0</v>
      </c>
      <c r="F191" s="15" cm="1">
        <f t="array" ref="F191">SUMPRODUCT('Archetype Data'!AG$6:AG$687,'Archetype Data'!$S$6:$S$687,--('Archetype Data'!$C$6:$C$687="Industry"),--('Archetype Data'!$D$6:$D$687=$B191),--('Archetype Data'!$H$6:$H$687=$C191))</f>
        <v>0</v>
      </c>
      <c r="G191" s="15" cm="1">
        <f t="array" ref="G191">SUMPRODUCT('Archetype Data'!AH$6:AH$687,'Archetype Data'!$S$6:$S$687,--('Archetype Data'!$C$6:$C$687="Industry"),--('Archetype Data'!$D$6:$D$687=$B191),--('Archetype Data'!$H$6:$H$687=$C191))</f>
        <v>0</v>
      </c>
      <c r="H191" s="15" cm="1">
        <f t="array" ref="H191">SUMPRODUCT('Archetype Data'!AI$6:AI$687,'Archetype Data'!$S$6:$S$687,--('Archetype Data'!$C$6:$C$687="Industry"),--('Archetype Data'!$D$6:$D$687=$B191),--('Archetype Data'!$H$6:$H$687=$C191))</f>
        <v>0</v>
      </c>
      <c r="I191" s="15" cm="1">
        <f t="array" ref="I191">SUMPRODUCT('Archetype Data'!AJ$6:AJ$687,'Archetype Data'!$S$6:$S$687,--('Archetype Data'!$C$6:$C$687="Industry"),--('Archetype Data'!$D$6:$D$687=$B191),--('Archetype Data'!$H$6:$H$687=$C191))</f>
        <v>0</v>
      </c>
      <c r="J191" s="15" cm="1">
        <f t="array" ref="J191">SUMPRODUCT('Archetype Data'!AK$6:AK$687,'Archetype Data'!$S$6:$S$687,--('Archetype Data'!$C$6:$C$687="Industry"),--('Archetype Data'!$D$6:$D$687=$B191),--('Archetype Data'!$H$6:$H$687=$C191))</f>
        <v>0</v>
      </c>
    </row>
    <row r="192" spans="2:10" outlineLevel="1">
      <c r="B192" t="s">
        <v>66</v>
      </c>
      <c r="C192" t="s">
        <v>109</v>
      </c>
      <c r="D192" s="15">
        <f>SUMIFS('Archetype Data'!AF$6:AF$687,'Archetype Data'!$C$6:$C$687,"Industry",'Archetype Data'!$D$6:$D$687,$B192, 'Archetype Data'!$H$6:$H$687,$C192)</f>
        <v>0</v>
      </c>
      <c r="E192" s="15">
        <f>SUMIFS('Archetype Data'!S$6:S$687,'Archetype Data'!$C$6:$C$687,"Industry",'Archetype Data'!$D$6:$D$687,$B192, 'Archetype Data'!$H$6:$H$687,$C192)</f>
        <v>0</v>
      </c>
      <c r="F192" s="15" cm="1">
        <f t="array" ref="F192">SUMPRODUCT('Archetype Data'!AG$6:AG$687,'Archetype Data'!$S$6:$S$687,--('Archetype Data'!$C$6:$C$687="Industry"),--('Archetype Data'!$D$6:$D$687=$B192),--('Archetype Data'!$H$6:$H$687=$C192))</f>
        <v>0</v>
      </c>
      <c r="G192" s="15" cm="1">
        <f t="array" ref="G192">SUMPRODUCT('Archetype Data'!AH$6:AH$687,'Archetype Data'!$S$6:$S$687,--('Archetype Data'!$C$6:$C$687="Industry"),--('Archetype Data'!$D$6:$D$687=$B192),--('Archetype Data'!$H$6:$H$687=$C192))</f>
        <v>0</v>
      </c>
      <c r="H192" s="15" cm="1">
        <f t="array" ref="H192">SUMPRODUCT('Archetype Data'!AI$6:AI$687,'Archetype Data'!$S$6:$S$687,--('Archetype Data'!$C$6:$C$687="Industry"),--('Archetype Data'!$D$6:$D$687=$B192),--('Archetype Data'!$H$6:$H$687=$C192))</f>
        <v>0</v>
      </c>
      <c r="I192" s="15" cm="1">
        <f t="array" ref="I192">SUMPRODUCT('Archetype Data'!AJ$6:AJ$687,'Archetype Data'!$S$6:$S$687,--('Archetype Data'!$C$6:$C$687="Industry"),--('Archetype Data'!$D$6:$D$687=$B192),--('Archetype Data'!$H$6:$H$687=$C192))</f>
        <v>0</v>
      </c>
      <c r="J192" s="15" cm="1">
        <f t="array" ref="J192">SUMPRODUCT('Archetype Data'!AK$6:AK$687,'Archetype Data'!$S$6:$S$687,--('Archetype Data'!$C$6:$C$687="Industry"),--('Archetype Data'!$D$6:$D$687=$B192),--('Archetype Data'!$H$6:$H$687=$C192))</f>
        <v>0</v>
      </c>
    </row>
    <row r="193" spans="2:10" outlineLevel="1">
      <c r="B193" t="s">
        <v>66</v>
      </c>
      <c r="C193" t="s">
        <v>105</v>
      </c>
      <c r="D193" s="15">
        <f>SUMIFS('Archetype Data'!AF$6:AF$687,'Archetype Data'!$C$6:$C$687,"Industry",'Archetype Data'!$D$6:$D$687,$B193, 'Archetype Data'!$H$6:$H$687,$C193)</f>
        <v>0</v>
      </c>
      <c r="E193" s="15">
        <f>SUMIFS('Archetype Data'!S$6:S$687,'Archetype Data'!$C$6:$C$687,"Industry",'Archetype Data'!$D$6:$D$687,$B193, 'Archetype Data'!$H$6:$H$687,$C193)</f>
        <v>0</v>
      </c>
      <c r="F193" s="15" cm="1">
        <f t="array" ref="F193">SUMPRODUCT('Archetype Data'!AG$6:AG$687,'Archetype Data'!$S$6:$S$687,--('Archetype Data'!$C$6:$C$687="Industry"),--('Archetype Data'!$D$6:$D$687=$B193),--('Archetype Data'!$H$6:$H$687=$C193))</f>
        <v>0</v>
      </c>
      <c r="G193" s="15" cm="1">
        <f t="array" ref="G193">SUMPRODUCT('Archetype Data'!AH$6:AH$687,'Archetype Data'!$S$6:$S$687,--('Archetype Data'!$C$6:$C$687="Industry"),--('Archetype Data'!$D$6:$D$687=$B193),--('Archetype Data'!$H$6:$H$687=$C193))</f>
        <v>0</v>
      </c>
      <c r="H193" s="15" cm="1">
        <f t="array" ref="H193">SUMPRODUCT('Archetype Data'!AI$6:AI$687,'Archetype Data'!$S$6:$S$687,--('Archetype Data'!$C$6:$C$687="Industry"),--('Archetype Data'!$D$6:$D$687=$B193),--('Archetype Data'!$H$6:$H$687=$C193))</f>
        <v>0</v>
      </c>
      <c r="I193" s="15" cm="1">
        <f t="array" ref="I193">SUMPRODUCT('Archetype Data'!AJ$6:AJ$687,'Archetype Data'!$S$6:$S$687,--('Archetype Data'!$C$6:$C$687="Industry"),--('Archetype Data'!$D$6:$D$687=$B193),--('Archetype Data'!$H$6:$H$687=$C193))</f>
        <v>0</v>
      </c>
      <c r="J193" s="15" cm="1">
        <f t="array" ref="J193">SUMPRODUCT('Archetype Data'!AK$6:AK$687,'Archetype Data'!$S$6:$S$687,--('Archetype Data'!$C$6:$C$687="Industry"),--('Archetype Data'!$D$6:$D$687=$B193),--('Archetype Data'!$H$6:$H$687=$C193))</f>
        <v>0</v>
      </c>
    </row>
    <row r="194" spans="2:10" outlineLevel="1">
      <c r="B194" t="s">
        <v>66</v>
      </c>
      <c r="C194" t="s">
        <v>107</v>
      </c>
      <c r="D194" s="15">
        <f>SUMIFS('Archetype Data'!AF$6:AF$687,'Archetype Data'!$C$6:$C$687,"Industry",'Archetype Data'!$D$6:$D$687,$B194, 'Archetype Data'!$H$6:$H$687,$C194)</f>
        <v>0</v>
      </c>
      <c r="E194" s="15">
        <f>SUMIFS('Archetype Data'!S$6:S$687,'Archetype Data'!$C$6:$C$687,"Industry",'Archetype Data'!$D$6:$D$687,$B194, 'Archetype Data'!$H$6:$H$687,$C194)</f>
        <v>0</v>
      </c>
      <c r="F194" s="15" cm="1">
        <f t="array" ref="F194">SUMPRODUCT('Archetype Data'!AG$6:AG$687,'Archetype Data'!$S$6:$S$687,--('Archetype Data'!$C$6:$C$687="Industry"),--('Archetype Data'!$D$6:$D$687=$B194),--('Archetype Data'!$H$6:$H$687=$C194))</f>
        <v>0</v>
      </c>
      <c r="G194" s="15" cm="1">
        <f t="array" ref="G194">SUMPRODUCT('Archetype Data'!AH$6:AH$687,'Archetype Data'!$S$6:$S$687,--('Archetype Data'!$C$6:$C$687="Industry"),--('Archetype Data'!$D$6:$D$687=$B194),--('Archetype Data'!$H$6:$H$687=$C194))</f>
        <v>0</v>
      </c>
      <c r="H194" s="15" cm="1">
        <f t="array" ref="H194">SUMPRODUCT('Archetype Data'!AI$6:AI$687,'Archetype Data'!$S$6:$S$687,--('Archetype Data'!$C$6:$C$687="Industry"),--('Archetype Data'!$D$6:$D$687=$B194),--('Archetype Data'!$H$6:$H$687=$C194))</f>
        <v>0</v>
      </c>
      <c r="I194" s="15" cm="1">
        <f t="array" ref="I194">SUMPRODUCT('Archetype Data'!AJ$6:AJ$687,'Archetype Data'!$S$6:$S$687,--('Archetype Data'!$C$6:$C$687="Industry"),--('Archetype Data'!$D$6:$D$687=$B194),--('Archetype Data'!$H$6:$H$687=$C194))</f>
        <v>0</v>
      </c>
      <c r="J194" s="15" cm="1">
        <f t="array" ref="J194">SUMPRODUCT('Archetype Data'!AK$6:AK$687,'Archetype Data'!$S$6:$S$687,--('Archetype Data'!$C$6:$C$687="Industry"),--('Archetype Data'!$D$6:$D$687=$B194),--('Archetype Data'!$H$6:$H$687=$C194))</f>
        <v>0</v>
      </c>
    </row>
    <row r="195" spans="2:10" outlineLevel="1">
      <c r="B195" t="s">
        <v>67</v>
      </c>
      <c r="C195" t="s">
        <v>103</v>
      </c>
      <c r="D195" s="15">
        <f>SUMIFS('Archetype Data'!AF$6:AF$687,'Archetype Data'!$C$6:$C$687,"Industry",'Archetype Data'!$D$6:$D$687,$B195, 'Archetype Data'!$H$6:$H$687,$C195)</f>
        <v>0</v>
      </c>
      <c r="E195" s="15">
        <f>SUMIFS('Archetype Data'!S$6:S$687,'Archetype Data'!$C$6:$C$687,"Industry",'Archetype Data'!$D$6:$D$687,$B195, 'Archetype Data'!$H$6:$H$687,$C195)</f>
        <v>0</v>
      </c>
      <c r="F195" s="15" cm="1">
        <f t="array" ref="F195">SUMPRODUCT('Archetype Data'!AG$6:AG$687,'Archetype Data'!$S$6:$S$687,--('Archetype Data'!$C$6:$C$687="Industry"),--('Archetype Data'!$D$6:$D$687=$B195),--('Archetype Data'!$H$6:$H$687=$C195))</f>
        <v>0</v>
      </c>
      <c r="G195" s="15" cm="1">
        <f t="array" ref="G195">SUMPRODUCT('Archetype Data'!AH$6:AH$687,'Archetype Data'!$S$6:$S$687,--('Archetype Data'!$C$6:$C$687="Industry"),--('Archetype Data'!$D$6:$D$687=$B195),--('Archetype Data'!$H$6:$H$687=$C195))</f>
        <v>0</v>
      </c>
      <c r="H195" s="15" cm="1">
        <f t="array" ref="H195">SUMPRODUCT('Archetype Data'!AI$6:AI$687,'Archetype Data'!$S$6:$S$687,--('Archetype Data'!$C$6:$C$687="Industry"),--('Archetype Data'!$D$6:$D$687=$B195),--('Archetype Data'!$H$6:$H$687=$C195))</f>
        <v>0</v>
      </c>
      <c r="I195" s="15" cm="1">
        <f t="array" ref="I195">SUMPRODUCT('Archetype Data'!AJ$6:AJ$687,'Archetype Data'!$S$6:$S$687,--('Archetype Data'!$C$6:$C$687="Industry"),--('Archetype Data'!$D$6:$D$687=$B195),--('Archetype Data'!$H$6:$H$687=$C195))</f>
        <v>0</v>
      </c>
      <c r="J195" s="15" cm="1">
        <f t="array" ref="J195">SUMPRODUCT('Archetype Data'!AK$6:AK$687,'Archetype Data'!$S$6:$S$687,--('Archetype Data'!$C$6:$C$687="Industry"),--('Archetype Data'!$D$6:$D$687=$B195),--('Archetype Data'!$H$6:$H$687=$C195))</f>
        <v>0</v>
      </c>
    </row>
    <row r="196" spans="2:10" outlineLevel="1">
      <c r="B196" t="s">
        <v>67</v>
      </c>
      <c r="C196" t="s">
        <v>104</v>
      </c>
      <c r="D196" s="15">
        <f>SUMIFS('Archetype Data'!AF$6:AF$687,'Archetype Data'!$C$6:$C$687,"Industry",'Archetype Data'!$D$6:$D$687,$B196, 'Archetype Data'!$H$6:$H$687,$C196)</f>
        <v>0</v>
      </c>
      <c r="E196" s="15">
        <f>SUMIFS('Archetype Data'!S$6:S$687,'Archetype Data'!$C$6:$C$687,"Industry",'Archetype Data'!$D$6:$D$687,$B196, 'Archetype Data'!$H$6:$H$687,$C196)</f>
        <v>0</v>
      </c>
      <c r="F196" s="15" cm="1">
        <f t="array" ref="F196">SUMPRODUCT('Archetype Data'!AG$6:AG$687,'Archetype Data'!$S$6:$S$687,--('Archetype Data'!$C$6:$C$687="Industry"),--('Archetype Data'!$D$6:$D$687=$B196),--('Archetype Data'!$H$6:$H$687=$C196))</f>
        <v>0</v>
      </c>
      <c r="G196" s="15" cm="1">
        <f t="array" ref="G196">SUMPRODUCT('Archetype Data'!AH$6:AH$687,'Archetype Data'!$S$6:$S$687,--('Archetype Data'!$C$6:$C$687="Industry"),--('Archetype Data'!$D$6:$D$687=$B196),--('Archetype Data'!$H$6:$H$687=$C196))</f>
        <v>0</v>
      </c>
      <c r="H196" s="15" cm="1">
        <f t="array" ref="H196">SUMPRODUCT('Archetype Data'!AI$6:AI$687,'Archetype Data'!$S$6:$S$687,--('Archetype Data'!$C$6:$C$687="Industry"),--('Archetype Data'!$D$6:$D$687=$B196),--('Archetype Data'!$H$6:$H$687=$C196))</f>
        <v>0</v>
      </c>
      <c r="I196" s="15" cm="1">
        <f t="array" ref="I196">SUMPRODUCT('Archetype Data'!AJ$6:AJ$687,'Archetype Data'!$S$6:$S$687,--('Archetype Data'!$C$6:$C$687="Industry"),--('Archetype Data'!$D$6:$D$687=$B196),--('Archetype Data'!$H$6:$H$687=$C196))</f>
        <v>0</v>
      </c>
      <c r="J196" s="15" cm="1">
        <f t="array" ref="J196">SUMPRODUCT('Archetype Data'!AK$6:AK$687,'Archetype Data'!$S$6:$S$687,--('Archetype Data'!$C$6:$C$687="Industry"),--('Archetype Data'!$D$6:$D$687=$B196),--('Archetype Data'!$H$6:$H$687=$C196))</f>
        <v>0</v>
      </c>
    </row>
    <row r="197" spans="2:10" outlineLevel="1">
      <c r="B197" t="s">
        <v>67</v>
      </c>
      <c r="C197" t="s">
        <v>109</v>
      </c>
      <c r="D197" s="15">
        <f>SUMIFS('Archetype Data'!AF$6:AF$687,'Archetype Data'!$C$6:$C$687,"Industry",'Archetype Data'!$D$6:$D$687,$B197, 'Archetype Data'!$H$6:$H$687,$C197)</f>
        <v>0</v>
      </c>
      <c r="E197" s="15">
        <f>SUMIFS('Archetype Data'!S$6:S$687,'Archetype Data'!$C$6:$C$687,"Industry",'Archetype Data'!$D$6:$D$687,$B197, 'Archetype Data'!$H$6:$H$687,$C197)</f>
        <v>0</v>
      </c>
      <c r="F197" s="15" cm="1">
        <f t="array" ref="F197">SUMPRODUCT('Archetype Data'!AG$6:AG$687,'Archetype Data'!$S$6:$S$687,--('Archetype Data'!$C$6:$C$687="Industry"),--('Archetype Data'!$D$6:$D$687=$B197),--('Archetype Data'!$H$6:$H$687=$C197))</f>
        <v>0</v>
      </c>
      <c r="G197" s="15" cm="1">
        <f t="array" ref="G197">SUMPRODUCT('Archetype Data'!AH$6:AH$687,'Archetype Data'!$S$6:$S$687,--('Archetype Data'!$C$6:$C$687="Industry"),--('Archetype Data'!$D$6:$D$687=$B197),--('Archetype Data'!$H$6:$H$687=$C197))</f>
        <v>0</v>
      </c>
      <c r="H197" s="15" cm="1">
        <f t="array" ref="H197">SUMPRODUCT('Archetype Data'!AI$6:AI$687,'Archetype Data'!$S$6:$S$687,--('Archetype Data'!$C$6:$C$687="Industry"),--('Archetype Data'!$D$6:$D$687=$B197),--('Archetype Data'!$H$6:$H$687=$C197))</f>
        <v>0</v>
      </c>
      <c r="I197" s="15" cm="1">
        <f t="array" ref="I197">SUMPRODUCT('Archetype Data'!AJ$6:AJ$687,'Archetype Data'!$S$6:$S$687,--('Archetype Data'!$C$6:$C$687="Industry"),--('Archetype Data'!$D$6:$D$687=$B197),--('Archetype Data'!$H$6:$H$687=$C197))</f>
        <v>0</v>
      </c>
      <c r="J197" s="15" cm="1">
        <f t="array" ref="J197">SUMPRODUCT('Archetype Data'!AK$6:AK$687,'Archetype Data'!$S$6:$S$687,--('Archetype Data'!$C$6:$C$687="Industry"),--('Archetype Data'!$D$6:$D$687=$B197),--('Archetype Data'!$H$6:$H$687=$C197))</f>
        <v>0</v>
      </c>
    </row>
    <row r="198" spans="2:10" outlineLevel="1">
      <c r="B198" t="s">
        <v>67</v>
      </c>
      <c r="C198" t="s">
        <v>105</v>
      </c>
      <c r="D198" s="15">
        <f>SUMIFS('Archetype Data'!AF$6:AF$687,'Archetype Data'!$C$6:$C$687,"Industry",'Archetype Data'!$D$6:$D$687,$B198, 'Archetype Data'!$H$6:$H$687,$C198)</f>
        <v>0</v>
      </c>
      <c r="E198" s="15">
        <f>SUMIFS('Archetype Data'!S$6:S$687,'Archetype Data'!$C$6:$C$687,"Industry",'Archetype Data'!$D$6:$D$687,$B198, 'Archetype Data'!$H$6:$H$687,$C198)</f>
        <v>0</v>
      </c>
      <c r="F198" s="15" cm="1">
        <f t="array" ref="F198">SUMPRODUCT('Archetype Data'!AG$6:AG$687,'Archetype Data'!$S$6:$S$687,--('Archetype Data'!$C$6:$C$687="Industry"),--('Archetype Data'!$D$6:$D$687=$B198),--('Archetype Data'!$H$6:$H$687=$C198))</f>
        <v>0</v>
      </c>
      <c r="G198" s="15" cm="1">
        <f t="array" ref="G198">SUMPRODUCT('Archetype Data'!AH$6:AH$687,'Archetype Data'!$S$6:$S$687,--('Archetype Data'!$C$6:$C$687="Industry"),--('Archetype Data'!$D$6:$D$687=$B198),--('Archetype Data'!$H$6:$H$687=$C198))</f>
        <v>0</v>
      </c>
      <c r="H198" s="15" cm="1">
        <f t="array" ref="H198">SUMPRODUCT('Archetype Data'!AI$6:AI$687,'Archetype Data'!$S$6:$S$687,--('Archetype Data'!$C$6:$C$687="Industry"),--('Archetype Data'!$D$6:$D$687=$B198),--('Archetype Data'!$H$6:$H$687=$C198))</f>
        <v>0</v>
      </c>
      <c r="I198" s="15" cm="1">
        <f t="array" ref="I198">SUMPRODUCT('Archetype Data'!AJ$6:AJ$687,'Archetype Data'!$S$6:$S$687,--('Archetype Data'!$C$6:$C$687="Industry"),--('Archetype Data'!$D$6:$D$687=$B198),--('Archetype Data'!$H$6:$H$687=$C198))</f>
        <v>0</v>
      </c>
      <c r="J198" s="15" cm="1">
        <f t="array" ref="J198">SUMPRODUCT('Archetype Data'!AK$6:AK$687,'Archetype Data'!$S$6:$S$687,--('Archetype Data'!$C$6:$C$687="Industry"),--('Archetype Data'!$D$6:$D$687=$B198),--('Archetype Data'!$H$6:$H$687=$C198))</f>
        <v>0</v>
      </c>
    </row>
    <row r="199" spans="2:10" outlineLevel="1">
      <c r="B199" t="s">
        <v>67</v>
      </c>
      <c r="C199" t="s">
        <v>107</v>
      </c>
      <c r="D199" s="15">
        <f>SUMIFS('Archetype Data'!AF$6:AF$687,'Archetype Data'!$C$6:$C$687,"Industry",'Archetype Data'!$D$6:$D$687,$B199, 'Archetype Data'!$H$6:$H$687,$C199)</f>
        <v>0</v>
      </c>
      <c r="E199" s="15">
        <f>SUMIFS('Archetype Data'!S$6:S$687,'Archetype Data'!$C$6:$C$687,"Industry",'Archetype Data'!$D$6:$D$687,$B199, 'Archetype Data'!$H$6:$H$687,$C199)</f>
        <v>0</v>
      </c>
      <c r="F199" s="15" cm="1">
        <f t="array" ref="F199">SUMPRODUCT('Archetype Data'!AG$6:AG$687,'Archetype Data'!$S$6:$S$687,--('Archetype Data'!$C$6:$C$687="Industry"),--('Archetype Data'!$D$6:$D$687=$B199),--('Archetype Data'!$H$6:$H$687=$C199))</f>
        <v>0</v>
      </c>
      <c r="G199" s="15" cm="1">
        <f t="array" ref="G199">SUMPRODUCT('Archetype Data'!AH$6:AH$687,'Archetype Data'!$S$6:$S$687,--('Archetype Data'!$C$6:$C$687="Industry"),--('Archetype Data'!$D$6:$D$687=$B199),--('Archetype Data'!$H$6:$H$687=$C199))</f>
        <v>0</v>
      </c>
      <c r="H199" s="15" cm="1">
        <f t="array" ref="H199">SUMPRODUCT('Archetype Data'!AI$6:AI$687,'Archetype Data'!$S$6:$S$687,--('Archetype Data'!$C$6:$C$687="Industry"),--('Archetype Data'!$D$6:$D$687=$B199),--('Archetype Data'!$H$6:$H$687=$C199))</f>
        <v>0</v>
      </c>
      <c r="I199" s="15" cm="1">
        <f t="array" ref="I199">SUMPRODUCT('Archetype Data'!AJ$6:AJ$687,'Archetype Data'!$S$6:$S$687,--('Archetype Data'!$C$6:$C$687="Industry"),--('Archetype Data'!$D$6:$D$687=$B199),--('Archetype Data'!$H$6:$H$687=$C199))</f>
        <v>0</v>
      </c>
      <c r="J199" s="15" cm="1">
        <f t="array" ref="J199">SUMPRODUCT('Archetype Data'!AK$6:AK$687,'Archetype Data'!$S$6:$S$687,--('Archetype Data'!$C$6:$C$687="Industry"),--('Archetype Data'!$D$6:$D$687=$B199),--('Archetype Data'!$H$6:$H$687=$C199))</f>
        <v>0</v>
      </c>
    </row>
    <row r="200" spans="2:10" outlineLevel="1">
      <c r="B200" t="s">
        <v>59</v>
      </c>
      <c r="C200" t="s">
        <v>110</v>
      </c>
      <c r="D200" s="15">
        <f>SUMIFS('Archetype Data'!AF$6:AF$687,'Archetype Data'!$C$6:$C$687,"Industry",'Archetype Data'!$D$6:$D$687,$B200, 'Archetype Data'!$H$6:$H$687,$C200)</f>
        <v>0</v>
      </c>
      <c r="E200" s="15">
        <f>SUMIFS('Archetype Data'!S$6:S$687,'Archetype Data'!$C$6:$C$687,"Industry",'Archetype Data'!$D$6:$D$687,$B200, 'Archetype Data'!$H$6:$H$687,$C200)</f>
        <v>0</v>
      </c>
      <c r="F200" s="15" cm="1">
        <f t="array" ref="F200">SUMPRODUCT('Archetype Data'!AG$6:AG$687,'Archetype Data'!$S$6:$S$687,--('Archetype Data'!$C$6:$C$687="Industry"),--('Archetype Data'!$D$6:$D$687=$B200),--('Archetype Data'!$H$6:$H$687=$C200))</f>
        <v>0</v>
      </c>
      <c r="G200" s="15" cm="1">
        <f t="array" ref="G200">SUMPRODUCT('Archetype Data'!AH$6:AH$687,'Archetype Data'!$S$6:$S$687,--('Archetype Data'!$C$6:$C$687="Industry"),--('Archetype Data'!$D$6:$D$687=$B200),--('Archetype Data'!$H$6:$H$687=$C200))</f>
        <v>0</v>
      </c>
      <c r="H200" s="15" cm="1">
        <f t="array" ref="H200">SUMPRODUCT('Archetype Data'!AI$6:AI$687,'Archetype Data'!$S$6:$S$687,--('Archetype Data'!$C$6:$C$687="Industry"),--('Archetype Data'!$D$6:$D$687=$B200),--('Archetype Data'!$H$6:$H$687=$C200))</f>
        <v>0</v>
      </c>
      <c r="I200" s="15" cm="1">
        <f t="array" ref="I200">SUMPRODUCT('Archetype Data'!AJ$6:AJ$687,'Archetype Data'!$S$6:$S$687,--('Archetype Data'!$C$6:$C$687="Industry"),--('Archetype Data'!$D$6:$D$687=$B200),--('Archetype Data'!$H$6:$H$687=$C200))</f>
        <v>0</v>
      </c>
      <c r="J200" s="15" cm="1">
        <f t="array" ref="J200">SUMPRODUCT('Archetype Data'!AK$6:AK$687,'Archetype Data'!$S$6:$S$687,--('Archetype Data'!$C$6:$C$687="Industry"),--('Archetype Data'!$D$6:$D$687=$B200),--('Archetype Data'!$H$6:$H$687=$C200))</f>
        <v>0</v>
      </c>
    </row>
    <row r="201" spans="2:10" outlineLevel="1">
      <c r="B201" t="s">
        <v>59</v>
      </c>
      <c r="C201" t="s">
        <v>111</v>
      </c>
      <c r="D201" s="15">
        <f>SUMIFS('Archetype Data'!AF$6:AF$687,'Archetype Data'!$C$6:$C$687,"Industry",'Archetype Data'!$D$6:$D$687,$B201, 'Archetype Data'!$H$6:$H$687,$C201)</f>
        <v>0</v>
      </c>
      <c r="E201" s="15">
        <f>SUMIFS('Archetype Data'!S$6:S$687,'Archetype Data'!$C$6:$C$687,"Industry",'Archetype Data'!$D$6:$D$687,$B201, 'Archetype Data'!$H$6:$H$687,$C201)</f>
        <v>0</v>
      </c>
      <c r="F201" s="15" cm="1">
        <f t="array" ref="F201">SUMPRODUCT('Archetype Data'!AG$6:AG$687,'Archetype Data'!$S$6:$S$687,--('Archetype Data'!$C$6:$C$687="Industry"),--('Archetype Data'!$D$6:$D$687=$B201),--('Archetype Data'!$H$6:$H$687=$C201))</f>
        <v>0</v>
      </c>
      <c r="G201" s="15" cm="1">
        <f t="array" ref="G201">SUMPRODUCT('Archetype Data'!AH$6:AH$687,'Archetype Data'!$S$6:$S$687,--('Archetype Data'!$C$6:$C$687="Industry"),--('Archetype Data'!$D$6:$D$687=$B201),--('Archetype Data'!$H$6:$H$687=$C201))</f>
        <v>0</v>
      </c>
      <c r="H201" s="15" cm="1">
        <f t="array" ref="H201">SUMPRODUCT('Archetype Data'!AI$6:AI$687,'Archetype Data'!$S$6:$S$687,--('Archetype Data'!$C$6:$C$687="Industry"),--('Archetype Data'!$D$6:$D$687=$B201),--('Archetype Data'!$H$6:$H$687=$C201))</f>
        <v>0</v>
      </c>
      <c r="I201" s="15" cm="1">
        <f t="array" ref="I201">SUMPRODUCT('Archetype Data'!AJ$6:AJ$687,'Archetype Data'!$S$6:$S$687,--('Archetype Data'!$C$6:$C$687="Industry"),--('Archetype Data'!$D$6:$D$687=$B201),--('Archetype Data'!$H$6:$H$687=$C201))</f>
        <v>0</v>
      </c>
      <c r="J201" s="15" cm="1">
        <f t="array" ref="J201">SUMPRODUCT('Archetype Data'!AK$6:AK$687,'Archetype Data'!$S$6:$S$687,--('Archetype Data'!$C$6:$C$687="Industry"),--('Archetype Data'!$D$6:$D$687=$B201),--('Archetype Data'!$H$6:$H$687=$C201))</f>
        <v>0</v>
      </c>
    </row>
    <row r="202" spans="2:10" outlineLevel="1">
      <c r="B202" t="s">
        <v>59</v>
      </c>
      <c r="C202" t="s">
        <v>112</v>
      </c>
      <c r="D202" s="15">
        <f>SUMIFS('Archetype Data'!AF$6:AF$687,'Archetype Data'!$C$6:$C$687,"Industry",'Archetype Data'!$D$6:$D$687,$B202, 'Archetype Data'!$H$6:$H$687,$C202)</f>
        <v>0</v>
      </c>
      <c r="E202" s="15">
        <f>SUMIFS('Archetype Data'!S$6:S$687,'Archetype Data'!$C$6:$C$687,"Industry",'Archetype Data'!$D$6:$D$687,$B202, 'Archetype Data'!$H$6:$H$687,$C202)</f>
        <v>0</v>
      </c>
      <c r="F202" s="15" cm="1">
        <f t="array" ref="F202">SUMPRODUCT('Archetype Data'!AG$6:AG$687,'Archetype Data'!$S$6:$S$687,--('Archetype Data'!$C$6:$C$687="Industry"),--('Archetype Data'!$D$6:$D$687=$B202),--('Archetype Data'!$H$6:$H$687=$C202))</f>
        <v>0</v>
      </c>
      <c r="G202" s="15" cm="1">
        <f t="array" ref="G202">SUMPRODUCT('Archetype Data'!AH$6:AH$687,'Archetype Data'!$S$6:$S$687,--('Archetype Data'!$C$6:$C$687="Industry"),--('Archetype Data'!$D$6:$D$687=$B202),--('Archetype Data'!$H$6:$H$687=$C202))</f>
        <v>0</v>
      </c>
      <c r="H202" s="15" cm="1">
        <f t="array" ref="H202">SUMPRODUCT('Archetype Data'!AI$6:AI$687,'Archetype Data'!$S$6:$S$687,--('Archetype Data'!$C$6:$C$687="Industry"),--('Archetype Data'!$D$6:$D$687=$B202),--('Archetype Data'!$H$6:$H$687=$C202))</f>
        <v>0</v>
      </c>
      <c r="I202" s="15" cm="1">
        <f t="array" ref="I202">SUMPRODUCT('Archetype Data'!AJ$6:AJ$687,'Archetype Data'!$S$6:$S$687,--('Archetype Data'!$C$6:$C$687="Industry"),--('Archetype Data'!$D$6:$D$687=$B202),--('Archetype Data'!$H$6:$H$687=$C202))</f>
        <v>0</v>
      </c>
      <c r="J202" s="15" cm="1">
        <f t="array" ref="J202">SUMPRODUCT('Archetype Data'!AK$6:AK$687,'Archetype Data'!$S$6:$S$687,--('Archetype Data'!$C$6:$C$687="Industry"),--('Archetype Data'!$D$6:$D$687=$B202),--('Archetype Data'!$H$6:$H$687=$C202))</f>
        <v>0</v>
      </c>
    </row>
    <row r="203" spans="2:10" outlineLevel="1">
      <c r="B203" t="s">
        <v>60</v>
      </c>
      <c r="C203" t="s">
        <v>113</v>
      </c>
      <c r="D203" s="15">
        <f>SUMIFS('Archetype Data'!AF$6:AF$687,'Archetype Data'!$C$6:$C$687,"Industry",'Archetype Data'!$D$6:$D$687,$B203, 'Archetype Data'!$H$6:$H$687,$C203)</f>
        <v>0</v>
      </c>
      <c r="E203" s="15">
        <f>SUMIFS('Archetype Data'!S$6:S$687,'Archetype Data'!$C$6:$C$687,"Industry",'Archetype Data'!$D$6:$D$687,$B203, 'Archetype Data'!$H$6:$H$687,$C203)</f>
        <v>0</v>
      </c>
      <c r="F203" s="15" cm="1">
        <f t="array" ref="F203">SUMPRODUCT('Archetype Data'!AG$6:AG$687,'Archetype Data'!$S$6:$S$687,--('Archetype Data'!$C$6:$C$687="Industry"),--('Archetype Data'!$D$6:$D$687=$B203),--('Archetype Data'!$H$6:$H$687=$C203))</f>
        <v>0</v>
      </c>
      <c r="G203" s="15" cm="1">
        <f t="array" ref="G203">SUMPRODUCT('Archetype Data'!AH$6:AH$687,'Archetype Data'!$S$6:$S$687,--('Archetype Data'!$C$6:$C$687="Industry"),--('Archetype Data'!$D$6:$D$687=$B203),--('Archetype Data'!$H$6:$H$687=$C203))</f>
        <v>0</v>
      </c>
      <c r="H203" s="15" cm="1">
        <f t="array" ref="H203">SUMPRODUCT('Archetype Data'!AI$6:AI$687,'Archetype Data'!$S$6:$S$687,--('Archetype Data'!$C$6:$C$687="Industry"),--('Archetype Data'!$D$6:$D$687=$B203),--('Archetype Data'!$H$6:$H$687=$C203))</f>
        <v>0</v>
      </c>
      <c r="I203" s="15" cm="1">
        <f t="array" ref="I203">SUMPRODUCT('Archetype Data'!AJ$6:AJ$687,'Archetype Data'!$S$6:$S$687,--('Archetype Data'!$C$6:$C$687="Industry"),--('Archetype Data'!$D$6:$D$687=$B203),--('Archetype Data'!$H$6:$H$687=$C203))</f>
        <v>0</v>
      </c>
      <c r="J203" s="15" cm="1">
        <f t="array" ref="J203">SUMPRODUCT('Archetype Data'!AK$6:AK$687,'Archetype Data'!$S$6:$S$687,--('Archetype Data'!$C$6:$C$687="Industry"),--('Archetype Data'!$D$6:$D$687=$B203),--('Archetype Data'!$H$6:$H$687=$C203))</f>
        <v>0</v>
      </c>
    </row>
    <row r="204" spans="2:10" outlineLevel="1">
      <c r="B204" t="s">
        <v>60</v>
      </c>
      <c r="C204" t="s">
        <v>112</v>
      </c>
      <c r="D204" s="15">
        <f>SUMIFS('Archetype Data'!AF$6:AF$687,'Archetype Data'!$C$6:$C$687,"Industry",'Archetype Data'!$D$6:$D$687,$B204, 'Archetype Data'!$H$6:$H$687,$C204)</f>
        <v>0</v>
      </c>
      <c r="E204" s="15">
        <f>SUMIFS('Archetype Data'!S$6:S$687,'Archetype Data'!$C$6:$C$687,"Industry",'Archetype Data'!$D$6:$D$687,$B204, 'Archetype Data'!$H$6:$H$687,$C204)</f>
        <v>0</v>
      </c>
      <c r="F204" s="15" cm="1">
        <f t="array" ref="F204">SUMPRODUCT('Archetype Data'!AG$6:AG$687,'Archetype Data'!$S$6:$S$687,--('Archetype Data'!$C$6:$C$687="Industry"),--('Archetype Data'!$D$6:$D$687=$B204),--('Archetype Data'!$H$6:$H$687=$C204))</f>
        <v>0</v>
      </c>
      <c r="G204" s="15" cm="1">
        <f t="array" ref="G204">SUMPRODUCT('Archetype Data'!AH$6:AH$687,'Archetype Data'!$S$6:$S$687,--('Archetype Data'!$C$6:$C$687="Industry"),--('Archetype Data'!$D$6:$D$687=$B204),--('Archetype Data'!$H$6:$H$687=$C204))</f>
        <v>0</v>
      </c>
      <c r="H204" s="15" cm="1">
        <f t="array" ref="H204">SUMPRODUCT('Archetype Data'!AI$6:AI$687,'Archetype Data'!$S$6:$S$687,--('Archetype Data'!$C$6:$C$687="Industry"),--('Archetype Data'!$D$6:$D$687=$B204),--('Archetype Data'!$H$6:$H$687=$C204))</f>
        <v>0</v>
      </c>
      <c r="I204" s="15" cm="1">
        <f t="array" ref="I204">SUMPRODUCT('Archetype Data'!AJ$6:AJ$687,'Archetype Data'!$S$6:$S$687,--('Archetype Data'!$C$6:$C$687="Industry"),--('Archetype Data'!$D$6:$D$687=$B204),--('Archetype Data'!$H$6:$H$687=$C204))</f>
        <v>0</v>
      </c>
      <c r="J204" s="15" cm="1">
        <f t="array" ref="J204">SUMPRODUCT('Archetype Data'!AK$6:AK$687,'Archetype Data'!$S$6:$S$687,--('Archetype Data'!$C$6:$C$687="Industry"),--('Archetype Data'!$D$6:$D$687=$B204),--('Archetype Data'!$H$6:$H$687=$C204))</f>
        <v>0</v>
      </c>
    </row>
    <row r="205" spans="2:10" outlineLevel="1">
      <c r="B205" t="s">
        <v>60</v>
      </c>
      <c r="C205" t="s">
        <v>114</v>
      </c>
      <c r="D205" s="15">
        <f>SUMIFS('Archetype Data'!AF$6:AF$687,'Archetype Data'!$C$6:$C$687,"Industry",'Archetype Data'!$D$6:$D$687,$B205, 'Archetype Data'!$H$6:$H$687,$C205)</f>
        <v>0</v>
      </c>
      <c r="E205" s="15">
        <f>SUMIFS('Archetype Data'!S$6:S$687,'Archetype Data'!$C$6:$C$687,"Industry",'Archetype Data'!$D$6:$D$687,$B205, 'Archetype Data'!$H$6:$H$687,$C205)</f>
        <v>0</v>
      </c>
      <c r="F205" s="15" cm="1">
        <f t="array" ref="F205">SUMPRODUCT('Archetype Data'!AG$6:AG$687,'Archetype Data'!$S$6:$S$687,--('Archetype Data'!$C$6:$C$687="Industry"),--('Archetype Data'!$D$6:$D$687=$B205),--('Archetype Data'!$H$6:$H$687=$C205))</f>
        <v>0</v>
      </c>
      <c r="G205" s="15" cm="1">
        <f t="array" ref="G205">SUMPRODUCT('Archetype Data'!AH$6:AH$687,'Archetype Data'!$S$6:$S$687,--('Archetype Data'!$C$6:$C$687="Industry"),--('Archetype Data'!$D$6:$D$687=$B205),--('Archetype Data'!$H$6:$H$687=$C205))</f>
        <v>0</v>
      </c>
      <c r="H205" s="15" cm="1">
        <f t="array" ref="H205">SUMPRODUCT('Archetype Data'!AI$6:AI$687,'Archetype Data'!$S$6:$S$687,--('Archetype Data'!$C$6:$C$687="Industry"),--('Archetype Data'!$D$6:$D$687=$B205),--('Archetype Data'!$H$6:$H$687=$C205))</f>
        <v>0</v>
      </c>
      <c r="I205" s="15" cm="1">
        <f t="array" ref="I205">SUMPRODUCT('Archetype Data'!AJ$6:AJ$687,'Archetype Data'!$S$6:$S$687,--('Archetype Data'!$C$6:$C$687="Industry"),--('Archetype Data'!$D$6:$D$687=$B205),--('Archetype Data'!$H$6:$H$687=$C205))</f>
        <v>0</v>
      </c>
      <c r="J205" s="15" cm="1">
        <f t="array" ref="J205">SUMPRODUCT('Archetype Data'!AK$6:AK$687,'Archetype Data'!$S$6:$S$687,--('Archetype Data'!$C$6:$C$687="Industry"),--('Archetype Data'!$D$6:$D$687=$B205),--('Archetype Data'!$H$6:$H$687=$C205))</f>
        <v>0</v>
      </c>
    </row>
    <row r="206" spans="2:10" outlineLevel="1">
      <c r="B206" t="s">
        <v>61</v>
      </c>
      <c r="C206" t="s">
        <v>110</v>
      </c>
      <c r="D206" s="15">
        <f>SUMIFS('Archetype Data'!AF$6:AF$687,'Archetype Data'!$C$6:$C$687,"Industry",'Archetype Data'!$D$6:$D$687,$B206, 'Archetype Data'!$H$6:$H$687,$C206)</f>
        <v>0</v>
      </c>
      <c r="E206" s="15">
        <f>SUMIFS('Archetype Data'!S$6:S$687,'Archetype Data'!$C$6:$C$687,"Industry",'Archetype Data'!$D$6:$D$687,$B206, 'Archetype Data'!$H$6:$H$687,$C206)</f>
        <v>0</v>
      </c>
      <c r="F206" s="15" cm="1">
        <f t="array" ref="F206">SUMPRODUCT('Archetype Data'!AG$6:AG$687,'Archetype Data'!$S$6:$S$687,--('Archetype Data'!$C$6:$C$687="Industry"),--('Archetype Data'!$D$6:$D$687=$B206),--('Archetype Data'!$H$6:$H$687=$C206))</f>
        <v>0</v>
      </c>
      <c r="G206" s="15" cm="1">
        <f t="array" ref="G206">SUMPRODUCT('Archetype Data'!AH$6:AH$687,'Archetype Data'!$S$6:$S$687,--('Archetype Data'!$C$6:$C$687="Industry"),--('Archetype Data'!$D$6:$D$687=$B206),--('Archetype Data'!$H$6:$H$687=$C206))</f>
        <v>0</v>
      </c>
      <c r="H206" s="15" cm="1">
        <f t="array" ref="H206">SUMPRODUCT('Archetype Data'!AI$6:AI$687,'Archetype Data'!$S$6:$S$687,--('Archetype Data'!$C$6:$C$687="Industry"),--('Archetype Data'!$D$6:$D$687=$B206),--('Archetype Data'!$H$6:$H$687=$C206))</f>
        <v>0</v>
      </c>
      <c r="I206" s="15" cm="1">
        <f t="array" ref="I206">SUMPRODUCT('Archetype Data'!AJ$6:AJ$687,'Archetype Data'!$S$6:$S$687,--('Archetype Data'!$C$6:$C$687="Industry"),--('Archetype Data'!$D$6:$D$687=$B206),--('Archetype Data'!$H$6:$H$687=$C206))</f>
        <v>0</v>
      </c>
      <c r="J206" s="15" cm="1">
        <f t="array" ref="J206">SUMPRODUCT('Archetype Data'!AK$6:AK$687,'Archetype Data'!$S$6:$S$687,--('Archetype Data'!$C$6:$C$687="Industry"),--('Archetype Data'!$D$6:$D$687=$B206),--('Archetype Data'!$H$6:$H$687=$C206))</f>
        <v>0</v>
      </c>
    </row>
    <row r="207" spans="2:10" outlineLevel="1">
      <c r="B207" t="s">
        <v>61</v>
      </c>
      <c r="C207" t="s">
        <v>111</v>
      </c>
      <c r="D207" s="15">
        <f>SUMIFS('Archetype Data'!AF$6:AF$687,'Archetype Data'!$C$6:$C$687,"Industry",'Archetype Data'!$D$6:$D$687,$B207, 'Archetype Data'!$H$6:$H$687,$C207)</f>
        <v>0</v>
      </c>
      <c r="E207" s="15">
        <f>SUMIFS('Archetype Data'!S$6:S$687,'Archetype Data'!$C$6:$C$687,"Industry",'Archetype Data'!$D$6:$D$687,$B207, 'Archetype Data'!$H$6:$H$687,$C207)</f>
        <v>0</v>
      </c>
      <c r="F207" s="15" cm="1">
        <f t="array" ref="F207">SUMPRODUCT('Archetype Data'!AG$6:AG$687,'Archetype Data'!$S$6:$S$687,--('Archetype Data'!$C$6:$C$687="Industry"),--('Archetype Data'!$D$6:$D$687=$B207),--('Archetype Data'!$H$6:$H$687=$C207))</f>
        <v>0</v>
      </c>
      <c r="G207" s="15" cm="1">
        <f t="array" ref="G207">SUMPRODUCT('Archetype Data'!AH$6:AH$687,'Archetype Data'!$S$6:$S$687,--('Archetype Data'!$C$6:$C$687="Industry"),--('Archetype Data'!$D$6:$D$687=$B207),--('Archetype Data'!$H$6:$H$687=$C207))</f>
        <v>0</v>
      </c>
      <c r="H207" s="15" cm="1">
        <f t="array" ref="H207">SUMPRODUCT('Archetype Data'!AI$6:AI$687,'Archetype Data'!$S$6:$S$687,--('Archetype Data'!$C$6:$C$687="Industry"),--('Archetype Data'!$D$6:$D$687=$B207),--('Archetype Data'!$H$6:$H$687=$C207))</f>
        <v>0</v>
      </c>
      <c r="I207" s="15" cm="1">
        <f t="array" ref="I207">SUMPRODUCT('Archetype Data'!AJ$6:AJ$687,'Archetype Data'!$S$6:$S$687,--('Archetype Data'!$C$6:$C$687="Industry"),--('Archetype Data'!$D$6:$D$687=$B207),--('Archetype Data'!$H$6:$H$687=$C207))</f>
        <v>0</v>
      </c>
      <c r="J207" s="15" cm="1">
        <f t="array" ref="J207">SUMPRODUCT('Archetype Data'!AK$6:AK$687,'Archetype Data'!$S$6:$S$687,--('Archetype Data'!$C$6:$C$687="Industry"),--('Archetype Data'!$D$6:$D$687=$B207),--('Archetype Data'!$H$6:$H$687=$C207))</f>
        <v>0</v>
      </c>
    </row>
    <row r="208" spans="2:10" outlineLevel="1">
      <c r="B208" t="s">
        <v>61</v>
      </c>
      <c r="C208" t="s">
        <v>112</v>
      </c>
      <c r="D208" s="15">
        <f>SUMIFS('Archetype Data'!AF$6:AF$687,'Archetype Data'!$C$6:$C$687,"Industry",'Archetype Data'!$D$6:$D$687,$B208, 'Archetype Data'!$H$6:$H$687,$C208)</f>
        <v>0</v>
      </c>
      <c r="E208" s="15">
        <f>SUMIFS('Archetype Data'!S$6:S$687,'Archetype Data'!$C$6:$C$687,"Industry",'Archetype Data'!$D$6:$D$687,$B208, 'Archetype Data'!$H$6:$H$687,$C208)</f>
        <v>0</v>
      </c>
      <c r="F208" s="15" cm="1">
        <f t="array" ref="F208">SUMPRODUCT('Archetype Data'!AG$6:AG$687,'Archetype Data'!$S$6:$S$687,--('Archetype Data'!$C$6:$C$687="Industry"),--('Archetype Data'!$D$6:$D$687=$B208),--('Archetype Data'!$H$6:$H$687=$C208))</f>
        <v>0</v>
      </c>
      <c r="G208" s="15" cm="1">
        <f t="array" ref="G208">SUMPRODUCT('Archetype Data'!AH$6:AH$687,'Archetype Data'!$S$6:$S$687,--('Archetype Data'!$C$6:$C$687="Industry"),--('Archetype Data'!$D$6:$D$687=$B208),--('Archetype Data'!$H$6:$H$687=$C208))</f>
        <v>0</v>
      </c>
      <c r="H208" s="15" cm="1">
        <f t="array" ref="H208">SUMPRODUCT('Archetype Data'!AI$6:AI$687,'Archetype Data'!$S$6:$S$687,--('Archetype Data'!$C$6:$C$687="Industry"),--('Archetype Data'!$D$6:$D$687=$B208),--('Archetype Data'!$H$6:$H$687=$C208))</f>
        <v>0</v>
      </c>
      <c r="I208" s="15" cm="1">
        <f t="array" ref="I208">SUMPRODUCT('Archetype Data'!AJ$6:AJ$687,'Archetype Data'!$S$6:$S$687,--('Archetype Data'!$C$6:$C$687="Industry"),--('Archetype Data'!$D$6:$D$687=$B208),--('Archetype Data'!$H$6:$H$687=$C208))</f>
        <v>0</v>
      </c>
      <c r="J208" s="15" cm="1">
        <f t="array" ref="J208">SUMPRODUCT('Archetype Data'!AK$6:AK$687,'Archetype Data'!$S$6:$S$687,--('Archetype Data'!$C$6:$C$687="Industry"),--('Archetype Data'!$D$6:$D$687=$B208),--('Archetype Data'!$H$6:$H$687=$C208))</f>
        <v>0</v>
      </c>
    </row>
    <row r="209" spans="2:10" outlineLevel="1">
      <c r="B209" t="s">
        <v>62</v>
      </c>
      <c r="C209" t="s">
        <v>110</v>
      </c>
      <c r="D209" s="15">
        <f>SUMIFS('Archetype Data'!AF$6:AF$687,'Archetype Data'!$C$6:$C$687,"Industry",'Archetype Data'!$D$6:$D$687,$B209, 'Archetype Data'!$H$6:$H$687,$C209)</f>
        <v>143.14740863376193</v>
      </c>
      <c r="E209" s="15">
        <f>SUMIFS('Archetype Data'!S$6:S$687,'Archetype Data'!$C$6:$C$687,"Industry",'Archetype Data'!$D$6:$D$687,$B209, 'Archetype Data'!$H$6:$H$687,$C209)</f>
        <v>242.44777723870007</v>
      </c>
      <c r="F209" s="15" cm="1">
        <f t="array" ref="F209">SUMPRODUCT('Archetype Data'!AG$6:AG$687,'Archetype Data'!$S$6:$S$687,--('Archetype Data'!$C$6:$C$687="Industry"),--('Archetype Data'!$D$6:$D$687=$B209),--('Archetype Data'!$H$6:$H$687=$C209))</f>
        <v>647764.88055064366</v>
      </c>
      <c r="G209" s="15" cm="1">
        <f t="array" ref="G209">SUMPRODUCT('Archetype Data'!AH$6:AH$687,'Archetype Data'!$S$6:$S$687,--('Archetype Data'!$C$6:$C$687="Industry"),--('Archetype Data'!$D$6:$D$687=$B209),--('Archetype Data'!$H$6:$H$687=$C209))</f>
        <v>0</v>
      </c>
      <c r="H209" s="15" cm="1">
        <f t="array" ref="H209">SUMPRODUCT('Archetype Data'!AI$6:AI$687,'Archetype Data'!$S$6:$S$687,--('Archetype Data'!$C$6:$C$687="Industry"),--('Archetype Data'!$D$6:$D$687=$B209),--('Archetype Data'!$H$6:$H$687=$C209))</f>
        <v>0</v>
      </c>
      <c r="I209" s="15" cm="1">
        <f t="array" ref="I209">SUMPRODUCT('Archetype Data'!AJ$6:AJ$687,'Archetype Data'!$S$6:$S$687,--('Archetype Data'!$C$6:$C$687="Industry"),--('Archetype Data'!$D$6:$D$687=$B209),--('Archetype Data'!$H$6:$H$687=$C209))</f>
        <v>647764.88055064366</v>
      </c>
      <c r="J209" s="15" cm="1">
        <f t="array" ref="J209">SUMPRODUCT('Archetype Data'!AK$6:AK$687,'Archetype Data'!$S$6:$S$687,--('Archetype Data'!$C$6:$C$687="Industry"),--('Archetype Data'!$D$6:$D$687=$B209),--('Archetype Data'!$H$6:$H$687=$C209))</f>
        <v>0</v>
      </c>
    </row>
    <row r="210" spans="2:10" outlineLevel="1">
      <c r="B210" t="s">
        <v>62</v>
      </c>
      <c r="C210" t="s">
        <v>114</v>
      </c>
      <c r="D210" s="15">
        <f>SUMIFS('Archetype Data'!AF$6:AF$687,'Archetype Data'!$C$6:$C$687,"Industry",'Archetype Data'!$D$6:$D$687,$B210, 'Archetype Data'!$H$6:$H$687,$C210)</f>
        <v>96.398796468115506</v>
      </c>
      <c r="E210" s="15">
        <f>SUMIFS('Archetype Data'!S$6:S$687,'Archetype Data'!$C$6:$C$687,"Industry",'Archetype Data'!$D$6:$D$687,$B210, 'Archetype Data'!$H$6:$H$687,$C210)</f>
        <v>242.44777723870007</v>
      </c>
      <c r="F210" s="15" cm="1">
        <f t="array" ref="F210">SUMPRODUCT('Archetype Data'!AG$6:AG$687,'Archetype Data'!$S$6:$S$687,--('Archetype Data'!$C$6:$C$687="Industry"),--('Archetype Data'!$D$6:$D$687=$B210),--('Archetype Data'!$H$6:$H$687=$C210))</f>
        <v>724574.24823286093</v>
      </c>
      <c r="G210" s="15" cm="1">
        <f t="array" ref="G210">SUMPRODUCT('Archetype Data'!AH$6:AH$687,'Archetype Data'!$S$6:$S$687,--('Archetype Data'!$C$6:$C$687="Industry"),--('Archetype Data'!$D$6:$D$687=$B210),--('Archetype Data'!$H$6:$H$687=$C210))</f>
        <v>0</v>
      </c>
      <c r="H210" s="15" cm="1">
        <f t="array" ref="H210">SUMPRODUCT('Archetype Data'!AI$6:AI$687,'Archetype Data'!$S$6:$S$687,--('Archetype Data'!$C$6:$C$687="Industry"),--('Archetype Data'!$D$6:$D$687=$B210),--('Archetype Data'!$H$6:$H$687=$C210))</f>
        <v>0</v>
      </c>
      <c r="I210" s="15" cm="1">
        <f t="array" ref="I210">SUMPRODUCT('Archetype Data'!AJ$6:AJ$687,'Archetype Data'!$S$6:$S$687,--('Archetype Data'!$C$6:$C$687="Industry"),--('Archetype Data'!$D$6:$D$687=$B210),--('Archetype Data'!$H$6:$H$687=$C210))</f>
        <v>724574.24823286093</v>
      </c>
      <c r="J210" s="15" cm="1">
        <f t="array" ref="J210">SUMPRODUCT('Archetype Data'!AK$6:AK$687,'Archetype Data'!$S$6:$S$687,--('Archetype Data'!$C$6:$C$687="Industry"),--('Archetype Data'!$D$6:$D$687=$B210),--('Archetype Data'!$H$6:$H$687=$C210))</f>
        <v>0</v>
      </c>
    </row>
    <row r="211" spans="2:10" outlineLevel="1">
      <c r="B211" t="s">
        <v>63</v>
      </c>
      <c r="C211" t="s">
        <v>115</v>
      </c>
      <c r="D211" s="15">
        <f>SUMIFS('Archetype Data'!AF$6:AF$687,'Archetype Data'!$C$6:$C$687,"Industry",'Archetype Data'!$D$6:$D$687,$B211, 'Archetype Data'!$H$6:$H$687,$C211)</f>
        <v>1.412154758766943</v>
      </c>
      <c r="E211" s="15">
        <f>SUMIFS('Archetype Data'!S$6:S$687,'Archetype Data'!$C$6:$C$687,"Industry",'Archetype Data'!$D$6:$D$687,$B211, 'Archetype Data'!$H$6:$H$687,$C211)</f>
        <v>7.0607737938347137</v>
      </c>
      <c r="F211" s="15" cm="1">
        <f t="array" ref="F211">SUMPRODUCT('Archetype Data'!AG$6:AG$687,'Archetype Data'!$S$6:$S$687,--('Archetype Data'!$C$6:$C$687="Industry"),--('Archetype Data'!$D$6:$D$687=$B211),--('Archetype Data'!$H$6:$H$687=$C211))</f>
        <v>2191.7997456969256</v>
      </c>
      <c r="G211" s="15" cm="1">
        <f t="array" ref="G211">SUMPRODUCT('Archetype Data'!AH$6:AH$687,'Archetype Data'!$S$6:$S$687,--('Archetype Data'!$C$6:$C$687="Industry"),--('Archetype Data'!$D$6:$D$687=$B211),--('Archetype Data'!$H$6:$H$687=$C211))</f>
        <v>2191.7997456969256</v>
      </c>
      <c r="H211" s="15" cm="1">
        <f t="array" ref="H211">SUMPRODUCT('Archetype Data'!AI$6:AI$687,'Archetype Data'!$S$6:$S$687,--('Archetype Data'!$C$6:$C$687="Industry"),--('Archetype Data'!$D$6:$D$687=$B211),--('Archetype Data'!$H$6:$H$687=$C211))</f>
        <v>0</v>
      </c>
      <c r="I211" s="15" cm="1">
        <f t="array" ref="I211">SUMPRODUCT('Archetype Data'!AJ$6:AJ$687,'Archetype Data'!$S$6:$S$687,--('Archetype Data'!$C$6:$C$687="Industry"),--('Archetype Data'!$D$6:$D$687=$B211),--('Archetype Data'!$H$6:$H$687=$C211))</f>
        <v>0</v>
      </c>
      <c r="J211" s="15" cm="1">
        <f t="array" ref="J211">SUMPRODUCT('Archetype Data'!AK$6:AK$687,'Archetype Data'!$S$6:$S$687,--('Archetype Data'!$C$6:$C$687="Industry"),--('Archetype Data'!$D$6:$D$687=$B211),--('Archetype Data'!$H$6:$H$687=$C211))</f>
        <v>0</v>
      </c>
    </row>
    <row r="212" spans="2:10" outlineLevel="1">
      <c r="B212" t="s">
        <v>63</v>
      </c>
      <c r="C212" t="s">
        <v>110</v>
      </c>
      <c r="D212" s="15">
        <f>SUMIFS('Archetype Data'!AF$6:AF$687,'Archetype Data'!$C$6:$C$687,"Industry",'Archetype Data'!$D$6:$D$687,$B212, 'Archetype Data'!$H$6:$H$687,$C212)</f>
        <v>2.4712708278421505</v>
      </c>
      <c r="E212" s="15">
        <f>SUMIFS('Archetype Data'!S$6:S$687,'Archetype Data'!$C$6:$C$687,"Industry",'Archetype Data'!$D$6:$D$687,$B212, 'Archetype Data'!$H$6:$H$687,$C212)</f>
        <v>7.0607737938347146</v>
      </c>
      <c r="F212" s="15" cm="1">
        <f t="array" ref="F212">SUMPRODUCT('Archetype Data'!AG$6:AG$687,'Archetype Data'!$S$6:$S$687,--('Archetype Data'!$C$6:$C$687="Industry"),--('Archetype Data'!$D$6:$D$687=$B212),--('Archetype Data'!$H$6:$H$687=$C212))</f>
        <v>4151.5265771435888</v>
      </c>
      <c r="G212" s="15" cm="1">
        <f t="array" ref="G212">SUMPRODUCT('Archetype Data'!AH$6:AH$687,'Archetype Data'!$S$6:$S$687,--('Archetype Data'!$C$6:$C$687="Industry"),--('Archetype Data'!$D$6:$D$687=$B212),--('Archetype Data'!$H$6:$H$687=$C212))</f>
        <v>0</v>
      </c>
      <c r="H212" s="15" cm="1">
        <f t="array" ref="H212">SUMPRODUCT('Archetype Data'!AI$6:AI$687,'Archetype Data'!$S$6:$S$687,--('Archetype Data'!$C$6:$C$687="Industry"),--('Archetype Data'!$D$6:$D$687=$B212),--('Archetype Data'!$H$6:$H$687=$C212))</f>
        <v>0</v>
      </c>
      <c r="I212" s="15" cm="1">
        <f t="array" ref="I212">SUMPRODUCT('Archetype Data'!AJ$6:AJ$687,'Archetype Data'!$S$6:$S$687,--('Archetype Data'!$C$6:$C$687="Industry"),--('Archetype Data'!$D$6:$D$687=$B212),--('Archetype Data'!$H$6:$H$687=$C212))</f>
        <v>4151.5265771435888</v>
      </c>
      <c r="J212" s="15" cm="1">
        <f t="array" ref="J212">SUMPRODUCT('Archetype Data'!AK$6:AK$687,'Archetype Data'!$S$6:$S$687,--('Archetype Data'!$C$6:$C$687="Industry"),--('Archetype Data'!$D$6:$D$687=$B212),--('Archetype Data'!$H$6:$H$687=$C212))</f>
        <v>0</v>
      </c>
    </row>
    <row r="213" spans="2:10" outlineLevel="1">
      <c r="B213" t="s">
        <v>63</v>
      </c>
      <c r="C213" t="s">
        <v>114</v>
      </c>
      <c r="D213" s="15">
        <f>SUMIFS('Archetype Data'!AF$6:AF$687,'Archetype Data'!$C$6:$C$687,"Industry",'Archetype Data'!$D$6:$D$687,$B213, 'Archetype Data'!$H$6:$H$687,$C213)</f>
        <v>3.1773482072256218</v>
      </c>
      <c r="E213" s="15">
        <f>SUMIFS('Archetype Data'!S$6:S$687,'Archetype Data'!$C$6:$C$687,"Industry",'Archetype Data'!$D$6:$D$687,$B213, 'Archetype Data'!$H$6:$H$687,$C213)</f>
        <v>7.0607737938347146</v>
      </c>
      <c r="F213" s="15" cm="1">
        <f t="array" ref="F213">SUMPRODUCT('Archetype Data'!AG$6:AG$687,'Archetype Data'!$S$6:$S$687,--('Archetype Data'!$C$6:$C$687="Industry"),--('Archetype Data'!$D$6:$D$687=$B213),--('Archetype Data'!$H$6:$H$687=$C213))</f>
        <v>5337.6770277560427</v>
      </c>
      <c r="G213" s="15" cm="1">
        <f t="array" ref="G213">SUMPRODUCT('Archetype Data'!AH$6:AH$687,'Archetype Data'!$S$6:$S$687,--('Archetype Data'!$C$6:$C$687="Industry"),--('Archetype Data'!$D$6:$D$687=$B213),--('Archetype Data'!$H$6:$H$687=$C213))</f>
        <v>0</v>
      </c>
      <c r="H213" s="15" cm="1">
        <f t="array" ref="H213">SUMPRODUCT('Archetype Data'!AI$6:AI$687,'Archetype Data'!$S$6:$S$687,--('Archetype Data'!$C$6:$C$687="Industry"),--('Archetype Data'!$D$6:$D$687=$B213),--('Archetype Data'!$H$6:$H$687=$C213))</f>
        <v>5337.6770277560427</v>
      </c>
      <c r="I213" s="15" cm="1">
        <f t="array" ref="I213">SUMPRODUCT('Archetype Data'!AJ$6:AJ$687,'Archetype Data'!$S$6:$S$687,--('Archetype Data'!$C$6:$C$687="Industry"),--('Archetype Data'!$D$6:$D$687=$B213),--('Archetype Data'!$H$6:$H$687=$C213))</f>
        <v>0</v>
      </c>
      <c r="J213" s="15" cm="1">
        <f t="array" ref="J213">SUMPRODUCT('Archetype Data'!AK$6:AK$687,'Archetype Data'!$S$6:$S$687,--('Archetype Data'!$C$6:$C$687="Industry"),--('Archetype Data'!$D$6:$D$687=$B213),--('Archetype Data'!$H$6:$H$687=$C213))</f>
        <v>0</v>
      </c>
    </row>
    <row r="214" spans="2:10" outlineLevel="1">
      <c r="B214" t="s">
        <v>64</v>
      </c>
      <c r="C214" t="s">
        <v>110</v>
      </c>
      <c r="D214" s="15">
        <f>SUMIFS('Archetype Data'!AF$6:AF$687,'Archetype Data'!$C$6:$C$687,"Industry",'Archetype Data'!$D$6:$D$687,$B214, 'Archetype Data'!$H$6:$H$687,$C214)</f>
        <v>92.43101849335271</v>
      </c>
      <c r="E214" s="15">
        <f>SUMIFS('Archetype Data'!S$6:S$687,'Archetype Data'!$C$6:$C$687,"Industry",'Archetype Data'!$D$6:$D$687,$B214, 'Archetype Data'!$H$6:$H$687,$C214)</f>
        <v>133.59926116235417</v>
      </c>
      <c r="F214" s="15" cm="1">
        <f t="array" ref="F214">SUMPRODUCT('Archetype Data'!AG$6:AG$687,'Archetype Data'!$S$6:$S$687,--('Archetype Data'!$C$6:$C$687="Industry"),--('Archetype Data'!$D$6:$D$687=$B214),--('Archetype Data'!$H$6:$H$687=$C214))</f>
        <v>159858.92669187314</v>
      </c>
      <c r="G214" s="15" cm="1">
        <f t="array" ref="G214">SUMPRODUCT('Archetype Data'!AH$6:AH$687,'Archetype Data'!$S$6:$S$687,--('Archetype Data'!$C$6:$C$687="Industry"),--('Archetype Data'!$D$6:$D$687=$B214),--('Archetype Data'!$H$6:$H$687=$C214))</f>
        <v>0</v>
      </c>
      <c r="H214" s="15" cm="1">
        <f t="array" ref="H214">SUMPRODUCT('Archetype Data'!AI$6:AI$687,'Archetype Data'!$S$6:$S$687,--('Archetype Data'!$C$6:$C$687="Industry"),--('Archetype Data'!$D$6:$D$687=$B214),--('Archetype Data'!$H$6:$H$687=$C214))</f>
        <v>15985.892669187315</v>
      </c>
      <c r="I214" s="15" cm="1">
        <f t="array" ref="I214">SUMPRODUCT('Archetype Data'!AJ$6:AJ$687,'Archetype Data'!$S$6:$S$687,--('Archetype Data'!$C$6:$C$687="Industry"),--('Archetype Data'!$D$6:$D$687=$B214),--('Archetype Data'!$H$6:$H$687=$C214))</f>
        <v>95915.356015123878</v>
      </c>
      <c r="J214" s="15" cm="1">
        <f t="array" ref="J214">SUMPRODUCT('Archetype Data'!AK$6:AK$687,'Archetype Data'!$S$6:$S$687,--('Archetype Data'!$C$6:$C$687="Industry"),--('Archetype Data'!$D$6:$D$687=$B214),--('Archetype Data'!$H$6:$H$687=$C214))</f>
        <v>47957.678007561939</v>
      </c>
    </row>
    <row r="215" spans="2:10" outlineLevel="1">
      <c r="B215" t="s">
        <v>64</v>
      </c>
      <c r="C215" t="s">
        <v>111</v>
      </c>
      <c r="D215" s="15">
        <f>SUMIFS('Archetype Data'!AF$6:AF$687,'Archetype Data'!$C$6:$C$687,"Industry",'Archetype Data'!$D$6:$D$687,$B215, 'Archetype Data'!$H$6:$H$687,$C215)</f>
        <v>20.203158822397402</v>
      </c>
      <c r="E215" s="15">
        <f>SUMIFS('Archetype Data'!S$6:S$687,'Archetype Data'!$C$6:$C$687,"Industry",'Archetype Data'!$D$6:$D$687,$B215, 'Archetype Data'!$H$6:$H$687,$C215)</f>
        <v>132.51079684205902</v>
      </c>
      <c r="F215" s="15" cm="1">
        <f t="array" ref="F215">SUMPRODUCT('Archetype Data'!AG$6:AG$687,'Archetype Data'!$S$6:$S$687,--('Archetype Data'!$C$6:$C$687="Industry"),--('Archetype Data'!$D$6:$D$687=$B215),--('Archetype Data'!$H$6:$H$687=$C215))</f>
        <v>45916.783556228074</v>
      </c>
      <c r="G215" s="15" cm="1">
        <f t="array" ref="G215">SUMPRODUCT('Archetype Data'!AH$6:AH$687,'Archetype Data'!$S$6:$S$687,--('Archetype Data'!$C$6:$C$687="Industry"),--('Archetype Data'!$D$6:$D$687=$B215),--('Archetype Data'!$H$6:$H$687=$C215))</f>
        <v>0</v>
      </c>
      <c r="H215" s="15" cm="1">
        <f t="array" ref="H215">SUMPRODUCT('Archetype Data'!AI$6:AI$687,'Archetype Data'!$S$6:$S$687,--('Archetype Data'!$C$6:$C$687="Industry"),--('Archetype Data'!$D$6:$D$687=$B215),--('Archetype Data'!$H$6:$H$687=$C215))</f>
        <v>0</v>
      </c>
      <c r="I215" s="15" cm="1">
        <f t="array" ref="I215">SUMPRODUCT('Archetype Data'!AJ$6:AJ$687,'Archetype Data'!$S$6:$S$687,--('Archetype Data'!$C$6:$C$687="Industry"),--('Archetype Data'!$D$6:$D$687=$B215),--('Archetype Data'!$H$6:$H$687=$C215))</f>
        <v>45916.783556228074</v>
      </c>
      <c r="J215" s="15" cm="1">
        <f t="array" ref="J215">SUMPRODUCT('Archetype Data'!AK$6:AK$687,'Archetype Data'!$S$6:$S$687,--('Archetype Data'!$C$6:$C$687="Industry"),--('Archetype Data'!$D$6:$D$687=$B215),--('Archetype Data'!$H$6:$H$687=$C215))</f>
        <v>0</v>
      </c>
    </row>
    <row r="216" spans="2:10" outlineLevel="1">
      <c r="B216" t="s">
        <v>64</v>
      </c>
      <c r="C216" t="s">
        <v>116</v>
      </c>
      <c r="D216" s="15">
        <f>SUMIFS('Archetype Data'!AF$6:AF$687,'Archetype Data'!$C$6:$C$687,"Industry",'Archetype Data'!$D$6:$D$687,$B216, 'Archetype Data'!$H$6:$H$687,$C216)</f>
        <v>13.251079684205902</v>
      </c>
      <c r="E216" s="15">
        <f>SUMIFS('Archetype Data'!S$6:S$687,'Archetype Data'!$C$6:$C$687,"Industry",'Archetype Data'!$D$6:$D$687,$B216, 'Archetype Data'!$H$6:$H$687,$C216)</f>
        <v>131.96656468191139</v>
      </c>
      <c r="F216" s="15" cm="1">
        <f t="array" ref="F216">SUMPRODUCT('Archetype Data'!AG$6:AG$687,'Archetype Data'!$S$6:$S$687,--('Archetype Data'!$C$6:$C$687="Industry"),--('Archetype Data'!$D$6:$D$687=$B216),--('Archetype Data'!$H$6:$H$687=$C216))</f>
        <v>28746.565698274448</v>
      </c>
      <c r="G216" s="15" cm="1">
        <f t="array" ref="G216">SUMPRODUCT('Archetype Data'!AH$6:AH$687,'Archetype Data'!$S$6:$S$687,--('Archetype Data'!$C$6:$C$687="Industry"),--('Archetype Data'!$D$6:$D$687=$B216),--('Archetype Data'!$H$6:$H$687=$C216))</f>
        <v>0</v>
      </c>
      <c r="H216" s="15" cm="1">
        <f t="array" ref="H216">SUMPRODUCT('Archetype Data'!AI$6:AI$687,'Archetype Data'!$S$6:$S$687,--('Archetype Data'!$C$6:$C$687="Industry"),--('Archetype Data'!$D$6:$D$687=$B216),--('Archetype Data'!$H$6:$H$687=$C216))</f>
        <v>28746.565698274448</v>
      </c>
      <c r="I216" s="15" cm="1">
        <f t="array" ref="I216">SUMPRODUCT('Archetype Data'!AJ$6:AJ$687,'Archetype Data'!$S$6:$S$687,--('Archetype Data'!$C$6:$C$687="Industry"),--('Archetype Data'!$D$6:$D$687=$B216),--('Archetype Data'!$H$6:$H$687=$C216))</f>
        <v>0</v>
      </c>
      <c r="J216" s="15" cm="1">
        <f t="array" ref="J216">SUMPRODUCT('Archetype Data'!AK$6:AK$687,'Archetype Data'!$S$6:$S$687,--('Archetype Data'!$C$6:$C$687="Industry"),--('Archetype Data'!$D$6:$D$687=$B216),--('Archetype Data'!$H$6:$H$687=$C216))</f>
        <v>0</v>
      </c>
    </row>
    <row r="217" spans="2:10" outlineLevel="1">
      <c r="B217" t="s">
        <v>64</v>
      </c>
      <c r="C217" t="s">
        <v>114</v>
      </c>
      <c r="D217" s="15">
        <f>SUMIFS('Archetype Data'!AF$6:AF$687,'Archetype Data'!$C$6:$C$687,"Industry",'Archetype Data'!$D$6:$D$687,$B217, 'Archetype Data'!$H$6:$H$687,$C217)</f>
        <v>6.6255398421029508</v>
      </c>
      <c r="E217" s="15">
        <f>SUMIFS('Archetype Data'!S$6:S$687,'Archetype Data'!$C$6:$C$687,"Industry",'Archetype Data'!$D$6:$D$687,$B217, 'Archetype Data'!$H$6:$H$687,$C217)</f>
        <v>131.96656468191139</v>
      </c>
      <c r="F217" s="15" cm="1">
        <f t="array" ref="F217">SUMPRODUCT('Archetype Data'!AG$6:AG$687,'Archetype Data'!$S$6:$S$687,--('Archetype Data'!$C$6:$C$687="Industry"),--('Archetype Data'!$D$6:$D$687=$B217),--('Archetype Data'!$H$6:$H$687=$C217))</f>
        <v>14373.282849137224</v>
      </c>
      <c r="G217" s="15" cm="1">
        <f t="array" ref="G217">SUMPRODUCT('Archetype Data'!AH$6:AH$687,'Archetype Data'!$S$6:$S$687,--('Archetype Data'!$C$6:$C$687="Industry"),--('Archetype Data'!$D$6:$D$687=$B217),--('Archetype Data'!$H$6:$H$687=$C217))</f>
        <v>0</v>
      </c>
      <c r="H217" s="15" cm="1">
        <f t="array" ref="H217">SUMPRODUCT('Archetype Data'!AI$6:AI$687,'Archetype Data'!$S$6:$S$687,--('Archetype Data'!$C$6:$C$687="Industry"),--('Archetype Data'!$D$6:$D$687=$B217),--('Archetype Data'!$H$6:$H$687=$C217))</f>
        <v>0</v>
      </c>
      <c r="I217" s="15" cm="1">
        <f t="array" ref="I217">SUMPRODUCT('Archetype Data'!AJ$6:AJ$687,'Archetype Data'!$S$6:$S$687,--('Archetype Data'!$C$6:$C$687="Industry"),--('Archetype Data'!$D$6:$D$687=$B217),--('Archetype Data'!$H$6:$H$687=$C217))</f>
        <v>0</v>
      </c>
      <c r="J217" s="15" cm="1">
        <f t="array" ref="J217">SUMPRODUCT('Archetype Data'!AK$6:AK$687,'Archetype Data'!$S$6:$S$687,--('Archetype Data'!$C$6:$C$687="Industry"),--('Archetype Data'!$D$6:$D$687=$B217),--('Archetype Data'!$H$6:$H$687=$C217))</f>
        <v>14373.282849137224</v>
      </c>
    </row>
    <row r="218" spans="2:10" outlineLevel="1">
      <c r="B218" t="s">
        <v>65</v>
      </c>
      <c r="C218" t="s">
        <v>113</v>
      </c>
      <c r="D218" s="15">
        <f>SUMIFS('Archetype Data'!AF$6:AF$687,'Archetype Data'!$C$6:$C$687,"Industry",'Archetype Data'!$D$6:$D$687,$B218, 'Archetype Data'!$H$6:$H$687,$C218)</f>
        <v>0</v>
      </c>
      <c r="E218" s="15">
        <f>SUMIFS('Archetype Data'!S$6:S$687,'Archetype Data'!$C$6:$C$687,"Industry",'Archetype Data'!$D$6:$D$687,$B218, 'Archetype Data'!$H$6:$H$687,$C218)</f>
        <v>0</v>
      </c>
      <c r="F218" s="15" cm="1">
        <f t="array" ref="F218">SUMPRODUCT('Archetype Data'!AG$6:AG$687,'Archetype Data'!$S$6:$S$687,--('Archetype Data'!$C$6:$C$687="Industry"),--('Archetype Data'!$D$6:$D$687=$B218),--('Archetype Data'!$H$6:$H$687=$C218))</f>
        <v>0</v>
      </c>
      <c r="G218" s="15" cm="1">
        <f t="array" ref="G218">SUMPRODUCT('Archetype Data'!AH$6:AH$687,'Archetype Data'!$S$6:$S$687,--('Archetype Data'!$C$6:$C$687="Industry"),--('Archetype Data'!$D$6:$D$687=$B218),--('Archetype Data'!$H$6:$H$687=$C218))</f>
        <v>0</v>
      </c>
      <c r="H218" s="15" cm="1">
        <f t="array" ref="H218">SUMPRODUCT('Archetype Data'!AI$6:AI$687,'Archetype Data'!$S$6:$S$687,--('Archetype Data'!$C$6:$C$687="Industry"),--('Archetype Data'!$D$6:$D$687=$B218),--('Archetype Data'!$H$6:$H$687=$C218))</f>
        <v>0</v>
      </c>
      <c r="I218" s="15" cm="1">
        <f t="array" ref="I218">SUMPRODUCT('Archetype Data'!AJ$6:AJ$687,'Archetype Data'!$S$6:$S$687,--('Archetype Data'!$C$6:$C$687="Industry"),--('Archetype Data'!$D$6:$D$687=$B218),--('Archetype Data'!$H$6:$H$687=$C218))</f>
        <v>0</v>
      </c>
      <c r="J218" s="15" cm="1">
        <f t="array" ref="J218">SUMPRODUCT('Archetype Data'!AK$6:AK$687,'Archetype Data'!$S$6:$S$687,--('Archetype Data'!$C$6:$C$687="Industry"),--('Archetype Data'!$D$6:$D$687=$B218),--('Archetype Data'!$H$6:$H$687=$C218))</f>
        <v>0</v>
      </c>
    </row>
    <row r="219" spans="2:10" outlineLevel="1">
      <c r="B219" t="s">
        <v>65</v>
      </c>
      <c r="C219" t="s">
        <v>115</v>
      </c>
      <c r="D219" s="15">
        <f>SUMIFS('Archetype Data'!AF$6:AF$687,'Archetype Data'!$C$6:$C$687,"Industry",'Archetype Data'!$D$6:$D$687,$B219, 'Archetype Data'!$H$6:$H$687,$C219)</f>
        <v>0</v>
      </c>
      <c r="E219" s="15">
        <f>SUMIFS('Archetype Data'!S$6:S$687,'Archetype Data'!$C$6:$C$687,"Industry",'Archetype Data'!$D$6:$D$687,$B219, 'Archetype Data'!$H$6:$H$687,$C219)</f>
        <v>0</v>
      </c>
      <c r="F219" s="15" cm="1">
        <f t="array" ref="F219">SUMPRODUCT('Archetype Data'!AG$6:AG$687,'Archetype Data'!$S$6:$S$687,--('Archetype Data'!$C$6:$C$687="Industry"),--('Archetype Data'!$D$6:$D$687=$B219),--('Archetype Data'!$H$6:$H$687=$C219))</f>
        <v>0</v>
      </c>
      <c r="G219" s="15" cm="1">
        <f t="array" ref="G219">SUMPRODUCT('Archetype Data'!AH$6:AH$687,'Archetype Data'!$S$6:$S$687,--('Archetype Data'!$C$6:$C$687="Industry"),--('Archetype Data'!$D$6:$D$687=$B219),--('Archetype Data'!$H$6:$H$687=$C219))</f>
        <v>0</v>
      </c>
      <c r="H219" s="15" cm="1">
        <f t="array" ref="H219">SUMPRODUCT('Archetype Data'!AI$6:AI$687,'Archetype Data'!$S$6:$S$687,--('Archetype Data'!$C$6:$C$687="Industry"),--('Archetype Data'!$D$6:$D$687=$B219),--('Archetype Data'!$H$6:$H$687=$C219))</f>
        <v>0</v>
      </c>
      <c r="I219" s="15" cm="1">
        <f t="array" ref="I219">SUMPRODUCT('Archetype Data'!AJ$6:AJ$687,'Archetype Data'!$S$6:$S$687,--('Archetype Data'!$C$6:$C$687="Industry"),--('Archetype Data'!$D$6:$D$687=$B219),--('Archetype Data'!$H$6:$H$687=$C219))</f>
        <v>0</v>
      </c>
      <c r="J219" s="15" cm="1">
        <f t="array" ref="J219">SUMPRODUCT('Archetype Data'!AK$6:AK$687,'Archetype Data'!$S$6:$S$687,--('Archetype Data'!$C$6:$C$687="Industry"),--('Archetype Data'!$D$6:$D$687=$B219),--('Archetype Data'!$H$6:$H$687=$C219))</f>
        <v>0</v>
      </c>
    </row>
    <row r="220" spans="2:10" outlineLevel="1">
      <c r="B220" t="s">
        <v>65</v>
      </c>
      <c r="C220" t="s">
        <v>112</v>
      </c>
      <c r="D220" s="15">
        <f>SUMIFS('Archetype Data'!AF$6:AF$687,'Archetype Data'!$C$6:$C$687,"Industry",'Archetype Data'!$D$6:$D$687,$B220, 'Archetype Data'!$H$6:$H$687,$C220)</f>
        <v>0</v>
      </c>
      <c r="E220" s="15">
        <f>SUMIFS('Archetype Data'!S$6:S$687,'Archetype Data'!$C$6:$C$687,"Industry",'Archetype Data'!$D$6:$D$687,$B220, 'Archetype Data'!$H$6:$H$687,$C220)</f>
        <v>0</v>
      </c>
      <c r="F220" s="15" cm="1">
        <f t="array" ref="F220">SUMPRODUCT('Archetype Data'!AG$6:AG$687,'Archetype Data'!$S$6:$S$687,--('Archetype Data'!$C$6:$C$687="Industry"),--('Archetype Data'!$D$6:$D$687=$B220),--('Archetype Data'!$H$6:$H$687=$C220))</f>
        <v>0</v>
      </c>
      <c r="G220" s="15" cm="1">
        <f t="array" ref="G220">SUMPRODUCT('Archetype Data'!AH$6:AH$687,'Archetype Data'!$S$6:$S$687,--('Archetype Data'!$C$6:$C$687="Industry"),--('Archetype Data'!$D$6:$D$687=$B220),--('Archetype Data'!$H$6:$H$687=$C220))</f>
        <v>0</v>
      </c>
      <c r="H220" s="15" cm="1">
        <f t="array" ref="H220">SUMPRODUCT('Archetype Data'!AI$6:AI$687,'Archetype Data'!$S$6:$S$687,--('Archetype Data'!$C$6:$C$687="Industry"),--('Archetype Data'!$D$6:$D$687=$B220),--('Archetype Data'!$H$6:$H$687=$C220))</f>
        <v>0</v>
      </c>
      <c r="I220" s="15" cm="1">
        <f t="array" ref="I220">SUMPRODUCT('Archetype Data'!AJ$6:AJ$687,'Archetype Data'!$S$6:$S$687,--('Archetype Data'!$C$6:$C$687="Industry"),--('Archetype Data'!$D$6:$D$687=$B220),--('Archetype Data'!$H$6:$H$687=$C220))</f>
        <v>0</v>
      </c>
      <c r="J220" s="15" cm="1">
        <f t="array" ref="J220">SUMPRODUCT('Archetype Data'!AK$6:AK$687,'Archetype Data'!$S$6:$S$687,--('Archetype Data'!$C$6:$C$687="Industry"),--('Archetype Data'!$D$6:$D$687=$B220),--('Archetype Data'!$H$6:$H$687=$C220))</f>
        <v>0</v>
      </c>
    </row>
    <row r="221" spans="2:10" outlineLevel="1">
      <c r="B221" t="s">
        <v>65</v>
      </c>
      <c r="C221" t="s">
        <v>114</v>
      </c>
      <c r="D221" s="15">
        <f>SUMIFS('Archetype Data'!AF$6:AF$687,'Archetype Data'!$C$6:$C$687,"Industry",'Archetype Data'!$D$6:$D$687,$B221, 'Archetype Data'!$H$6:$H$687,$C221)</f>
        <v>0</v>
      </c>
      <c r="E221" s="15">
        <f>SUMIFS('Archetype Data'!S$6:S$687,'Archetype Data'!$C$6:$C$687,"Industry",'Archetype Data'!$D$6:$D$687,$B221, 'Archetype Data'!$H$6:$H$687,$C221)</f>
        <v>0</v>
      </c>
      <c r="F221" s="15" cm="1">
        <f t="array" ref="F221">SUMPRODUCT('Archetype Data'!AG$6:AG$687,'Archetype Data'!$S$6:$S$687,--('Archetype Data'!$C$6:$C$687="Industry"),--('Archetype Data'!$D$6:$D$687=$B221),--('Archetype Data'!$H$6:$H$687=$C221))</f>
        <v>0</v>
      </c>
      <c r="G221" s="15" cm="1">
        <f t="array" ref="G221">SUMPRODUCT('Archetype Data'!AH$6:AH$687,'Archetype Data'!$S$6:$S$687,--('Archetype Data'!$C$6:$C$687="Industry"),--('Archetype Data'!$D$6:$D$687=$B221),--('Archetype Data'!$H$6:$H$687=$C221))</f>
        <v>0</v>
      </c>
      <c r="H221" s="15" cm="1">
        <f t="array" ref="H221">SUMPRODUCT('Archetype Data'!AI$6:AI$687,'Archetype Data'!$S$6:$S$687,--('Archetype Data'!$C$6:$C$687="Industry"),--('Archetype Data'!$D$6:$D$687=$B221),--('Archetype Data'!$H$6:$H$687=$C221))</f>
        <v>0</v>
      </c>
      <c r="I221" s="15" cm="1">
        <f t="array" ref="I221">SUMPRODUCT('Archetype Data'!AJ$6:AJ$687,'Archetype Data'!$S$6:$S$687,--('Archetype Data'!$C$6:$C$687="Industry"),--('Archetype Data'!$D$6:$D$687=$B221),--('Archetype Data'!$H$6:$H$687=$C221))</f>
        <v>0</v>
      </c>
      <c r="J221" s="15" cm="1">
        <f t="array" ref="J221">SUMPRODUCT('Archetype Data'!AK$6:AK$687,'Archetype Data'!$S$6:$S$687,--('Archetype Data'!$C$6:$C$687="Industry"),--('Archetype Data'!$D$6:$D$687=$B221),--('Archetype Data'!$H$6:$H$687=$C221))</f>
        <v>0</v>
      </c>
    </row>
    <row r="222" spans="2:10" outlineLevel="1">
      <c r="B222" t="s">
        <v>66</v>
      </c>
      <c r="C222" t="s">
        <v>115</v>
      </c>
      <c r="D222" s="15">
        <f>SUMIFS('Archetype Data'!AF$6:AF$687,'Archetype Data'!$C$6:$C$687,"Industry",'Archetype Data'!$D$6:$D$687,$B222, 'Archetype Data'!$H$6:$H$687,$C222)</f>
        <v>0</v>
      </c>
      <c r="E222" s="15">
        <f>SUMIFS('Archetype Data'!S$6:S$687,'Archetype Data'!$C$6:$C$687,"Industry",'Archetype Data'!$D$6:$D$687,$B222, 'Archetype Data'!$H$6:$H$687,$C222)</f>
        <v>0</v>
      </c>
      <c r="F222" s="15" cm="1">
        <f t="array" ref="F222">SUMPRODUCT('Archetype Data'!AG$6:AG$687,'Archetype Data'!$S$6:$S$687,--('Archetype Data'!$C$6:$C$687="Industry"),--('Archetype Data'!$D$6:$D$687=$B222),--('Archetype Data'!$H$6:$H$687=$C222))</f>
        <v>0</v>
      </c>
      <c r="G222" s="15" cm="1">
        <f t="array" ref="G222">SUMPRODUCT('Archetype Data'!AH$6:AH$687,'Archetype Data'!$S$6:$S$687,--('Archetype Data'!$C$6:$C$687="Industry"),--('Archetype Data'!$D$6:$D$687=$B222),--('Archetype Data'!$H$6:$H$687=$C222))</f>
        <v>0</v>
      </c>
      <c r="H222" s="15" cm="1">
        <f t="array" ref="H222">SUMPRODUCT('Archetype Data'!AI$6:AI$687,'Archetype Data'!$S$6:$S$687,--('Archetype Data'!$C$6:$C$687="Industry"),--('Archetype Data'!$D$6:$D$687=$B222),--('Archetype Data'!$H$6:$H$687=$C222))</f>
        <v>0</v>
      </c>
      <c r="I222" s="15" cm="1">
        <f t="array" ref="I222">SUMPRODUCT('Archetype Data'!AJ$6:AJ$687,'Archetype Data'!$S$6:$S$687,--('Archetype Data'!$C$6:$C$687="Industry"),--('Archetype Data'!$D$6:$D$687=$B222),--('Archetype Data'!$H$6:$H$687=$C222))</f>
        <v>0</v>
      </c>
      <c r="J222" s="15" cm="1">
        <f t="array" ref="J222">SUMPRODUCT('Archetype Data'!AK$6:AK$687,'Archetype Data'!$S$6:$S$687,--('Archetype Data'!$C$6:$C$687="Industry"),--('Archetype Data'!$D$6:$D$687=$B222),--('Archetype Data'!$H$6:$H$687=$C222))</f>
        <v>0</v>
      </c>
    </row>
    <row r="223" spans="2:10" outlineLevel="1">
      <c r="B223" t="s">
        <v>66</v>
      </c>
      <c r="C223" t="s">
        <v>110</v>
      </c>
      <c r="D223" s="15">
        <f>SUMIFS('Archetype Data'!AF$6:AF$687,'Archetype Data'!$C$6:$C$687,"Industry",'Archetype Data'!$D$6:$D$687,$B223, 'Archetype Data'!$H$6:$H$687,$C223)</f>
        <v>0</v>
      </c>
      <c r="E223" s="15">
        <f>SUMIFS('Archetype Data'!S$6:S$687,'Archetype Data'!$C$6:$C$687,"Industry",'Archetype Data'!$D$6:$D$687,$B223, 'Archetype Data'!$H$6:$H$687,$C223)</f>
        <v>0</v>
      </c>
      <c r="F223" s="15" cm="1">
        <f t="array" ref="F223">SUMPRODUCT('Archetype Data'!AG$6:AG$687,'Archetype Data'!$S$6:$S$687,--('Archetype Data'!$C$6:$C$687="Industry"),--('Archetype Data'!$D$6:$D$687=$B223),--('Archetype Data'!$H$6:$H$687=$C223))</f>
        <v>0</v>
      </c>
      <c r="G223" s="15" cm="1">
        <f t="array" ref="G223">SUMPRODUCT('Archetype Data'!AH$6:AH$687,'Archetype Data'!$S$6:$S$687,--('Archetype Data'!$C$6:$C$687="Industry"),--('Archetype Data'!$D$6:$D$687=$B223),--('Archetype Data'!$H$6:$H$687=$C223))</f>
        <v>0</v>
      </c>
      <c r="H223" s="15" cm="1">
        <f t="array" ref="H223">SUMPRODUCT('Archetype Data'!AI$6:AI$687,'Archetype Data'!$S$6:$S$687,--('Archetype Data'!$C$6:$C$687="Industry"),--('Archetype Data'!$D$6:$D$687=$B223),--('Archetype Data'!$H$6:$H$687=$C223))</f>
        <v>0</v>
      </c>
      <c r="I223" s="15" cm="1">
        <f t="array" ref="I223">SUMPRODUCT('Archetype Data'!AJ$6:AJ$687,'Archetype Data'!$S$6:$S$687,--('Archetype Data'!$C$6:$C$687="Industry"),--('Archetype Data'!$D$6:$D$687=$B223),--('Archetype Data'!$H$6:$H$687=$C223))</f>
        <v>0</v>
      </c>
      <c r="J223" s="15" cm="1">
        <f t="array" ref="J223">SUMPRODUCT('Archetype Data'!AK$6:AK$687,'Archetype Data'!$S$6:$S$687,--('Archetype Data'!$C$6:$C$687="Industry"),--('Archetype Data'!$D$6:$D$687=$B223),--('Archetype Data'!$H$6:$H$687=$C223))</f>
        <v>0</v>
      </c>
    </row>
    <row r="224" spans="2:10" outlineLevel="1">
      <c r="B224" t="s">
        <v>66</v>
      </c>
      <c r="C224" t="s">
        <v>111</v>
      </c>
      <c r="D224" s="15">
        <f>SUMIFS('Archetype Data'!AF$6:AF$687,'Archetype Data'!$C$6:$C$687,"Industry",'Archetype Data'!$D$6:$D$687,$B224, 'Archetype Data'!$H$6:$H$687,$C224)</f>
        <v>0</v>
      </c>
      <c r="E224" s="15">
        <f>SUMIFS('Archetype Data'!S$6:S$687,'Archetype Data'!$C$6:$C$687,"Industry",'Archetype Data'!$D$6:$D$687,$B224, 'Archetype Data'!$H$6:$H$687,$C224)</f>
        <v>0</v>
      </c>
      <c r="F224" s="15" cm="1">
        <f t="array" ref="F224">SUMPRODUCT('Archetype Data'!AG$6:AG$687,'Archetype Data'!$S$6:$S$687,--('Archetype Data'!$C$6:$C$687="Industry"),--('Archetype Data'!$D$6:$D$687=$B224),--('Archetype Data'!$H$6:$H$687=$C224))</f>
        <v>0</v>
      </c>
      <c r="G224" s="15" cm="1">
        <f t="array" ref="G224">SUMPRODUCT('Archetype Data'!AH$6:AH$687,'Archetype Data'!$S$6:$S$687,--('Archetype Data'!$C$6:$C$687="Industry"),--('Archetype Data'!$D$6:$D$687=$B224),--('Archetype Data'!$H$6:$H$687=$C224))</f>
        <v>0</v>
      </c>
      <c r="H224" s="15" cm="1">
        <f t="array" ref="H224">SUMPRODUCT('Archetype Data'!AI$6:AI$687,'Archetype Data'!$S$6:$S$687,--('Archetype Data'!$C$6:$C$687="Industry"),--('Archetype Data'!$D$6:$D$687=$B224),--('Archetype Data'!$H$6:$H$687=$C224))</f>
        <v>0</v>
      </c>
      <c r="I224" s="15" cm="1">
        <f t="array" ref="I224">SUMPRODUCT('Archetype Data'!AJ$6:AJ$687,'Archetype Data'!$S$6:$S$687,--('Archetype Data'!$C$6:$C$687="Industry"),--('Archetype Data'!$D$6:$D$687=$B224),--('Archetype Data'!$H$6:$H$687=$C224))</f>
        <v>0</v>
      </c>
      <c r="J224" s="15" cm="1">
        <f t="array" ref="J224">SUMPRODUCT('Archetype Data'!AK$6:AK$687,'Archetype Data'!$S$6:$S$687,--('Archetype Data'!$C$6:$C$687="Industry"),--('Archetype Data'!$D$6:$D$687=$B224),--('Archetype Data'!$H$6:$H$687=$C224))</f>
        <v>0</v>
      </c>
    </row>
    <row r="225" spans="2:10" outlineLevel="1">
      <c r="B225" t="s">
        <v>66</v>
      </c>
      <c r="C225" t="s">
        <v>116</v>
      </c>
      <c r="D225" s="15">
        <f>SUMIFS('Archetype Data'!AF$6:AF$687,'Archetype Data'!$C$6:$C$687,"Industry",'Archetype Data'!$D$6:$D$687,$B225, 'Archetype Data'!$H$6:$H$687,$C225)</f>
        <v>0</v>
      </c>
      <c r="E225" s="15">
        <f>SUMIFS('Archetype Data'!S$6:S$687,'Archetype Data'!$C$6:$C$687,"Industry",'Archetype Data'!$D$6:$D$687,$B225, 'Archetype Data'!$H$6:$H$687,$C225)</f>
        <v>0</v>
      </c>
      <c r="F225" s="15" cm="1">
        <f t="array" ref="F225">SUMPRODUCT('Archetype Data'!AG$6:AG$687,'Archetype Data'!$S$6:$S$687,--('Archetype Data'!$C$6:$C$687="Industry"),--('Archetype Data'!$D$6:$D$687=$B225),--('Archetype Data'!$H$6:$H$687=$C225))</f>
        <v>0</v>
      </c>
      <c r="G225" s="15" cm="1">
        <f t="array" ref="G225">SUMPRODUCT('Archetype Data'!AH$6:AH$687,'Archetype Data'!$S$6:$S$687,--('Archetype Data'!$C$6:$C$687="Industry"),--('Archetype Data'!$D$6:$D$687=$B225),--('Archetype Data'!$H$6:$H$687=$C225))</f>
        <v>0</v>
      </c>
      <c r="H225" s="15" cm="1">
        <f t="array" ref="H225">SUMPRODUCT('Archetype Data'!AI$6:AI$687,'Archetype Data'!$S$6:$S$687,--('Archetype Data'!$C$6:$C$687="Industry"),--('Archetype Data'!$D$6:$D$687=$B225),--('Archetype Data'!$H$6:$H$687=$C225))</f>
        <v>0</v>
      </c>
      <c r="I225" s="15" cm="1">
        <f t="array" ref="I225">SUMPRODUCT('Archetype Data'!AJ$6:AJ$687,'Archetype Data'!$S$6:$S$687,--('Archetype Data'!$C$6:$C$687="Industry"),--('Archetype Data'!$D$6:$D$687=$B225),--('Archetype Data'!$H$6:$H$687=$C225))</f>
        <v>0</v>
      </c>
      <c r="J225" s="15" cm="1">
        <f t="array" ref="J225">SUMPRODUCT('Archetype Data'!AK$6:AK$687,'Archetype Data'!$S$6:$S$687,--('Archetype Data'!$C$6:$C$687="Industry"),--('Archetype Data'!$D$6:$D$687=$B225),--('Archetype Data'!$H$6:$H$687=$C225))</f>
        <v>0</v>
      </c>
    </row>
    <row r="226" spans="2:10" outlineLevel="1">
      <c r="B226" t="s">
        <v>66</v>
      </c>
      <c r="C226" t="s">
        <v>112</v>
      </c>
      <c r="D226" s="15">
        <f>SUMIFS('Archetype Data'!AF$6:AF$687,'Archetype Data'!$C$6:$C$687,"Industry",'Archetype Data'!$D$6:$D$687,$B226, 'Archetype Data'!$H$6:$H$687,$C226)</f>
        <v>0</v>
      </c>
      <c r="E226" s="15">
        <f>SUMIFS('Archetype Data'!S$6:S$687,'Archetype Data'!$C$6:$C$687,"Industry",'Archetype Data'!$D$6:$D$687,$B226, 'Archetype Data'!$H$6:$H$687,$C226)</f>
        <v>0</v>
      </c>
      <c r="F226" s="15" cm="1">
        <f t="array" ref="F226">SUMPRODUCT('Archetype Data'!AG$6:AG$687,'Archetype Data'!$S$6:$S$687,--('Archetype Data'!$C$6:$C$687="Industry"),--('Archetype Data'!$D$6:$D$687=$B226),--('Archetype Data'!$H$6:$H$687=$C226))</f>
        <v>0</v>
      </c>
      <c r="G226" s="15" cm="1">
        <f t="array" ref="G226">SUMPRODUCT('Archetype Data'!AH$6:AH$687,'Archetype Data'!$S$6:$S$687,--('Archetype Data'!$C$6:$C$687="Industry"),--('Archetype Data'!$D$6:$D$687=$B226),--('Archetype Data'!$H$6:$H$687=$C226))</f>
        <v>0</v>
      </c>
      <c r="H226" s="15" cm="1">
        <f t="array" ref="H226">SUMPRODUCT('Archetype Data'!AI$6:AI$687,'Archetype Data'!$S$6:$S$687,--('Archetype Data'!$C$6:$C$687="Industry"),--('Archetype Data'!$D$6:$D$687=$B226),--('Archetype Data'!$H$6:$H$687=$C226))</f>
        <v>0</v>
      </c>
      <c r="I226" s="15" cm="1">
        <f t="array" ref="I226">SUMPRODUCT('Archetype Data'!AJ$6:AJ$687,'Archetype Data'!$S$6:$S$687,--('Archetype Data'!$C$6:$C$687="Industry"),--('Archetype Data'!$D$6:$D$687=$B226),--('Archetype Data'!$H$6:$H$687=$C226))</f>
        <v>0</v>
      </c>
      <c r="J226" s="15" cm="1">
        <f t="array" ref="J226">SUMPRODUCT('Archetype Data'!AK$6:AK$687,'Archetype Data'!$S$6:$S$687,--('Archetype Data'!$C$6:$C$687="Industry"),--('Archetype Data'!$D$6:$D$687=$B226),--('Archetype Data'!$H$6:$H$687=$C226))</f>
        <v>0</v>
      </c>
    </row>
    <row r="227" spans="2:10" outlineLevel="1">
      <c r="B227" t="s">
        <v>66</v>
      </c>
      <c r="C227" t="s">
        <v>114</v>
      </c>
      <c r="D227" s="15">
        <f>SUMIFS('Archetype Data'!AF$6:AF$687,'Archetype Data'!$C$6:$C$687,"Industry",'Archetype Data'!$D$6:$D$687,$B227, 'Archetype Data'!$H$6:$H$687,$C227)</f>
        <v>0</v>
      </c>
      <c r="E227" s="15">
        <f>SUMIFS('Archetype Data'!S$6:S$687,'Archetype Data'!$C$6:$C$687,"Industry",'Archetype Data'!$D$6:$D$687,$B227, 'Archetype Data'!$H$6:$H$687,$C227)</f>
        <v>0</v>
      </c>
      <c r="F227" s="15" cm="1">
        <f t="array" ref="F227">SUMPRODUCT('Archetype Data'!AG$6:AG$687,'Archetype Data'!$S$6:$S$687,--('Archetype Data'!$C$6:$C$687="Industry"),--('Archetype Data'!$D$6:$D$687=$B227),--('Archetype Data'!$H$6:$H$687=$C227))</f>
        <v>0</v>
      </c>
      <c r="G227" s="15" cm="1">
        <f t="array" ref="G227">SUMPRODUCT('Archetype Data'!AH$6:AH$687,'Archetype Data'!$S$6:$S$687,--('Archetype Data'!$C$6:$C$687="Industry"),--('Archetype Data'!$D$6:$D$687=$B227),--('Archetype Data'!$H$6:$H$687=$C227))</f>
        <v>0</v>
      </c>
      <c r="H227" s="15" cm="1">
        <f t="array" ref="H227">SUMPRODUCT('Archetype Data'!AI$6:AI$687,'Archetype Data'!$S$6:$S$687,--('Archetype Data'!$C$6:$C$687="Industry"),--('Archetype Data'!$D$6:$D$687=$B227),--('Archetype Data'!$H$6:$H$687=$C227))</f>
        <v>0</v>
      </c>
      <c r="I227" s="15" cm="1">
        <f t="array" ref="I227">SUMPRODUCT('Archetype Data'!AJ$6:AJ$687,'Archetype Data'!$S$6:$S$687,--('Archetype Data'!$C$6:$C$687="Industry"),--('Archetype Data'!$D$6:$D$687=$B227),--('Archetype Data'!$H$6:$H$687=$C227))</f>
        <v>0</v>
      </c>
      <c r="J227" s="15" cm="1">
        <f t="array" ref="J227">SUMPRODUCT('Archetype Data'!AK$6:AK$687,'Archetype Data'!$S$6:$S$687,--('Archetype Data'!$C$6:$C$687="Industry"),--('Archetype Data'!$D$6:$D$687=$B227),--('Archetype Data'!$H$6:$H$687=$C227))</f>
        <v>0</v>
      </c>
    </row>
    <row r="228" spans="2:10" outlineLevel="1">
      <c r="B228" t="s">
        <v>67</v>
      </c>
      <c r="C228" t="s">
        <v>110</v>
      </c>
      <c r="D228" s="15">
        <f>SUMIFS('Archetype Data'!AF$6:AF$687,'Archetype Data'!$C$6:$C$687,"Industry",'Archetype Data'!$D$6:$D$687,$B228, 'Archetype Data'!$H$6:$H$687,$C228)</f>
        <v>0</v>
      </c>
      <c r="E228" s="15">
        <f>SUMIFS('Archetype Data'!S$6:S$687,'Archetype Data'!$C$6:$C$687,"Industry",'Archetype Data'!$D$6:$D$687,$B228, 'Archetype Data'!$H$6:$H$687,$C228)</f>
        <v>0</v>
      </c>
      <c r="F228" s="15" cm="1">
        <f t="array" ref="F228">SUMPRODUCT('Archetype Data'!AG$6:AG$687,'Archetype Data'!$S$6:$S$687,--('Archetype Data'!$C$6:$C$687="Industry"),--('Archetype Data'!$D$6:$D$687=$B228),--('Archetype Data'!$H$6:$H$687=$C228))</f>
        <v>0</v>
      </c>
      <c r="G228" s="15" cm="1">
        <f t="array" ref="G228">SUMPRODUCT('Archetype Data'!AH$6:AH$687,'Archetype Data'!$S$6:$S$687,--('Archetype Data'!$C$6:$C$687="Industry"),--('Archetype Data'!$D$6:$D$687=$B228),--('Archetype Data'!$H$6:$H$687=$C228))</f>
        <v>0</v>
      </c>
      <c r="H228" s="15" cm="1">
        <f t="array" ref="H228">SUMPRODUCT('Archetype Data'!AI$6:AI$687,'Archetype Data'!$S$6:$S$687,--('Archetype Data'!$C$6:$C$687="Industry"),--('Archetype Data'!$D$6:$D$687=$B228),--('Archetype Data'!$H$6:$H$687=$C228))</f>
        <v>0</v>
      </c>
      <c r="I228" s="15" cm="1">
        <f t="array" ref="I228">SUMPRODUCT('Archetype Data'!AJ$6:AJ$687,'Archetype Data'!$S$6:$S$687,--('Archetype Data'!$C$6:$C$687="Industry"),--('Archetype Data'!$D$6:$D$687=$B228),--('Archetype Data'!$H$6:$H$687=$C228))</f>
        <v>0</v>
      </c>
      <c r="J228" s="15" cm="1">
        <f t="array" ref="J228">SUMPRODUCT('Archetype Data'!AK$6:AK$687,'Archetype Data'!$S$6:$S$687,--('Archetype Data'!$C$6:$C$687="Industry"),--('Archetype Data'!$D$6:$D$687=$B228),--('Archetype Data'!$H$6:$H$687=$C228))</f>
        <v>0</v>
      </c>
    </row>
    <row r="229" spans="2:10" outlineLevel="1">
      <c r="B229" t="s">
        <v>67</v>
      </c>
      <c r="C229" t="s">
        <v>111</v>
      </c>
      <c r="D229" s="15">
        <f>SUMIFS('Archetype Data'!AF$6:AF$687,'Archetype Data'!$C$6:$C$687,"Industry",'Archetype Data'!$D$6:$D$687,$B229, 'Archetype Data'!$H$6:$H$687,$C229)</f>
        <v>0</v>
      </c>
      <c r="E229" s="15">
        <f>SUMIFS('Archetype Data'!S$6:S$687,'Archetype Data'!$C$6:$C$687,"Industry",'Archetype Data'!$D$6:$D$687,$B229, 'Archetype Data'!$H$6:$H$687,$C229)</f>
        <v>0</v>
      </c>
      <c r="F229" s="15" cm="1">
        <f t="array" ref="F229">SUMPRODUCT('Archetype Data'!AG$6:AG$687,'Archetype Data'!$S$6:$S$687,--('Archetype Data'!$C$6:$C$687="Industry"),--('Archetype Data'!$D$6:$D$687=$B229),--('Archetype Data'!$H$6:$H$687=$C229))</f>
        <v>0</v>
      </c>
      <c r="G229" s="15" cm="1">
        <f t="array" ref="G229">SUMPRODUCT('Archetype Data'!AH$6:AH$687,'Archetype Data'!$S$6:$S$687,--('Archetype Data'!$C$6:$C$687="Industry"),--('Archetype Data'!$D$6:$D$687=$B229),--('Archetype Data'!$H$6:$H$687=$C229))</f>
        <v>0</v>
      </c>
      <c r="H229" s="15" cm="1">
        <f t="array" ref="H229">SUMPRODUCT('Archetype Data'!AI$6:AI$687,'Archetype Data'!$S$6:$S$687,--('Archetype Data'!$C$6:$C$687="Industry"),--('Archetype Data'!$D$6:$D$687=$B229),--('Archetype Data'!$H$6:$H$687=$C229))</f>
        <v>0</v>
      </c>
      <c r="I229" s="15" cm="1">
        <f t="array" ref="I229">SUMPRODUCT('Archetype Data'!AJ$6:AJ$687,'Archetype Data'!$S$6:$S$687,--('Archetype Data'!$C$6:$C$687="Industry"),--('Archetype Data'!$D$6:$D$687=$B229),--('Archetype Data'!$H$6:$H$687=$C229))</f>
        <v>0</v>
      </c>
      <c r="J229" s="15" cm="1">
        <f t="array" ref="J229">SUMPRODUCT('Archetype Data'!AK$6:AK$687,'Archetype Data'!$S$6:$S$687,--('Archetype Data'!$C$6:$C$687="Industry"),--('Archetype Data'!$D$6:$D$687=$B229),--('Archetype Data'!$H$6:$H$687=$C229))</f>
        <v>0</v>
      </c>
    </row>
    <row r="230" spans="2:10" outlineLevel="1">
      <c r="B230" t="s">
        <v>67</v>
      </c>
      <c r="C230" t="s">
        <v>116</v>
      </c>
      <c r="D230" s="15">
        <f>SUMIFS('Archetype Data'!AF$6:AF$687,'Archetype Data'!$C$6:$C$687,"Industry",'Archetype Data'!$D$6:$D$687,$B230, 'Archetype Data'!$H$6:$H$687,$C230)</f>
        <v>0</v>
      </c>
      <c r="E230" s="15">
        <f>SUMIFS('Archetype Data'!S$6:S$687,'Archetype Data'!$C$6:$C$687,"Industry",'Archetype Data'!$D$6:$D$687,$B230, 'Archetype Data'!$H$6:$H$687,$C230)</f>
        <v>0</v>
      </c>
      <c r="F230" s="15" cm="1">
        <f t="array" ref="F230">SUMPRODUCT('Archetype Data'!AG$6:AG$687,'Archetype Data'!$S$6:$S$687,--('Archetype Data'!$C$6:$C$687="Industry"),--('Archetype Data'!$D$6:$D$687=$B230),--('Archetype Data'!$H$6:$H$687=$C230))</f>
        <v>0</v>
      </c>
      <c r="G230" s="15" cm="1">
        <f t="array" ref="G230">SUMPRODUCT('Archetype Data'!AH$6:AH$687,'Archetype Data'!$S$6:$S$687,--('Archetype Data'!$C$6:$C$687="Industry"),--('Archetype Data'!$D$6:$D$687=$B230),--('Archetype Data'!$H$6:$H$687=$C230))</f>
        <v>0</v>
      </c>
      <c r="H230" s="15" cm="1">
        <f t="array" ref="H230">SUMPRODUCT('Archetype Data'!AI$6:AI$687,'Archetype Data'!$S$6:$S$687,--('Archetype Data'!$C$6:$C$687="Industry"),--('Archetype Data'!$D$6:$D$687=$B230),--('Archetype Data'!$H$6:$H$687=$C230))</f>
        <v>0</v>
      </c>
      <c r="I230" s="15" cm="1">
        <f t="array" ref="I230">SUMPRODUCT('Archetype Data'!AJ$6:AJ$687,'Archetype Data'!$S$6:$S$687,--('Archetype Data'!$C$6:$C$687="Industry"),--('Archetype Data'!$D$6:$D$687=$B230),--('Archetype Data'!$H$6:$H$687=$C230))</f>
        <v>0</v>
      </c>
      <c r="J230" s="15" cm="1">
        <f t="array" ref="J230">SUMPRODUCT('Archetype Data'!AK$6:AK$687,'Archetype Data'!$S$6:$S$687,--('Archetype Data'!$C$6:$C$687="Industry"),--('Archetype Data'!$D$6:$D$687=$B230),--('Archetype Data'!$H$6:$H$687=$C230))</f>
        <v>0</v>
      </c>
    </row>
    <row r="231" spans="2:10" outlineLevel="1">
      <c r="B231" t="s">
        <v>67</v>
      </c>
      <c r="C231" t="s">
        <v>112</v>
      </c>
      <c r="D231" s="15">
        <f>SUMIFS('Archetype Data'!AF$6:AF$687,'Archetype Data'!$C$6:$C$687,"Industry",'Archetype Data'!$D$6:$D$687,$B231, 'Archetype Data'!$H$6:$H$687,$C231)</f>
        <v>0</v>
      </c>
      <c r="E231" s="15">
        <f>SUMIFS('Archetype Data'!S$6:S$687,'Archetype Data'!$C$6:$C$687,"Industry",'Archetype Data'!$D$6:$D$687,$B231, 'Archetype Data'!$H$6:$H$687,$C231)</f>
        <v>0</v>
      </c>
      <c r="F231" s="15" cm="1">
        <f t="array" ref="F231">SUMPRODUCT('Archetype Data'!AG$6:AG$687,'Archetype Data'!$S$6:$S$687,--('Archetype Data'!$C$6:$C$687="Industry"),--('Archetype Data'!$D$6:$D$687=$B231),--('Archetype Data'!$H$6:$H$687=$C231))</f>
        <v>0</v>
      </c>
      <c r="G231" s="15" cm="1">
        <f t="array" ref="G231">SUMPRODUCT('Archetype Data'!AH$6:AH$687,'Archetype Data'!$S$6:$S$687,--('Archetype Data'!$C$6:$C$687="Industry"),--('Archetype Data'!$D$6:$D$687=$B231),--('Archetype Data'!$H$6:$H$687=$C231))</f>
        <v>0</v>
      </c>
      <c r="H231" s="15" cm="1">
        <f t="array" ref="H231">SUMPRODUCT('Archetype Data'!AI$6:AI$687,'Archetype Data'!$S$6:$S$687,--('Archetype Data'!$C$6:$C$687="Industry"),--('Archetype Data'!$D$6:$D$687=$B231),--('Archetype Data'!$H$6:$H$687=$C231))</f>
        <v>0</v>
      </c>
      <c r="I231" s="15" cm="1">
        <f t="array" ref="I231">SUMPRODUCT('Archetype Data'!AJ$6:AJ$687,'Archetype Data'!$S$6:$S$687,--('Archetype Data'!$C$6:$C$687="Industry"),--('Archetype Data'!$D$6:$D$687=$B231),--('Archetype Data'!$H$6:$H$687=$C231))</f>
        <v>0</v>
      </c>
      <c r="J231" s="15" cm="1">
        <f t="array" ref="J231">SUMPRODUCT('Archetype Data'!AK$6:AK$687,'Archetype Data'!$S$6:$S$687,--('Archetype Data'!$C$6:$C$687="Industry"),--('Archetype Data'!$D$6:$D$687=$B231),--('Archetype Data'!$H$6:$H$687=$C231))</f>
        <v>0</v>
      </c>
    </row>
    <row r="232" spans="2:10" outlineLevel="1">
      <c r="B232" t="s">
        <v>67</v>
      </c>
      <c r="C232" t="s">
        <v>114</v>
      </c>
      <c r="D232" s="15">
        <f>SUMIFS('Archetype Data'!AF$6:AF$687,'Archetype Data'!$C$6:$C$687,"Industry",'Archetype Data'!$D$6:$D$687,$B232, 'Archetype Data'!$H$6:$H$687,$C232)</f>
        <v>0</v>
      </c>
      <c r="E232" s="15">
        <f>SUMIFS('Archetype Data'!S$6:S$687,'Archetype Data'!$C$6:$C$687,"Industry",'Archetype Data'!$D$6:$D$687,$B232, 'Archetype Data'!$H$6:$H$687,$C232)</f>
        <v>0</v>
      </c>
      <c r="F232" s="15" cm="1">
        <f t="array" ref="F232">SUMPRODUCT('Archetype Data'!AG$6:AG$687,'Archetype Data'!$S$6:$S$687,--('Archetype Data'!$C$6:$C$687="Industry"),--('Archetype Data'!$D$6:$D$687=$B232),--('Archetype Data'!$H$6:$H$687=$C232))</f>
        <v>0</v>
      </c>
      <c r="G232" s="15" cm="1">
        <f t="array" ref="G232">SUMPRODUCT('Archetype Data'!AH$6:AH$687,'Archetype Data'!$S$6:$S$687,--('Archetype Data'!$C$6:$C$687="Industry"),--('Archetype Data'!$D$6:$D$687=$B232),--('Archetype Data'!$H$6:$H$687=$C232))</f>
        <v>0</v>
      </c>
      <c r="H232" s="15" cm="1">
        <f t="array" ref="H232">SUMPRODUCT('Archetype Data'!AI$6:AI$687,'Archetype Data'!$S$6:$S$687,--('Archetype Data'!$C$6:$C$687="Industry"),--('Archetype Data'!$D$6:$D$687=$B232),--('Archetype Data'!$H$6:$H$687=$C232))</f>
        <v>0</v>
      </c>
      <c r="I232" s="15" cm="1">
        <f t="array" ref="I232">SUMPRODUCT('Archetype Data'!AJ$6:AJ$687,'Archetype Data'!$S$6:$S$687,--('Archetype Data'!$C$6:$C$687="Industry"),--('Archetype Data'!$D$6:$D$687=$B232),--('Archetype Data'!$H$6:$H$687=$C232))</f>
        <v>0</v>
      </c>
      <c r="J232" s="15" cm="1">
        <f t="array" ref="J232">SUMPRODUCT('Archetype Data'!AK$6:AK$687,'Archetype Data'!$S$6:$S$687,--('Archetype Data'!$C$6:$C$687="Industry"),--('Archetype Data'!$D$6:$D$687=$B232),--('Archetype Data'!$H$6:$H$687=$C232))</f>
        <v>0</v>
      </c>
    </row>
    <row r="233" spans="2:10" outlineLevel="1">
      <c r="B233" t="s">
        <v>59</v>
      </c>
      <c r="C233" t="s">
        <v>117</v>
      </c>
      <c r="D233" s="15">
        <f>SUMIFS('Archetype Data'!AF$6:AF$687,'Archetype Data'!$C$6:$C$687,"Industry",'Archetype Data'!$D$6:$D$687,$B233, 'Archetype Data'!$H$6:$H$687,$C233)</f>
        <v>0.74044063593928833</v>
      </c>
      <c r="E233" s="15">
        <f>SUMIFS('Archetype Data'!S$6:S$687,'Archetype Data'!$C$6:$C$687,"Industry",'Archetype Data'!$D$6:$D$687,$B233, 'Archetype Data'!$H$6:$H$687,$C233)</f>
        <v>1.851101589848221</v>
      </c>
      <c r="F233" s="15" cm="1">
        <f t="array" ref="F233">SUMPRODUCT('Archetype Data'!AG$6:AG$687,'Archetype Data'!$S$6:$S$687,--('Archetype Data'!$C$6:$C$687="Industry"),--('Archetype Data'!$D$6:$D$687=$B233),--('Archetype Data'!$H$6:$H$687=$C233))</f>
        <v>581.88705489908227</v>
      </c>
      <c r="G233" s="15" cm="1">
        <f t="array" ref="G233">SUMPRODUCT('Archetype Data'!AH$6:AH$687,'Archetype Data'!$S$6:$S$687,--('Archetype Data'!$C$6:$C$687="Industry"),--('Archetype Data'!$D$6:$D$687=$B233),--('Archetype Data'!$H$6:$H$687=$C233))</f>
        <v>0</v>
      </c>
      <c r="H233" s="15" cm="1">
        <f t="array" ref="H233">SUMPRODUCT('Archetype Data'!AI$6:AI$687,'Archetype Data'!$S$6:$S$687,--('Archetype Data'!$C$6:$C$687="Industry"),--('Archetype Data'!$D$6:$D$687=$B233),--('Archetype Data'!$H$6:$H$687=$C233))</f>
        <v>581.88705489908227</v>
      </c>
      <c r="I233" s="15" cm="1">
        <f t="array" ref="I233">SUMPRODUCT('Archetype Data'!AJ$6:AJ$687,'Archetype Data'!$S$6:$S$687,--('Archetype Data'!$C$6:$C$687="Industry"),--('Archetype Data'!$D$6:$D$687=$B233),--('Archetype Data'!$H$6:$H$687=$C233))</f>
        <v>0</v>
      </c>
      <c r="J233" s="15" cm="1">
        <f t="array" ref="J233">SUMPRODUCT('Archetype Data'!AK$6:AK$687,'Archetype Data'!$S$6:$S$687,--('Archetype Data'!$C$6:$C$687="Industry"),--('Archetype Data'!$D$6:$D$687=$B233),--('Archetype Data'!$H$6:$H$687=$C233))</f>
        <v>0</v>
      </c>
    </row>
    <row r="234" spans="2:10" outlineLevel="1">
      <c r="B234" t="s">
        <v>59</v>
      </c>
      <c r="C234" t="s">
        <v>118</v>
      </c>
      <c r="D234" s="15">
        <f>SUMIFS('Archetype Data'!AF$6:AF$687,'Archetype Data'!$C$6:$C$687,"Industry",'Archetype Data'!$D$6:$D$687,$B234, 'Archetype Data'!$H$6:$H$687,$C234)</f>
        <v>0</v>
      </c>
      <c r="E234" s="15">
        <f>SUMIFS('Archetype Data'!S$6:S$687,'Archetype Data'!$C$6:$C$687,"Industry",'Archetype Data'!$D$6:$D$687,$B234, 'Archetype Data'!$H$6:$H$687,$C234)</f>
        <v>0</v>
      </c>
      <c r="F234" s="15" cm="1">
        <f t="array" ref="F234">SUMPRODUCT('Archetype Data'!AG$6:AG$687,'Archetype Data'!$S$6:$S$687,--('Archetype Data'!$C$6:$C$687="Industry"),--('Archetype Data'!$D$6:$D$687=$B234),--('Archetype Data'!$H$6:$H$687=$C234))</f>
        <v>0</v>
      </c>
      <c r="G234" s="15" cm="1">
        <f t="array" ref="G234">SUMPRODUCT('Archetype Data'!AH$6:AH$687,'Archetype Data'!$S$6:$S$687,--('Archetype Data'!$C$6:$C$687="Industry"),--('Archetype Data'!$D$6:$D$687=$B234),--('Archetype Data'!$H$6:$H$687=$C234))</f>
        <v>0</v>
      </c>
      <c r="H234" s="15" cm="1">
        <f t="array" ref="H234">SUMPRODUCT('Archetype Data'!AI$6:AI$687,'Archetype Data'!$S$6:$S$687,--('Archetype Data'!$C$6:$C$687="Industry"),--('Archetype Data'!$D$6:$D$687=$B234),--('Archetype Data'!$H$6:$H$687=$C234))</f>
        <v>0</v>
      </c>
      <c r="I234" s="15" cm="1">
        <f t="array" ref="I234">SUMPRODUCT('Archetype Data'!AJ$6:AJ$687,'Archetype Data'!$S$6:$S$687,--('Archetype Data'!$C$6:$C$687="Industry"),--('Archetype Data'!$D$6:$D$687=$B234),--('Archetype Data'!$H$6:$H$687=$C234))</f>
        <v>0</v>
      </c>
      <c r="J234" s="15" cm="1">
        <f t="array" ref="J234">SUMPRODUCT('Archetype Data'!AK$6:AK$687,'Archetype Data'!$S$6:$S$687,--('Archetype Data'!$C$6:$C$687="Industry"),--('Archetype Data'!$D$6:$D$687=$B234),--('Archetype Data'!$H$6:$H$687=$C234))</f>
        <v>0</v>
      </c>
    </row>
    <row r="235" spans="2:10" outlineLevel="1">
      <c r="B235" t="s">
        <v>59</v>
      </c>
      <c r="C235" t="s">
        <v>119</v>
      </c>
      <c r="D235" s="15">
        <f>SUMIFS('Archetype Data'!AF$6:AF$687,'Archetype Data'!$C$6:$C$687,"Industry",'Archetype Data'!$D$6:$D$687,$B235, 'Archetype Data'!$H$6:$H$687,$C235)</f>
        <v>1.1106609539089327</v>
      </c>
      <c r="E235" s="15">
        <f>SUMIFS('Archetype Data'!S$6:S$687,'Archetype Data'!$C$6:$C$687,"Industry",'Archetype Data'!$D$6:$D$687,$B235, 'Archetype Data'!$H$6:$H$687,$C235)</f>
        <v>1.851101589848221</v>
      </c>
      <c r="F235" s="15" cm="1">
        <f t="array" ref="F235">SUMPRODUCT('Archetype Data'!AG$6:AG$687,'Archetype Data'!$S$6:$S$687,--('Archetype Data'!$C$6:$C$687="Industry"),--('Archetype Data'!$D$6:$D$687=$B235),--('Archetype Data'!$H$6:$H$687=$C235))</f>
        <v>806.41955977861949</v>
      </c>
      <c r="G235" s="15" cm="1">
        <f t="array" ref="G235">SUMPRODUCT('Archetype Data'!AH$6:AH$687,'Archetype Data'!$S$6:$S$687,--('Archetype Data'!$C$6:$C$687="Industry"),--('Archetype Data'!$D$6:$D$687=$B235),--('Archetype Data'!$H$6:$H$687=$C235))</f>
        <v>806.41955977861949</v>
      </c>
      <c r="H235" s="15" cm="1">
        <f t="array" ref="H235">SUMPRODUCT('Archetype Data'!AI$6:AI$687,'Archetype Data'!$S$6:$S$687,--('Archetype Data'!$C$6:$C$687="Industry"),--('Archetype Data'!$D$6:$D$687=$B235),--('Archetype Data'!$H$6:$H$687=$C235))</f>
        <v>0</v>
      </c>
      <c r="I235" s="15" cm="1">
        <f t="array" ref="I235">SUMPRODUCT('Archetype Data'!AJ$6:AJ$687,'Archetype Data'!$S$6:$S$687,--('Archetype Data'!$C$6:$C$687="Industry"),--('Archetype Data'!$D$6:$D$687=$B235),--('Archetype Data'!$H$6:$H$687=$C235))</f>
        <v>0</v>
      </c>
      <c r="J235" s="15" cm="1">
        <f t="array" ref="J235">SUMPRODUCT('Archetype Data'!AK$6:AK$687,'Archetype Data'!$S$6:$S$687,--('Archetype Data'!$C$6:$C$687="Industry"),--('Archetype Data'!$D$6:$D$687=$B235),--('Archetype Data'!$H$6:$H$687=$C235))</f>
        <v>0</v>
      </c>
    </row>
    <row r="236" spans="2:10" outlineLevel="1">
      <c r="B236" t="s">
        <v>60</v>
      </c>
      <c r="C236" t="s">
        <v>120</v>
      </c>
      <c r="D236" s="15">
        <f>SUMIFS('Archetype Data'!AF$6:AF$687,'Archetype Data'!$C$6:$C$687,"Industry",'Archetype Data'!$D$6:$D$687,$B236, 'Archetype Data'!$H$6:$H$687,$C236)</f>
        <v>2.4894229547619218</v>
      </c>
      <c r="E236" s="15">
        <f>SUMIFS('Archetype Data'!S$6:S$687,'Archetype Data'!$C$6:$C$687,"Industry",'Archetype Data'!$D$6:$D$687,$B236, 'Archetype Data'!$H$6:$H$687,$C236)</f>
        <v>2.5664154172803317</v>
      </c>
      <c r="F236" s="15" cm="1">
        <f t="array" ref="F236">SUMPRODUCT('Archetype Data'!AG$6:AG$687,'Archetype Data'!$S$6:$S$687,--('Archetype Data'!$C$6:$C$687="Industry"),--('Archetype Data'!$D$6:$D$687=$B236),--('Archetype Data'!$H$6:$H$687=$C236))</f>
        <v>1798547.900702131</v>
      </c>
      <c r="G236" s="15" cm="1">
        <f t="array" ref="G236">SUMPRODUCT('Archetype Data'!AH$6:AH$687,'Archetype Data'!$S$6:$S$687,--('Archetype Data'!$C$6:$C$687="Industry"),--('Archetype Data'!$D$6:$D$687=$B236),--('Archetype Data'!$H$6:$H$687=$C236))</f>
        <v>1798547.900702131</v>
      </c>
      <c r="H236" s="15" cm="1">
        <f t="array" ref="H236">SUMPRODUCT('Archetype Data'!AI$6:AI$687,'Archetype Data'!$S$6:$S$687,--('Archetype Data'!$C$6:$C$687="Industry"),--('Archetype Data'!$D$6:$D$687=$B236),--('Archetype Data'!$H$6:$H$687=$C236))</f>
        <v>0</v>
      </c>
      <c r="I236" s="15" cm="1">
        <f t="array" ref="I236">SUMPRODUCT('Archetype Data'!AJ$6:AJ$687,'Archetype Data'!$S$6:$S$687,--('Archetype Data'!$C$6:$C$687="Industry"),--('Archetype Data'!$D$6:$D$687=$B236),--('Archetype Data'!$H$6:$H$687=$C236))</f>
        <v>0</v>
      </c>
      <c r="J236" s="15" cm="1">
        <f t="array" ref="J236">SUMPRODUCT('Archetype Data'!AK$6:AK$687,'Archetype Data'!$S$6:$S$687,--('Archetype Data'!$C$6:$C$687="Industry"),--('Archetype Data'!$D$6:$D$687=$B236),--('Archetype Data'!$H$6:$H$687=$C236))</f>
        <v>0</v>
      </c>
    </row>
    <row r="237" spans="2:10" outlineLevel="1">
      <c r="B237" t="s">
        <v>60</v>
      </c>
      <c r="C237" t="s">
        <v>119</v>
      </c>
      <c r="D237" s="15">
        <f>SUMIFS('Archetype Data'!AF$6:AF$687,'Archetype Data'!$C$6:$C$687,"Industry",'Archetype Data'!$D$6:$D$687,$B237, 'Archetype Data'!$H$6:$H$687,$C237)</f>
        <v>0</v>
      </c>
      <c r="E237" s="15">
        <f>SUMIFS('Archetype Data'!S$6:S$687,'Archetype Data'!$C$6:$C$687,"Industry",'Archetype Data'!$D$6:$D$687,$B237, 'Archetype Data'!$H$6:$H$687,$C237)</f>
        <v>0</v>
      </c>
      <c r="F237" s="15" cm="1">
        <f t="array" ref="F237">SUMPRODUCT('Archetype Data'!AG$6:AG$687,'Archetype Data'!$S$6:$S$687,--('Archetype Data'!$C$6:$C$687="Industry"),--('Archetype Data'!$D$6:$D$687=$B237),--('Archetype Data'!$H$6:$H$687=$C237))</f>
        <v>0</v>
      </c>
      <c r="G237" s="15" cm="1">
        <f t="array" ref="G237">SUMPRODUCT('Archetype Data'!AH$6:AH$687,'Archetype Data'!$S$6:$S$687,--('Archetype Data'!$C$6:$C$687="Industry"),--('Archetype Data'!$D$6:$D$687=$B237),--('Archetype Data'!$H$6:$H$687=$C237))</f>
        <v>0</v>
      </c>
      <c r="H237" s="15" cm="1">
        <f t="array" ref="H237">SUMPRODUCT('Archetype Data'!AI$6:AI$687,'Archetype Data'!$S$6:$S$687,--('Archetype Data'!$C$6:$C$687="Industry"),--('Archetype Data'!$D$6:$D$687=$B237),--('Archetype Data'!$H$6:$H$687=$C237))</f>
        <v>0</v>
      </c>
      <c r="I237" s="15" cm="1">
        <f t="array" ref="I237">SUMPRODUCT('Archetype Data'!AJ$6:AJ$687,'Archetype Data'!$S$6:$S$687,--('Archetype Data'!$C$6:$C$687="Industry"),--('Archetype Data'!$D$6:$D$687=$B237),--('Archetype Data'!$H$6:$H$687=$C237))</f>
        <v>0</v>
      </c>
      <c r="J237" s="15" cm="1">
        <f t="array" ref="J237">SUMPRODUCT('Archetype Data'!AK$6:AK$687,'Archetype Data'!$S$6:$S$687,--('Archetype Data'!$C$6:$C$687="Industry"),--('Archetype Data'!$D$6:$D$687=$B237),--('Archetype Data'!$H$6:$H$687=$C237))</f>
        <v>0</v>
      </c>
    </row>
    <row r="238" spans="2:10" outlineLevel="1">
      <c r="B238" t="s">
        <v>60</v>
      </c>
      <c r="C238" t="s">
        <v>121</v>
      </c>
      <c r="D238" s="15">
        <f>SUMIFS('Archetype Data'!AF$6:AF$687,'Archetype Data'!$C$6:$C$687,"Industry",'Archetype Data'!$D$6:$D$687,$B238, 'Archetype Data'!$H$6:$H$687,$C238)</f>
        <v>7.6992462518409965E-2</v>
      </c>
      <c r="E238" s="15">
        <f>SUMIFS('Archetype Data'!S$6:S$687,'Archetype Data'!$C$6:$C$687,"Industry",'Archetype Data'!$D$6:$D$687,$B238, 'Archetype Data'!$H$6:$H$687,$C238)</f>
        <v>2.5664154172803317</v>
      </c>
      <c r="F238" s="15" cm="1">
        <f t="array" ref="F238">SUMPRODUCT('Archetype Data'!AG$6:AG$687,'Archetype Data'!$S$6:$S$687,--('Archetype Data'!$C$6:$C$687="Industry"),--('Archetype Data'!$D$6:$D$687=$B238),--('Archetype Data'!$H$6:$H$687=$C238))</f>
        <v>56861.308200892126</v>
      </c>
      <c r="G238" s="15" cm="1">
        <f t="array" ref="G238">SUMPRODUCT('Archetype Data'!AH$6:AH$687,'Archetype Data'!$S$6:$S$687,--('Archetype Data'!$C$6:$C$687="Industry"),--('Archetype Data'!$D$6:$D$687=$B238),--('Archetype Data'!$H$6:$H$687=$C238))</f>
        <v>0</v>
      </c>
      <c r="H238" s="15" cm="1">
        <f t="array" ref="H238">SUMPRODUCT('Archetype Data'!AI$6:AI$687,'Archetype Data'!$S$6:$S$687,--('Archetype Data'!$C$6:$C$687="Industry"),--('Archetype Data'!$D$6:$D$687=$B238),--('Archetype Data'!$H$6:$H$687=$C238))</f>
        <v>56861.308200892126</v>
      </c>
      <c r="I238" s="15" cm="1">
        <f t="array" ref="I238">SUMPRODUCT('Archetype Data'!AJ$6:AJ$687,'Archetype Data'!$S$6:$S$687,--('Archetype Data'!$C$6:$C$687="Industry"),--('Archetype Data'!$D$6:$D$687=$B238),--('Archetype Data'!$H$6:$H$687=$C238))</f>
        <v>0</v>
      </c>
      <c r="J238" s="15" cm="1">
        <f t="array" ref="J238">SUMPRODUCT('Archetype Data'!AK$6:AK$687,'Archetype Data'!$S$6:$S$687,--('Archetype Data'!$C$6:$C$687="Industry"),--('Archetype Data'!$D$6:$D$687=$B238),--('Archetype Data'!$H$6:$H$687=$C238))</f>
        <v>0</v>
      </c>
    </row>
    <row r="239" spans="2:10" outlineLevel="1">
      <c r="B239" t="s">
        <v>61</v>
      </c>
      <c r="C239" t="s">
        <v>117</v>
      </c>
      <c r="D239" s="15">
        <f>SUMIFS('Archetype Data'!AF$6:AF$687,'Archetype Data'!$C$6:$C$687,"Industry",'Archetype Data'!$D$6:$D$687,$B239, 'Archetype Data'!$H$6:$H$687,$C239)</f>
        <v>0</v>
      </c>
      <c r="E239" s="15">
        <f>SUMIFS('Archetype Data'!S$6:S$687,'Archetype Data'!$C$6:$C$687,"Industry",'Archetype Data'!$D$6:$D$687,$B239, 'Archetype Data'!$H$6:$H$687,$C239)</f>
        <v>0</v>
      </c>
      <c r="F239" s="15" cm="1">
        <f t="array" ref="F239">SUMPRODUCT('Archetype Data'!AG$6:AG$687,'Archetype Data'!$S$6:$S$687,--('Archetype Data'!$C$6:$C$687="Industry"),--('Archetype Data'!$D$6:$D$687=$B239),--('Archetype Data'!$H$6:$H$687=$C239))</f>
        <v>0</v>
      </c>
      <c r="G239" s="15" cm="1">
        <f t="array" ref="G239">SUMPRODUCT('Archetype Data'!AH$6:AH$687,'Archetype Data'!$S$6:$S$687,--('Archetype Data'!$C$6:$C$687="Industry"),--('Archetype Data'!$D$6:$D$687=$B239),--('Archetype Data'!$H$6:$H$687=$C239))</f>
        <v>0</v>
      </c>
      <c r="H239" s="15" cm="1">
        <f t="array" ref="H239">SUMPRODUCT('Archetype Data'!AI$6:AI$687,'Archetype Data'!$S$6:$S$687,--('Archetype Data'!$C$6:$C$687="Industry"),--('Archetype Data'!$D$6:$D$687=$B239),--('Archetype Data'!$H$6:$H$687=$C239))</f>
        <v>0</v>
      </c>
      <c r="I239" s="15" cm="1">
        <f t="array" ref="I239">SUMPRODUCT('Archetype Data'!AJ$6:AJ$687,'Archetype Data'!$S$6:$S$687,--('Archetype Data'!$C$6:$C$687="Industry"),--('Archetype Data'!$D$6:$D$687=$B239),--('Archetype Data'!$H$6:$H$687=$C239))</f>
        <v>0</v>
      </c>
      <c r="J239" s="15" cm="1">
        <f t="array" ref="J239">SUMPRODUCT('Archetype Data'!AK$6:AK$687,'Archetype Data'!$S$6:$S$687,--('Archetype Data'!$C$6:$C$687="Industry"),--('Archetype Data'!$D$6:$D$687=$B239),--('Archetype Data'!$H$6:$H$687=$C239))</f>
        <v>0</v>
      </c>
    </row>
    <row r="240" spans="2:10" outlineLevel="1">
      <c r="B240" t="s">
        <v>61</v>
      </c>
      <c r="C240" t="s">
        <v>118</v>
      </c>
      <c r="D240" s="15">
        <f>SUMIFS('Archetype Data'!AF$6:AF$687,'Archetype Data'!$C$6:$C$687,"Industry",'Archetype Data'!$D$6:$D$687,$B240, 'Archetype Data'!$H$6:$H$687,$C240)</f>
        <v>0</v>
      </c>
      <c r="E240" s="15">
        <f>SUMIFS('Archetype Data'!S$6:S$687,'Archetype Data'!$C$6:$C$687,"Industry",'Archetype Data'!$D$6:$D$687,$B240, 'Archetype Data'!$H$6:$H$687,$C240)</f>
        <v>0</v>
      </c>
      <c r="F240" s="15" cm="1">
        <f t="array" ref="F240">SUMPRODUCT('Archetype Data'!AG$6:AG$687,'Archetype Data'!$S$6:$S$687,--('Archetype Data'!$C$6:$C$687="Industry"),--('Archetype Data'!$D$6:$D$687=$B240),--('Archetype Data'!$H$6:$H$687=$C240))</f>
        <v>0</v>
      </c>
      <c r="G240" s="15" cm="1">
        <f t="array" ref="G240">SUMPRODUCT('Archetype Data'!AH$6:AH$687,'Archetype Data'!$S$6:$S$687,--('Archetype Data'!$C$6:$C$687="Industry"),--('Archetype Data'!$D$6:$D$687=$B240),--('Archetype Data'!$H$6:$H$687=$C240))</f>
        <v>0</v>
      </c>
      <c r="H240" s="15" cm="1">
        <f t="array" ref="H240">SUMPRODUCT('Archetype Data'!AI$6:AI$687,'Archetype Data'!$S$6:$S$687,--('Archetype Data'!$C$6:$C$687="Industry"),--('Archetype Data'!$D$6:$D$687=$B240),--('Archetype Data'!$H$6:$H$687=$C240))</f>
        <v>0</v>
      </c>
      <c r="I240" s="15" cm="1">
        <f t="array" ref="I240">SUMPRODUCT('Archetype Data'!AJ$6:AJ$687,'Archetype Data'!$S$6:$S$687,--('Archetype Data'!$C$6:$C$687="Industry"),--('Archetype Data'!$D$6:$D$687=$B240),--('Archetype Data'!$H$6:$H$687=$C240))</f>
        <v>0</v>
      </c>
      <c r="J240" s="15" cm="1">
        <f t="array" ref="J240">SUMPRODUCT('Archetype Data'!AK$6:AK$687,'Archetype Data'!$S$6:$S$687,--('Archetype Data'!$C$6:$C$687="Industry"),--('Archetype Data'!$D$6:$D$687=$B240),--('Archetype Data'!$H$6:$H$687=$C240))</f>
        <v>0</v>
      </c>
    </row>
    <row r="241" spans="2:10" outlineLevel="1">
      <c r="B241" t="s">
        <v>61</v>
      </c>
      <c r="C241" t="s">
        <v>119</v>
      </c>
      <c r="D241" s="15">
        <f>SUMIFS('Archetype Data'!AF$6:AF$687,'Archetype Data'!$C$6:$C$687,"Industry",'Archetype Data'!$D$6:$D$687,$B241, 'Archetype Data'!$H$6:$H$687,$C241)</f>
        <v>0</v>
      </c>
      <c r="E241" s="15">
        <f>SUMIFS('Archetype Data'!S$6:S$687,'Archetype Data'!$C$6:$C$687,"Industry",'Archetype Data'!$D$6:$D$687,$B241, 'Archetype Data'!$H$6:$H$687,$C241)</f>
        <v>0</v>
      </c>
      <c r="F241" s="15" cm="1">
        <f t="array" ref="F241">SUMPRODUCT('Archetype Data'!AG$6:AG$687,'Archetype Data'!$S$6:$S$687,--('Archetype Data'!$C$6:$C$687="Industry"),--('Archetype Data'!$D$6:$D$687=$B241),--('Archetype Data'!$H$6:$H$687=$C241))</f>
        <v>0</v>
      </c>
      <c r="G241" s="15" cm="1">
        <f t="array" ref="G241">SUMPRODUCT('Archetype Data'!AH$6:AH$687,'Archetype Data'!$S$6:$S$687,--('Archetype Data'!$C$6:$C$687="Industry"),--('Archetype Data'!$D$6:$D$687=$B241),--('Archetype Data'!$H$6:$H$687=$C241))</f>
        <v>0</v>
      </c>
      <c r="H241" s="15" cm="1">
        <f t="array" ref="H241">SUMPRODUCT('Archetype Data'!AI$6:AI$687,'Archetype Data'!$S$6:$S$687,--('Archetype Data'!$C$6:$C$687="Industry"),--('Archetype Data'!$D$6:$D$687=$B241),--('Archetype Data'!$H$6:$H$687=$C241))</f>
        <v>0</v>
      </c>
      <c r="I241" s="15" cm="1">
        <f t="array" ref="I241">SUMPRODUCT('Archetype Data'!AJ$6:AJ$687,'Archetype Data'!$S$6:$S$687,--('Archetype Data'!$C$6:$C$687="Industry"),--('Archetype Data'!$D$6:$D$687=$B241),--('Archetype Data'!$H$6:$H$687=$C241))</f>
        <v>0</v>
      </c>
      <c r="J241" s="15" cm="1">
        <f t="array" ref="J241">SUMPRODUCT('Archetype Data'!AK$6:AK$687,'Archetype Data'!$S$6:$S$687,--('Archetype Data'!$C$6:$C$687="Industry"),--('Archetype Data'!$D$6:$D$687=$B241),--('Archetype Data'!$H$6:$H$687=$C241))</f>
        <v>0</v>
      </c>
    </row>
    <row r="242" spans="2:10" outlineLevel="1">
      <c r="B242" t="s">
        <v>62</v>
      </c>
      <c r="C242" t="s">
        <v>117</v>
      </c>
      <c r="D242" s="15">
        <f>SUMIFS('Archetype Data'!AF$6:AF$687,'Archetype Data'!$C$6:$C$687,"Industry",'Archetype Data'!$D$6:$D$687,$B242, 'Archetype Data'!$H$6:$H$687,$C242)</f>
        <v>0</v>
      </c>
      <c r="E242" s="15">
        <f>SUMIFS('Archetype Data'!S$6:S$687,'Archetype Data'!$C$6:$C$687,"Industry",'Archetype Data'!$D$6:$D$687,$B242, 'Archetype Data'!$H$6:$H$687,$C242)</f>
        <v>0</v>
      </c>
      <c r="F242" s="15" cm="1">
        <f t="array" ref="F242">SUMPRODUCT('Archetype Data'!AG$6:AG$687,'Archetype Data'!$S$6:$S$687,--('Archetype Data'!$C$6:$C$687="Industry"),--('Archetype Data'!$D$6:$D$687=$B242),--('Archetype Data'!$H$6:$H$687=$C242))</f>
        <v>0</v>
      </c>
      <c r="G242" s="15" cm="1">
        <f t="array" ref="G242">SUMPRODUCT('Archetype Data'!AH$6:AH$687,'Archetype Data'!$S$6:$S$687,--('Archetype Data'!$C$6:$C$687="Industry"),--('Archetype Data'!$D$6:$D$687=$B242),--('Archetype Data'!$H$6:$H$687=$C242))</f>
        <v>0</v>
      </c>
      <c r="H242" s="15" cm="1">
        <f t="array" ref="H242">SUMPRODUCT('Archetype Data'!AI$6:AI$687,'Archetype Data'!$S$6:$S$687,--('Archetype Data'!$C$6:$C$687="Industry"),--('Archetype Data'!$D$6:$D$687=$B242),--('Archetype Data'!$H$6:$H$687=$C242))</f>
        <v>0</v>
      </c>
      <c r="I242" s="15" cm="1">
        <f t="array" ref="I242">SUMPRODUCT('Archetype Data'!AJ$6:AJ$687,'Archetype Data'!$S$6:$S$687,--('Archetype Data'!$C$6:$C$687="Industry"),--('Archetype Data'!$D$6:$D$687=$B242),--('Archetype Data'!$H$6:$H$687=$C242))</f>
        <v>0</v>
      </c>
      <c r="J242" s="15" cm="1">
        <f t="array" ref="J242">SUMPRODUCT('Archetype Data'!AK$6:AK$687,'Archetype Data'!$S$6:$S$687,--('Archetype Data'!$C$6:$C$687="Industry"),--('Archetype Data'!$D$6:$D$687=$B242),--('Archetype Data'!$H$6:$H$687=$C242))</f>
        <v>0</v>
      </c>
    </row>
    <row r="243" spans="2:10" outlineLevel="1">
      <c r="B243" t="s">
        <v>62</v>
      </c>
      <c r="C243" t="s">
        <v>121</v>
      </c>
      <c r="D243" s="15">
        <f>SUMIFS('Archetype Data'!AF$6:AF$687,'Archetype Data'!$C$6:$C$687,"Industry",'Archetype Data'!$D$6:$D$687,$B243, 'Archetype Data'!$H$6:$H$687,$C243)</f>
        <v>0</v>
      </c>
      <c r="E243" s="15">
        <f>SUMIFS('Archetype Data'!S$6:S$687,'Archetype Data'!$C$6:$C$687,"Industry",'Archetype Data'!$D$6:$D$687,$B243, 'Archetype Data'!$H$6:$H$687,$C243)</f>
        <v>0</v>
      </c>
      <c r="F243" s="15" cm="1">
        <f t="array" ref="F243">SUMPRODUCT('Archetype Data'!AG$6:AG$687,'Archetype Data'!$S$6:$S$687,--('Archetype Data'!$C$6:$C$687="Industry"),--('Archetype Data'!$D$6:$D$687=$B243),--('Archetype Data'!$H$6:$H$687=$C243))</f>
        <v>0</v>
      </c>
      <c r="G243" s="15" cm="1">
        <f t="array" ref="G243">SUMPRODUCT('Archetype Data'!AH$6:AH$687,'Archetype Data'!$S$6:$S$687,--('Archetype Data'!$C$6:$C$687="Industry"),--('Archetype Data'!$D$6:$D$687=$B243),--('Archetype Data'!$H$6:$H$687=$C243))</f>
        <v>0</v>
      </c>
      <c r="H243" s="15" cm="1">
        <f t="array" ref="H243">SUMPRODUCT('Archetype Data'!AI$6:AI$687,'Archetype Data'!$S$6:$S$687,--('Archetype Data'!$C$6:$C$687="Industry"),--('Archetype Data'!$D$6:$D$687=$B243),--('Archetype Data'!$H$6:$H$687=$C243))</f>
        <v>0</v>
      </c>
      <c r="I243" s="15" cm="1">
        <f t="array" ref="I243">SUMPRODUCT('Archetype Data'!AJ$6:AJ$687,'Archetype Data'!$S$6:$S$687,--('Archetype Data'!$C$6:$C$687="Industry"),--('Archetype Data'!$D$6:$D$687=$B243),--('Archetype Data'!$H$6:$H$687=$C243))</f>
        <v>0</v>
      </c>
      <c r="J243" s="15" cm="1">
        <f t="array" ref="J243">SUMPRODUCT('Archetype Data'!AK$6:AK$687,'Archetype Data'!$S$6:$S$687,--('Archetype Data'!$C$6:$C$687="Industry"),--('Archetype Data'!$D$6:$D$687=$B243),--('Archetype Data'!$H$6:$H$687=$C243))</f>
        <v>0</v>
      </c>
    </row>
    <row r="244" spans="2:10" outlineLevel="1">
      <c r="B244" t="s">
        <v>63</v>
      </c>
      <c r="C244" t="s">
        <v>122</v>
      </c>
      <c r="D244" s="15">
        <f>SUMIFS('Archetype Data'!AF$6:AF$687,'Archetype Data'!$C$6:$C$687,"Industry",'Archetype Data'!$D$6:$D$687,$B244, 'Archetype Data'!$H$6:$H$687,$C244)</f>
        <v>2.8790229906970926E-2</v>
      </c>
      <c r="E244" s="15">
        <f>SUMIFS('Archetype Data'!S$6:S$687,'Archetype Data'!$C$6:$C$687,"Industry",'Archetype Data'!$D$6:$D$687,$B244, 'Archetype Data'!$H$6:$H$687,$C244)</f>
        <v>0.28790229906970927</v>
      </c>
      <c r="F244" s="15" cm="1">
        <f t="array" ref="F244">SUMPRODUCT('Archetype Data'!AG$6:AG$687,'Archetype Data'!$S$6:$S$687,--('Archetype Data'!$C$6:$C$687="Industry"),--('Archetype Data'!$D$6:$D$687=$B244),--('Archetype Data'!$H$6:$H$687=$C244))</f>
        <v>1126.4444234751854</v>
      </c>
      <c r="G244" s="15" cm="1">
        <f t="array" ref="G244">SUMPRODUCT('Archetype Data'!AH$6:AH$687,'Archetype Data'!$S$6:$S$687,--('Archetype Data'!$C$6:$C$687="Industry"),--('Archetype Data'!$D$6:$D$687=$B244),--('Archetype Data'!$H$6:$H$687=$C244))</f>
        <v>1126.4444234751854</v>
      </c>
      <c r="H244" s="15" cm="1">
        <f t="array" ref="H244">SUMPRODUCT('Archetype Data'!AI$6:AI$687,'Archetype Data'!$S$6:$S$687,--('Archetype Data'!$C$6:$C$687="Industry"),--('Archetype Data'!$D$6:$D$687=$B244),--('Archetype Data'!$H$6:$H$687=$C244))</f>
        <v>0</v>
      </c>
      <c r="I244" s="15" cm="1">
        <f t="array" ref="I244">SUMPRODUCT('Archetype Data'!AJ$6:AJ$687,'Archetype Data'!$S$6:$S$687,--('Archetype Data'!$C$6:$C$687="Industry"),--('Archetype Data'!$D$6:$D$687=$B244),--('Archetype Data'!$H$6:$H$687=$C244))</f>
        <v>0</v>
      </c>
      <c r="J244" s="15" cm="1">
        <f t="array" ref="J244">SUMPRODUCT('Archetype Data'!AK$6:AK$687,'Archetype Data'!$S$6:$S$687,--('Archetype Data'!$C$6:$C$687="Industry"),--('Archetype Data'!$D$6:$D$687=$B244),--('Archetype Data'!$H$6:$H$687=$C244))</f>
        <v>0</v>
      </c>
    </row>
    <row r="245" spans="2:10" outlineLevel="1">
      <c r="B245" t="s">
        <v>63</v>
      </c>
      <c r="C245" t="s">
        <v>117</v>
      </c>
      <c r="D245" s="15">
        <f>SUMIFS('Archetype Data'!AF$6:AF$687,'Archetype Data'!$C$6:$C$687,"Industry",'Archetype Data'!$D$6:$D$687,$B245, 'Archetype Data'!$H$6:$H$687,$C245)</f>
        <v>0.17274137944182552</v>
      </c>
      <c r="E245" s="15">
        <f>SUMIFS('Archetype Data'!S$6:S$687,'Archetype Data'!$C$6:$C$687,"Industry",'Archetype Data'!$D$6:$D$687,$B245, 'Archetype Data'!$H$6:$H$687,$C245)</f>
        <v>0.57580459813941842</v>
      </c>
      <c r="F245" s="15" cm="1">
        <f t="array" ref="F245">SUMPRODUCT('Archetype Data'!AG$6:AG$687,'Archetype Data'!$S$6:$S$687,--('Archetype Data'!$C$6:$C$687="Industry"),--('Archetype Data'!$D$6:$D$687=$B245),--('Archetype Data'!$H$6:$H$687=$C245))</f>
        <v>7315.2626089212035</v>
      </c>
      <c r="G245" s="15" cm="1">
        <f t="array" ref="G245">SUMPRODUCT('Archetype Data'!AH$6:AH$687,'Archetype Data'!$S$6:$S$687,--('Archetype Data'!$C$6:$C$687="Industry"),--('Archetype Data'!$D$6:$D$687=$B245),--('Archetype Data'!$H$6:$H$687=$C245))</f>
        <v>0</v>
      </c>
      <c r="H245" s="15" cm="1">
        <f t="array" ref="H245">SUMPRODUCT('Archetype Data'!AI$6:AI$687,'Archetype Data'!$S$6:$S$687,--('Archetype Data'!$C$6:$C$687="Industry"),--('Archetype Data'!$D$6:$D$687=$B245),--('Archetype Data'!$H$6:$H$687=$C245))</f>
        <v>0</v>
      </c>
      <c r="I245" s="15" cm="1">
        <f t="array" ref="I245">SUMPRODUCT('Archetype Data'!AJ$6:AJ$687,'Archetype Data'!$S$6:$S$687,--('Archetype Data'!$C$6:$C$687="Industry"),--('Archetype Data'!$D$6:$D$687=$B245),--('Archetype Data'!$H$6:$H$687=$C245))</f>
        <v>7315.2626089212035</v>
      </c>
      <c r="J245" s="15" cm="1">
        <f t="array" ref="J245">SUMPRODUCT('Archetype Data'!AK$6:AK$687,'Archetype Data'!$S$6:$S$687,--('Archetype Data'!$C$6:$C$687="Industry"),--('Archetype Data'!$D$6:$D$687=$B245),--('Archetype Data'!$H$6:$H$687=$C245))</f>
        <v>0</v>
      </c>
    </row>
    <row r="246" spans="2:10" outlineLevel="1">
      <c r="B246" t="s">
        <v>63</v>
      </c>
      <c r="C246" t="s">
        <v>121</v>
      </c>
      <c r="D246" s="15">
        <f>SUMIFS('Archetype Data'!AF$6:AF$687,'Archetype Data'!$C$6:$C$687,"Industry",'Archetype Data'!$D$6:$D$687,$B246, 'Archetype Data'!$H$6:$H$687,$C246)</f>
        <v>8.6370689720912761E-2</v>
      </c>
      <c r="E246" s="15">
        <f>SUMIFS('Archetype Data'!S$6:S$687,'Archetype Data'!$C$6:$C$687,"Industry",'Archetype Data'!$D$6:$D$687,$B246, 'Archetype Data'!$H$6:$H$687,$C246)</f>
        <v>0.57580459813941842</v>
      </c>
      <c r="F246" s="15" cm="1">
        <f t="array" ref="F246">SUMPRODUCT('Archetype Data'!AG$6:AG$687,'Archetype Data'!$S$6:$S$687,--('Archetype Data'!$C$6:$C$687="Industry"),--('Archetype Data'!$D$6:$D$687=$B246),--('Archetype Data'!$H$6:$H$687=$C246))</f>
        <v>3657.6313044606018</v>
      </c>
      <c r="G246" s="15" cm="1">
        <f t="array" ref="G246">SUMPRODUCT('Archetype Data'!AH$6:AH$687,'Archetype Data'!$S$6:$S$687,--('Archetype Data'!$C$6:$C$687="Industry"),--('Archetype Data'!$D$6:$D$687=$B246),--('Archetype Data'!$H$6:$H$687=$C246))</f>
        <v>0</v>
      </c>
      <c r="H246" s="15" cm="1">
        <f t="array" ref="H246">SUMPRODUCT('Archetype Data'!AI$6:AI$687,'Archetype Data'!$S$6:$S$687,--('Archetype Data'!$C$6:$C$687="Industry"),--('Archetype Data'!$D$6:$D$687=$B246),--('Archetype Data'!$H$6:$H$687=$C246))</f>
        <v>3657.6313044606018</v>
      </c>
      <c r="I246" s="15" cm="1">
        <f t="array" ref="I246">SUMPRODUCT('Archetype Data'!AJ$6:AJ$687,'Archetype Data'!$S$6:$S$687,--('Archetype Data'!$C$6:$C$687="Industry"),--('Archetype Data'!$D$6:$D$687=$B246),--('Archetype Data'!$H$6:$H$687=$C246))</f>
        <v>0</v>
      </c>
      <c r="J246" s="15" cm="1">
        <f t="array" ref="J246">SUMPRODUCT('Archetype Data'!AK$6:AK$687,'Archetype Data'!$S$6:$S$687,--('Archetype Data'!$C$6:$C$687="Industry"),--('Archetype Data'!$D$6:$D$687=$B246),--('Archetype Data'!$H$6:$H$687=$C246))</f>
        <v>0</v>
      </c>
    </row>
    <row r="247" spans="2:10" outlineLevel="1">
      <c r="B247" t="s">
        <v>64</v>
      </c>
      <c r="C247" t="s">
        <v>117</v>
      </c>
      <c r="D247" s="15">
        <f>SUMIFS('Archetype Data'!AF$6:AF$687,'Archetype Data'!$C$6:$C$687,"Industry",'Archetype Data'!$D$6:$D$687,$B247, 'Archetype Data'!$H$6:$H$687,$C247)</f>
        <v>0</v>
      </c>
      <c r="E247" s="15">
        <f>SUMIFS('Archetype Data'!S$6:S$687,'Archetype Data'!$C$6:$C$687,"Industry",'Archetype Data'!$D$6:$D$687,$B247, 'Archetype Data'!$H$6:$H$687,$C247)</f>
        <v>0</v>
      </c>
      <c r="F247" s="15" cm="1">
        <f t="array" ref="F247">SUMPRODUCT('Archetype Data'!AG$6:AG$687,'Archetype Data'!$S$6:$S$687,--('Archetype Data'!$C$6:$C$687="Industry"),--('Archetype Data'!$D$6:$D$687=$B247),--('Archetype Data'!$H$6:$H$687=$C247))</f>
        <v>0</v>
      </c>
      <c r="G247" s="15" cm="1">
        <f t="array" ref="G247">SUMPRODUCT('Archetype Data'!AH$6:AH$687,'Archetype Data'!$S$6:$S$687,--('Archetype Data'!$C$6:$C$687="Industry"),--('Archetype Data'!$D$6:$D$687=$B247),--('Archetype Data'!$H$6:$H$687=$C247))</f>
        <v>0</v>
      </c>
      <c r="H247" s="15" cm="1">
        <f t="array" ref="H247">SUMPRODUCT('Archetype Data'!AI$6:AI$687,'Archetype Data'!$S$6:$S$687,--('Archetype Data'!$C$6:$C$687="Industry"),--('Archetype Data'!$D$6:$D$687=$B247),--('Archetype Data'!$H$6:$H$687=$C247))</f>
        <v>0</v>
      </c>
      <c r="I247" s="15" cm="1">
        <f t="array" ref="I247">SUMPRODUCT('Archetype Data'!AJ$6:AJ$687,'Archetype Data'!$S$6:$S$687,--('Archetype Data'!$C$6:$C$687="Industry"),--('Archetype Data'!$D$6:$D$687=$B247),--('Archetype Data'!$H$6:$H$687=$C247))</f>
        <v>0</v>
      </c>
      <c r="J247" s="15" cm="1">
        <f t="array" ref="J247">SUMPRODUCT('Archetype Data'!AK$6:AK$687,'Archetype Data'!$S$6:$S$687,--('Archetype Data'!$C$6:$C$687="Industry"),--('Archetype Data'!$D$6:$D$687=$B247),--('Archetype Data'!$H$6:$H$687=$C247))</f>
        <v>0</v>
      </c>
    </row>
    <row r="248" spans="2:10" outlineLevel="1">
      <c r="B248" t="s">
        <v>64</v>
      </c>
      <c r="C248" t="s">
        <v>118</v>
      </c>
      <c r="D248" s="15">
        <f>SUMIFS('Archetype Data'!AF$6:AF$687,'Archetype Data'!$C$6:$C$687,"Industry",'Archetype Data'!$D$6:$D$687,$B248, 'Archetype Data'!$H$6:$H$687,$C248)</f>
        <v>0</v>
      </c>
      <c r="E248" s="15">
        <f>SUMIFS('Archetype Data'!S$6:S$687,'Archetype Data'!$C$6:$C$687,"Industry",'Archetype Data'!$D$6:$D$687,$B248, 'Archetype Data'!$H$6:$H$687,$C248)</f>
        <v>0</v>
      </c>
      <c r="F248" s="15" cm="1">
        <f t="array" ref="F248">SUMPRODUCT('Archetype Data'!AG$6:AG$687,'Archetype Data'!$S$6:$S$687,--('Archetype Data'!$C$6:$C$687="Industry"),--('Archetype Data'!$D$6:$D$687=$B248),--('Archetype Data'!$H$6:$H$687=$C248))</f>
        <v>0</v>
      </c>
      <c r="G248" s="15" cm="1">
        <f t="array" ref="G248">SUMPRODUCT('Archetype Data'!AH$6:AH$687,'Archetype Data'!$S$6:$S$687,--('Archetype Data'!$C$6:$C$687="Industry"),--('Archetype Data'!$D$6:$D$687=$B248),--('Archetype Data'!$H$6:$H$687=$C248))</f>
        <v>0</v>
      </c>
      <c r="H248" s="15" cm="1">
        <f t="array" ref="H248">SUMPRODUCT('Archetype Data'!AI$6:AI$687,'Archetype Data'!$S$6:$S$687,--('Archetype Data'!$C$6:$C$687="Industry"),--('Archetype Data'!$D$6:$D$687=$B248),--('Archetype Data'!$H$6:$H$687=$C248))</f>
        <v>0</v>
      </c>
      <c r="I248" s="15" cm="1">
        <f t="array" ref="I248">SUMPRODUCT('Archetype Data'!AJ$6:AJ$687,'Archetype Data'!$S$6:$S$687,--('Archetype Data'!$C$6:$C$687="Industry"),--('Archetype Data'!$D$6:$D$687=$B248),--('Archetype Data'!$H$6:$H$687=$C248))</f>
        <v>0</v>
      </c>
      <c r="J248" s="15" cm="1">
        <f t="array" ref="J248">SUMPRODUCT('Archetype Data'!AK$6:AK$687,'Archetype Data'!$S$6:$S$687,--('Archetype Data'!$C$6:$C$687="Industry"),--('Archetype Data'!$D$6:$D$687=$B248),--('Archetype Data'!$H$6:$H$687=$C248))</f>
        <v>0</v>
      </c>
    </row>
    <row r="249" spans="2:10" outlineLevel="1">
      <c r="B249" t="s">
        <v>64</v>
      </c>
      <c r="C249" t="s">
        <v>123</v>
      </c>
      <c r="D249" s="15">
        <f>SUMIFS('Archetype Data'!AF$6:AF$687,'Archetype Data'!$C$6:$C$687,"Industry",'Archetype Data'!$D$6:$D$687,$B249, 'Archetype Data'!$H$6:$H$687,$C249)</f>
        <v>0</v>
      </c>
      <c r="E249" s="15">
        <f>SUMIFS('Archetype Data'!S$6:S$687,'Archetype Data'!$C$6:$C$687,"Industry",'Archetype Data'!$D$6:$D$687,$B249, 'Archetype Data'!$H$6:$H$687,$C249)</f>
        <v>0</v>
      </c>
      <c r="F249" s="15" cm="1">
        <f t="array" ref="F249">SUMPRODUCT('Archetype Data'!AG$6:AG$687,'Archetype Data'!$S$6:$S$687,--('Archetype Data'!$C$6:$C$687="Industry"),--('Archetype Data'!$D$6:$D$687=$B249),--('Archetype Data'!$H$6:$H$687=$C249))</f>
        <v>0</v>
      </c>
      <c r="G249" s="15" cm="1">
        <f t="array" ref="G249">SUMPRODUCT('Archetype Data'!AH$6:AH$687,'Archetype Data'!$S$6:$S$687,--('Archetype Data'!$C$6:$C$687="Industry"),--('Archetype Data'!$D$6:$D$687=$B249),--('Archetype Data'!$H$6:$H$687=$C249))</f>
        <v>0</v>
      </c>
      <c r="H249" s="15" cm="1">
        <f t="array" ref="H249">SUMPRODUCT('Archetype Data'!AI$6:AI$687,'Archetype Data'!$S$6:$S$687,--('Archetype Data'!$C$6:$C$687="Industry"),--('Archetype Data'!$D$6:$D$687=$B249),--('Archetype Data'!$H$6:$H$687=$C249))</f>
        <v>0</v>
      </c>
      <c r="I249" s="15" cm="1">
        <f t="array" ref="I249">SUMPRODUCT('Archetype Data'!AJ$6:AJ$687,'Archetype Data'!$S$6:$S$687,--('Archetype Data'!$C$6:$C$687="Industry"),--('Archetype Data'!$D$6:$D$687=$B249),--('Archetype Data'!$H$6:$H$687=$C249))</f>
        <v>0</v>
      </c>
      <c r="J249" s="15" cm="1">
        <f t="array" ref="J249">SUMPRODUCT('Archetype Data'!AK$6:AK$687,'Archetype Data'!$S$6:$S$687,--('Archetype Data'!$C$6:$C$687="Industry"),--('Archetype Data'!$D$6:$D$687=$B249),--('Archetype Data'!$H$6:$H$687=$C249))</f>
        <v>0</v>
      </c>
    </row>
    <row r="250" spans="2:10" outlineLevel="1">
      <c r="B250" t="s">
        <v>64</v>
      </c>
      <c r="C250" t="s">
        <v>121</v>
      </c>
      <c r="D250" s="15">
        <f>SUMIFS('Archetype Data'!AF$6:AF$687,'Archetype Data'!$C$6:$C$687,"Industry",'Archetype Data'!$D$6:$D$687,$B250, 'Archetype Data'!$H$6:$H$687,$C250)</f>
        <v>0</v>
      </c>
      <c r="E250" s="15">
        <f>SUMIFS('Archetype Data'!S$6:S$687,'Archetype Data'!$C$6:$C$687,"Industry",'Archetype Data'!$D$6:$D$687,$B250, 'Archetype Data'!$H$6:$H$687,$C250)</f>
        <v>0</v>
      </c>
      <c r="F250" s="15" cm="1">
        <f t="array" ref="F250">SUMPRODUCT('Archetype Data'!AG$6:AG$687,'Archetype Data'!$S$6:$S$687,--('Archetype Data'!$C$6:$C$687="Industry"),--('Archetype Data'!$D$6:$D$687=$B250),--('Archetype Data'!$H$6:$H$687=$C250))</f>
        <v>0</v>
      </c>
      <c r="G250" s="15" cm="1">
        <f t="array" ref="G250">SUMPRODUCT('Archetype Data'!AH$6:AH$687,'Archetype Data'!$S$6:$S$687,--('Archetype Data'!$C$6:$C$687="Industry"),--('Archetype Data'!$D$6:$D$687=$B250),--('Archetype Data'!$H$6:$H$687=$C250))</f>
        <v>0</v>
      </c>
      <c r="H250" s="15" cm="1">
        <f t="array" ref="H250">SUMPRODUCT('Archetype Data'!AI$6:AI$687,'Archetype Data'!$S$6:$S$687,--('Archetype Data'!$C$6:$C$687="Industry"),--('Archetype Data'!$D$6:$D$687=$B250),--('Archetype Data'!$H$6:$H$687=$C250))</f>
        <v>0</v>
      </c>
      <c r="I250" s="15" cm="1">
        <f t="array" ref="I250">SUMPRODUCT('Archetype Data'!AJ$6:AJ$687,'Archetype Data'!$S$6:$S$687,--('Archetype Data'!$C$6:$C$687="Industry"),--('Archetype Data'!$D$6:$D$687=$B250),--('Archetype Data'!$H$6:$H$687=$C250))</f>
        <v>0</v>
      </c>
      <c r="J250" s="15" cm="1">
        <f t="array" ref="J250">SUMPRODUCT('Archetype Data'!AK$6:AK$687,'Archetype Data'!$S$6:$S$687,--('Archetype Data'!$C$6:$C$687="Industry"),--('Archetype Data'!$D$6:$D$687=$B250),--('Archetype Data'!$H$6:$H$687=$C250))</f>
        <v>0</v>
      </c>
    </row>
    <row r="251" spans="2:10" outlineLevel="1">
      <c r="B251" t="s">
        <v>65</v>
      </c>
      <c r="C251" t="s">
        <v>120</v>
      </c>
      <c r="D251" s="15">
        <f>SUMIFS('Archetype Data'!AF$6:AF$687,'Archetype Data'!$C$6:$C$687,"Industry",'Archetype Data'!$D$6:$D$687,$B251, 'Archetype Data'!$H$6:$H$687,$C251)</f>
        <v>1.0077597354518448</v>
      </c>
      <c r="E251" s="15">
        <f>SUMIFS('Archetype Data'!S$6:S$687,'Archetype Data'!$C$6:$C$687,"Industry",'Archetype Data'!$D$6:$D$687,$B251, 'Archetype Data'!$H$6:$H$687,$C251)</f>
        <v>1.3436796472691261</v>
      </c>
      <c r="F251" s="15" cm="1">
        <f t="array" ref="F251">SUMPRODUCT('Archetype Data'!AG$6:AG$687,'Archetype Data'!$S$6:$S$687,--('Archetype Data'!$C$6:$C$687="Industry"),--('Archetype Data'!$D$6:$D$687=$B251),--('Archetype Data'!$H$6:$H$687=$C251))</f>
        <v>123651.04958215239</v>
      </c>
      <c r="G251" s="15" cm="1">
        <f t="array" ref="G251">SUMPRODUCT('Archetype Data'!AH$6:AH$687,'Archetype Data'!$S$6:$S$687,--('Archetype Data'!$C$6:$C$687="Industry"),--('Archetype Data'!$D$6:$D$687=$B251),--('Archetype Data'!$H$6:$H$687=$C251))</f>
        <v>123651.04958215239</v>
      </c>
      <c r="H251" s="15" cm="1">
        <f t="array" ref="H251">SUMPRODUCT('Archetype Data'!AI$6:AI$687,'Archetype Data'!$S$6:$S$687,--('Archetype Data'!$C$6:$C$687="Industry"),--('Archetype Data'!$D$6:$D$687=$B251),--('Archetype Data'!$H$6:$H$687=$C251))</f>
        <v>0</v>
      </c>
      <c r="I251" s="15" cm="1">
        <f t="array" ref="I251">SUMPRODUCT('Archetype Data'!AJ$6:AJ$687,'Archetype Data'!$S$6:$S$687,--('Archetype Data'!$C$6:$C$687="Industry"),--('Archetype Data'!$D$6:$D$687=$B251),--('Archetype Data'!$H$6:$H$687=$C251))</f>
        <v>0</v>
      </c>
      <c r="J251" s="15" cm="1">
        <f t="array" ref="J251">SUMPRODUCT('Archetype Data'!AK$6:AK$687,'Archetype Data'!$S$6:$S$687,--('Archetype Data'!$C$6:$C$687="Industry"),--('Archetype Data'!$D$6:$D$687=$B251),--('Archetype Data'!$H$6:$H$687=$C251))</f>
        <v>0</v>
      </c>
    </row>
    <row r="252" spans="2:10" outlineLevel="1">
      <c r="B252" t="s">
        <v>65</v>
      </c>
      <c r="C252" t="s">
        <v>122</v>
      </c>
      <c r="D252" s="15">
        <f>SUMIFS('Archetype Data'!AF$6:AF$687,'Archetype Data'!$C$6:$C$687,"Industry",'Archetype Data'!$D$6:$D$687,$B252, 'Archetype Data'!$H$6:$H$687,$C252)</f>
        <v>6.718398236345631E-2</v>
      </c>
      <c r="E252" s="15">
        <f>SUMIFS('Archetype Data'!S$6:S$687,'Archetype Data'!$C$6:$C$687,"Industry",'Archetype Data'!$D$6:$D$687,$B252, 'Archetype Data'!$H$6:$H$687,$C252)</f>
        <v>1.3436796472691261</v>
      </c>
      <c r="F252" s="15" cm="1">
        <f t="array" ref="F252">SUMPRODUCT('Archetype Data'!AG$6:AG$687,'Archetype Data'!$S$6:$S$687,--('Archetype Data'!$C$6:$C$687="Industry"),--('Archetype Data'!$D$6:$D$687=$B252),--('Archetype Data'!$H$6:$H$687=$C252))</f>
        <v>7785.4364551725585</v>
      </c>
      <c r="G252" s="15" cm="1">
        <f t="array" ref="G252">SUMPRODUCT('Archetype Data'!AH$6:AH$687,'Archetype Data'!$S$6:$S$687,--('Archetype Data'!$C$6:$C$687="Industry"),--('Archetype Data'!$D$6:$D$687=$B252),--('Archetype Data'!$H$6:$H$687=$C252))</f>
        <v>7785.4364551725585</v>
      </c>
      <c r="H252" s="15" cm="1">
        <f t="array" ref="H252">SUMPRODUCT('Archetype Data'!AI$6:AI$687,'Archetype Data'!$S$6:$S$687,--('Archetype Data'!$C$6:$C$687="Industry"),--('Archetype Data'!$D$6:$D$687=$B252),--('Archetype Data'!$H$6:$H$687=$C252))</f>
        <v>0</v>
      </c>
      <c r="I252" s="15" cm="1">
        <f t="array" ref="I252">SUMPRODUCT('Archetype Data'!AJ$6:AJ$687,'Archetype Data'!$S$6:$S$687,--('Archetype Data'!$C$6:$C$687="Industry"),--('Archetype Data'!$D$6:$D$687=$B252),--('Archetype Data'!$H$6:$H$687=$C252))</f>
        <v>0</v>
      </c>
      <c r="J252" s="15" cm="1">
        <f t="array" ref="J252">SUMPRODUCT('Archetype Data'!AK$6:AK$687,'Archetype Data'!$S$6:$S$687,--('Archetype Data'!$C$6:$C$687="Industry"),--('Archetype Data'!$D$6:$D$687=$B252),--('Archetype Data'!$H$6:$H$687=$C252))</f>
        <v>0</v>
      </c>
    </row>
    <row r="253" spans="2:10" outlineLevel="1">
      <c r="B253" t="s">
        <v>65</v>
      </c>
      <c r="C253" t="s">
        <v>119</v>
      </c>
      <c r="D253" s="15">
        <f>SUMIFS('Archetype Data'!AF$6:AF$687,'Archetype Data'!$C$6:$C$687,"Industry",'Archetype Data'!$D$6:$D$687,$B253, 'Archetype Data'!$H$6:$H$687,$C253)</f>
        <v>0.26873592945382524</v>
      </c>
      <c r="E253" s="15">
        <f>SUMIFS('Archetype Data'!S$6:S$687,'Archetype Data'!$C$6:$C$687,"Industry",'Archetype Data'!$D$6:$D$687,$B253, 'Archetype Data'!$H$6:$H$687,$C253)</f>
        <v>1.3436796472691261</v>
      </c>
      <c r="F253" s="15" cm="1">
        <f t="array" ref="F253">SUMPRODUCT('Archetype Data'!AG$6:AG$687,'Archetype Data'!$S$6:$S$687,--('Archetype Data'!$C$6:$C$687="Industry"),--('Archetype Data'!$D$6:$D$687=$B253),--('Archetype Data'!$H$6:$H$687=$C253))</f>
        <v>31141.745820690234</v>
      </c>
      <c r="G253" s="15" cm="1">
        <f t="array" ref="G253">SUMPRODUCT('Archetype Data'!AH$6:AH$687,'Archetype Data'!$S$6:$S$687,--('Archetype Data'!$C$6:$C$687="Industry"),--('Archetype Data'!$D$6:$D$687=$B253),--('Archetype Data'!$H$6:$H$687=$C253))</f>
        <v>31141.745820690234</v>
      </c>
      <c r="H253" s="15" cm="1">
        <f t="array" ref="H253">SUMPRODUCT('Archetype Data'!AI$6:AI$687,'Archetype Data'!$S$6:$S$687,--('Archetype Data'!$C$6:$C$687="Industry"),--('Archetype Data'!$D$6:$D$687=$B253),--('Archetype Data'!$H$6:$H$687=$C253))</f>
        <v>0</v>
      </c>
      <c r="I253" s="15" cm="1">
        <f t="array" ref="I253">SUMPRODUCT('Archetype Data'!AJ$6:AJ$687,'Archetype Data'!$S$6:$S$687,--('Archetype Data'!$C$6:$C$687="Industry"),--('Archetype Data'!$D$6:$D$687=$B253),--('Archetype Data'!$H$6:$H$687=$C253))</f>
        <v>0</v>
      </c>
      <c r="J253" s="15" cm="1">
        <f t="array" ref="J253">SUMPRODUCT('Archetype Data'!AK$6:AK$687,'Archetype Data'!$S$6:$S$687,--('Archetype Data'!$C$6:$C$687="Industry"),--('Archetype Data'!$D$6:$D$687=$B253),--('Archetype Data'!$H$6:$H$687=$C253))</f>
        <v>0</v>
      </c>
    </row>
    <row r="254" spans="2:10" outlineLevel="1">
      <c r="B254" t="s">
        <v>65</v>
      </c>
      <c r="C254" t="s">
        <v>121</v>
      </c>
      <c r="D254" s="15">
        <f>SUMIFS('Archetype Data'!AF$6:AF$687,'Archetype Data'!$C$6:$C$687,"Industry",'Archetype Data'!$D$6:$D$687,$B254, 'Archetype Data'!$H$6:$H$687,$C254)</f>
        <v>0</v>
      </c>
      <c r="E254" s="15">
        <f>SUMIFS('Archetype Data'!S$6:S$687,'Archetype Data'!$C$6:$C$687,"Industry",'Archetype Data'!$D$6:$D$687,$B254, 'Archetype Data'!$H$6:$H$687,$C254)</f>
        <v>0</v>
      </c>
      <c r="F254" s="15" cm="1">
        <f t="array" ref="F254">SUMPRODUCT('Archetype Data'!AG$6:AG$687,'Archetype Data'!$S$6:$S$687,--('Archetype Data'!$C$6:$C$687="Industry"),--('Archetype Data'!$D$6:$D$687=$B254),--('Archetype Data'!$H$6:$H$687=$C254))</f>
        <v>0</v>
      </c>
      <c r="G254" s="15" cm="1">
        <f t="array" ref="G254">SUMPRODUCT('Archetype Data'!AH$6:AH$687,'Archetype Data'!$S$6:$S$687,--('Archetype Data'!$C$6:$C$687="Industry"),--('Archetype Data'!$D$6:$D$687=$B254),--('Archetype Data'!$H$6:$H$687=$C254))</f>
        <v>0</v>
      </c>
      <c r="H254" s="15" cm="1">
        <f t="array" ref="H254">SUMPRODUCT('Archetype Data'!AI$6:AI$687,'Archetype Data'!$S$6:$S$687,--('Archetype Data'!$C$6:$C$687="Industry"),--('Archetype Data'!$D$6:$D$687=$B254),--('Archetype Data'!$H$6:$H$687=$C254))</f>
        <v>0</v>
      </c>
      <c r="I254" s="15" cm="1">
        <f t="array" ref="I254">SUMPRODUCT('Archetype Data'!AJ$6:AJ$687,'Archetype Data'!$S$6:$S$687,--('Archetype Data'!$C$6:$C$687="Industry"),--('Archetype Data'!$D$6:$D$687=$B254),--('Archetype Data'!$H$6:$H$687=$C254))</f>
        <v>0</v>
      </c>
      <c r="J254" s="15" cm="1">
        <f t="array" ref="J254">SUMPRODUCT('Archetype Data'!AK$6:AK$687,'Archetype Data'!$S$6:$S$687,--('Archetype Data'!$C$6:$C$687="Industry"),--('Archetype Data'!$D$6:$D$687=$B254),--('Archetype Data'!$H$6:$H$687=$C254))</f>
        <v>0</v>
      </c>
    </row>
    <row r="255" spans="2:10" outlineLevel="1">
      <c r="B255" t="s">
        <v>66</v>
      </c>
      <c r="C255" t="s">
        <v>122</v>
      </c>
      <c r="D255" s="15">
        <f>SUMIFS('Archetype Data'!AF$6:AF$687,'Archetype Data'!$C$6:$C$687,"Industry",'Archetype Data'!$D$6:$D$687,$B255, 'Archetype Data'!$H$6:$H$687,$C255)</f>
        <v>0</v>
      </c>
      <c r="E255" s="15">
        <f>SUMIFS('Archetype Data'!S$6:S$687,'Archetype Data'!$C$6:$C$687,"Industry",'Archetype Data'!$D$6:$D$687,$B255, 'Archetype Data'!$H$6:$H$687,$C255)</f>
        <v>0</v>
      </c>
      <c r="F255" s="15" cm="1">
        <f t="array" ref="F255">SUMPRODUCT('Archetype Data'!AG$6:AG$687,'Archetype Data'!$S$6:$S$687,--('Archetype Data'!$C$6:$C$687="Industry"),--('Archetype Data'!$D$6:$D$687=$B255),--('Archetype Data'!$H$6:$H$687=$C255))</f>
        <v>0</v>
      </c>
      <c r="G255" s="15" cm="1">
        <f t="array" ref="G255">SUMPRODUCT('Archetype Data'!AH$6:AH$687,'Archetype Data'!$S$6:$S$687,--('Archetype Data'!$C$6:$C$687="Industry"),--('Archetype Data'!$D$6:$D$687=$B255),--('Archetype Data'!$H$6:$H$687=$C255))</f>
        <v>0</v>
      </c>
      <c r="H255" s="15" cm="1">
        <f t="array" ref="H255">SUMPRODUCT('Archetype Data'!AI$6:AI$687,'Archetype Data'!$S$6:$S$687,--('Archetype Data'!$C$6:$C$687="Industry"),--('Archetype Data'!$D$6:$D$687=$B255),--('Archetype Data'!$H$6:$H$687=$C255))</f>
        <v>0</v>
      </c>
      <c r="I255" s="15" cm="1">
        <f t="array" ref="I255">SUMPRODUCT('Archetype Data'!AJ$6:AJ$687,'Archetype Data'!$S$6:$S$687,--('Archetype Data'!$C$6:$C$687="Industry"),--('Archetype Data'!$D$6:$D$687=$B255),--('Archetype Data'!$H$6:$H$687=$C255))</f>
        <v>0</v>
      </c>
      <c r="J255" s="15" cm="1">
        <f t="array" ref="J255">SUMPRODUCT('Archetype Data'!AK$6:AK$687,'Archetype Data'!$S$6:$S$687,--('Archetype Data'!$C$6:$C$687="Industry"),--('Archetype Data'!$D$6:$D$687=$B255),--('Archetype Data'!$H$6:$H$687=$C255))</f>
        <v>0</v>
      </c>
    </row>
    <row r="256" spans="2:10" outlineLevel="1">
      <c r="B256" t="s">
        <v>66</v>
      </c>
      <c r="C256" t="s">
        <v>117</v>
      </c>
      <c r="D256" s="15">
        <f>SUMIFS('Archetype Data'!AF$6:AF$687,'Archetype Data'!$C$6:$C$687,"Industry",'Archetype Data'!$D$6:$D$687,$B256, 'Archetype Data'!$H$6:$H$687,$C256)</f>
        <v>0</v>
      </c>
      <c r="E256" s="15">
        <f>SUMIFS('Archetype Data'!S$6:S$687,'Archetype Data'!$C$6:$C$687,"Industry",'Archetype Data'!$D$6:$D$687,$B256, 'Archetype Data'!$H$6:$H$687,$C256)</f>
        <v>0</v>
      </c>
      <c r="F256" s="15" cm="1">
        <f t="array" ref="F256">SUMPRODUCT('Archetype Data'!AG$6:AG$687,'Archetype Data'!$S$6:$S$687,--('Archetype Data'!$C$6:$C$687="Industry"),--('Archetype Data'!$D$6:$D$687=$B256),--('Archetype Data'!$H$6:$H$687=$C256))</f>
        <v>0</v>
      </c>
      <c r="G256" s="15" cm="1">
        <f t="array" ref="G256">SUMPRODUCT('Archetype Data'!AH$6:AH$687,'Archetype Data'!$S$6:$S$687,--('Archetype Data'!$C$6:$C$687="Industry"),--('Archetype Data'!$D$6:$D$687=$B256),--('Archetype Data'!$H$6:$H$687=$C256))</f>
        <v>0</v>
      </c>
      <c r="H256" s="15" cm="1">
        <f t="array" ref="H256">SUMPRODUCT('Archetype Data'!AI$6:AI$687,'Archetype Data'!$S$6:$S$687,--('Archetype Data'!$C$6:$C$687="Industry"),--('Archetype Data'!$D$6:$D$687=$B256),--('Archetype Data'!$H$6:$H$687=$C256))</f>
        <v>0</v>
      </c>
      <c r="I256" s="15" cm="1">
        <f t="array" ref="I256">SUMPRODUCT('Archetype Data'!AJ$6:AJ$687,'Archetype Data'!$S$6:$S$687,--('Archetype Data'!$C$6:$C$687="Industry"),--('Archetype Data'!$D$6:$D$687=$B256),--('Archetype Data'!$H$6:$H$687=$C256))</f>
        <v>0</v>
      </c>
      <c r="J256" s="15" cm="1">
        <f t="array" ref="J256">SUMPRODUCT('Archetype Data'!AK$6:AK$687,'Archetype Data'!$S$6:$S$687,--('Archetype Data'!$C$6:$C$687="Industry"),--('Archetype Data'!$D$6:$D$687=$B256),--('Archetype Data'!$H$6:$H$687=$C256))</f>
        <v>0</v>
      </c>
    </row>
    <row r="257" spans="2:10" outlineLevel="1">
      <c r="B257" t="s">
        <v>66</v>
      </c>
      <c r="C257" t="s">
        <v>118</v>
      </c>
      <c r="D257" s="15">
        <f>SUMIFS('Archetype Data'!AF$6:AF$687,'Archetype Data'!$C$6:$C$687,"Industry",'Archetype Data'!$D$6:$D$687,$B257, 'Archetype Data'!$H$6:$H$687,$C257)</f>
        <v>0</v>
      </c>
      <c r="E257" s="15">
        <f>SUMIFS('Archetype Data'!S$6:S$687,'Archetype Data'!$C$6:$C$687,"Industry",'Archetype Data'!$D$6:$D$687,$B257, 'Archetype Data'!$H$6:$H$687,$C257)</f>
        <v>0</v>
      </c>
      <c r="F257" s="15" cm="1">
        <f t="array" ref="F257">SUMPRODUCT('Archetype Data'!AG$6:AG$687,'Archetype Data'!$S$6:$S$687,--('Archetype Data'!$C$6:$C$687="Industry"),--('Archetype Data'!$D$6:$D$687=$B257),--('Archetype Data'!$H$6:$H$687=$C257))</f>
        <v>0</v>
      </c>
      <c r="G257" s="15" cm="1">
        <f t="array" ref="G257">SUMPRODUCT('Archetype Data'!AH$6:AH$687,'Archetype Data'!$S$6:$S$687,--('Archetype Data'!$C$6:$C$687="Industry"),--('Archetype Data'!$D$6:$D$687=$B257),--('Archetype Data'!$H$6:$H$687=$C257))</f>
        <v>0</v>
      </c>
      <c r="H257" s="15" cm="1">
        <f t="array" ref="H257">SUMPRODUCT('Archetype Data'!AI$6:AI$687,'Archetype Data'!$S$6:$S$687,--('Archetype Data'!$C$6:$C$687="Industry"),--('Archetype Data'!$D$6:$D$687=$B257),--('Archetype Data'!$H$6:$H$687=$C257))</f>
        <v>0</v>
      </c>
      <c r="I257" s="15" cm="1">
        <f t="array" ref="I257">SUMPRODUCT('Archetype Data'!AJ$6:AJ$687,'Archetype Data'!$S$6:$S$687,--('Archetype Data'!$C$6:$C$687="Industry"),--('Archetype Data'!$D$6:$D$687=$B257),--('Archetype Data'!$H$6:$H$687=$C257))</f>
        <v>0</v>
      </c>
      <c r="J257" s="15" cm="1">
        <f t="array" ref="J257">SUMPRODUCT('Archetype Data'!AK$6:AK$687,'Archetype Data'!$S$6:$S$687,--('Archetype Data'!$C$6:$C$687="Industry"),--('Archetype Data'!$D$6:$D$687=$B257),--('Archetype Data'!$H$6:$H$687=$C257))</f>
        <v>0</v>
      </c>
    </row>
    <row r="258" spans="2:10" outlineLevel="1">
      <c r="B258" t="s">
        <v>66</v>
      </c>
      <c r="C258" t="s">
        <v>123</v>
      </c>
      <c r="D258" s="15">
        <f>SUMIFS('Archetype Data'!AF$6:AF$687,'Archetype Data'!$C$6:$C$687,"Industry",'Archetype Data'!$D$6:$D$687,$B258, 'Archetype Data'!$H$6:$H$687,$C258)</f>
        <v>0</v>
      </c>
      <c r="E258" s="15">
        <f>SUMIFS('Archetype Data'!S$6:S$687,'Archetype Data'!$C$6:$C$687,"Industry",'Archetype Data'!$D$6:$D$687,$B258, 'Archetype Data'!$H$6:$H$687,$C258)</f>
        <v>0</v>
      </c>
      <c r="F258" s="15" cm="1">
        <f t="array" ref="F258">SUMPRODUCT('Archetype Data'!AG$6:AG$687,'Archetype Data'!$S$6:$S$687,--('Archetype Data'!$C$6:$C$687="Industry"),--('Archetype Data'!$D$6:$D$687=$B258),--('Archetype Data'!$H$6:$H$687=$C258))</f>
        <v>0</v>
      </c>
      <c r="G258" s="15" cm="1">
        <f t="array" ref="G258">SUMPRODUCT('Archetype Data'!AH$6:AH$687,'Archetype Data'!$S$6:$S$687,--('Archetype Data'!$C$6:$C$687="Industry"),--('Archetype Data'!$D$6:$D$687=$B258),--('Archetype Data'!$H$6:$H$687=$C258))</f>
        <v>0</v>
      </c>
      <c r="H258" s="15" cm="1">
        <f t="array" ref="H258">SUMPRODUCT('Archetype Data'!AI$6:AI$687,'Archetype Data'!$S$6:$S$687,--('Archetype Data'!$C$6:$C$687="Industry"),--('Archetype Data'!$D$6:$D$687=$B258),--('Archetype Data'!$H$6:$H$687=$C258))</f>
        <v>0</v>
      </c>
      <c r="I258" s="15" cm="1">
        <f t="array" ref="I258">SUMPRODUCT('Archetype Data'!AJ$6:AJ$687,'Archetype Data'!$S$6:$S$687,--('Archetype Data'!$C$6:$C$687="Industry"),--('Archetype Data'!$D$6:$D$687=$B258),--('Archetype Data'!$H$6:$H$687=$C258))</f>
        <v>0</v>
      </c>
      <c r="J258" s="15" cm="1">
        <f t="array" ref="J258">SUMPRODUCT('Archetype Data'!AK$6:AK$687,'Archetype Data'!$S$6:$S$687,--('Archetype Data'!$C$6:$C$687="Industry"),--('Archetype Data'!$D$6:$D$687=$B258),--('Archetype Data'!$H$6:$H$687=$C258))</f>
        <v>0</v>
      </c>
    </row>
    <row r="259" spans="2:10" outlineLevel="1">
      <c r="B259" t="s">
        <v>66</v>
      </c>
      <c r="C259" t="s">
        <v>119</v>
      </c>
      <c r="D259" s="15">
        <f>SUMIFS('Archetype Data'!AF$6:AF$687,'Archetype Data'!$C$6:$C$687,"Industry",'Archetype Data'!$D$6:$D$687,$B259, 'Archetype Data'!$H$6:$H$687,$C259)</f>
        <v>0</v>
      </c>
      <c r="E259" s="15">
        <f>SUMIFS('Archetype Data'!S$6:S$687,'Archetype Data'!$C$6:$C$687,"Industry",'Archetype Data'!$D$6:$D$687,$B259, 'Archetype Data'!$H$6:$H$687,$C259)</f>
        <v>0</v>
      </c>
      <c r="F259" s="15" cm="1">
        <f t="array" ref="F259">SUMPRODUCT('Archetype Data'!AG$6:AG$687,'Archetype Data'!$S$6:$S$687,--('Archetype Data'!$C$6:$C$687="Industry"),--('Archetype Data'!$D$6:$D$687=$B259),--('Archetype Data'!$H$6:$H$687=$C259))</f>
        <v>0</v>
      </c>
      <c r="G259" s="15" cm="1">
        <f t="array" ref="G259">SUMPRODUCT('Archetype Data'!AH$6:AH$687,'Archetype Data'!$S$6:$S$687,--('Archetype Data'!$C$6:$C$687="Industry"),--('Archetype Data'!$D$6:$D$687=$B259),--('Archetype Data'!$H$6:$H$687=$C259))</f>
        <v>0</v>
      </c>
      <c r="H259" s="15" cm="1">
        <f t="array" ref="H259">SUMPRODUCT('Archetype Data'!AI$6:AI$687,'Archetype Data'!$S$6:$S$687,--('Archetype Data'!$C$6:$C$687="Industry"),--('Archetype Data'!$D$6:$D$687=$B259),--('Archetype Data'!$H$6:$H$687=$C259))</f>
        <v>0</v>
      </c>
      <c r="I259" s="15" cm="1">
        <f t="array" ref="I259">SUMPRODUCT('Archetype Data'!AJ$6:AJ$687,'Archetype Data'!$S$6:$S$687,--('Archetype Data'!$C$6:$C$687="Industry"),--('Archetype Data'!$D$6:$D$687=$B259),--('Archetype Data'!$H$6:$H$687=$C259))</f>
        <v>0</v>
      </c>
      <c r="J259" s="15" cm="1">
        <f t="array" ref="J259">SUMPRODUCT('Archetype Data'!AK$6:AK$687,'Archetype Data'!$S$6:$S$687,--('Archetype Data'!$C$6:$C$687="Industry"),--('Archetype Data'!$D$6:$D$687=$B259),--('Archetype Data'!$H$6:$H$687=$C259))</f>
        <v>0</v>
      </c>
    </row>
    <row r="260" spans="2:10" outlineLevel="1">
      <c r="B260" t="s">
        <v>66</v>
      </c>
      <c r="C260" t="s">
        <v>121</v>
      </c>
      <c r="D260" s="15">
        <f>SUMIFS('Archetype Data'!AF$6:AF$687,'Archetype Data'!$C$6:$C$687,"Industry",'Archetype Data'!$D$6:$D$687,$B260, 'Archetype Data'!$H$6:$H$687,$C260)</f>
        <v>0</v>
      </c>
      <c r="E260" s="15">
        <f>SUMIFS('Archetype Data'!S$6:S$687,'Archetype Data'!$C$6:$C$687,"Industry",'Archetype Data'!$D$6:$D$687,$B260, 'Archetype Data'!$H$6:$H$687,$C260)</f>
        <v>0</v>
      </c>
      <c r="F260" s="15" cm="1">
        <f t="array" ref="F260">SUMPRODUCT('Archetype Data'!AG$6:AG$687,'Archetype Data'!$S$6:$S$687,--('Archetype Data'!$C$6:$C$687="Industry"),--('Archetype Data'!$D$6:$D$687=$B260),--('Archetype Data'!$H$6:$H$687=$C260))</f>
        <v>0</v>
      </c>
      <c r="G260" s="15" cm="1">
        <f t="array" ref="G260">SUMPRODUCT('Archetype Data'!AH$6:AH$687,'Archetype Data'!$S$6:$S$687,--('Archetype Data'!$C$6:$C$687="Industry"),--('Archetype Data'!$D$6:$D$687=$B260),--('Archetype Data'!$H$6:$H$687=$C260))</f>
        <v>0</v>
      </c>
      <c r="H260" s="15" cm="1">
        <f t="array" ref="H260">SUMPRODUCT('Archetype Data'!AI$6:AI$687,'Archetype Data'!$S$6:$S$687,--('Archetype Data'!$C$6:$C$687="Industry"),--('Archetype Data'!$D$6:$D$687=$B260),--('Archetype Data'!$H$6:$H$687=$C260))</f>
        <v>0</v>
      </c>
      <c r="I260" s="15" cm="1">
        <f t="array" ref="I260">SUMPRODUCT('Archetype Data'!AJ$6:AJ$687,'Archetype Data'!$S$6:$S$687,--('Archetype Data'!$C$6:$C$687="Industry"),--('Archetype Data'!$D$6:$D$687=$B260),--('Archetype Data'!$H$6:$H$687=$C260))</f>
        <v>0</v>
      </c>
      <c r="J260" s="15" cm="1">
        <f t="array" ref="J260">SUMPRODUCT('Archetype Data'!AK$6:AK$687,'Archetype Data'!$S$6:$S$687,--('Archetype Data'!$C$6:$C$687="Industry"),--('Archetype Data'!$D$6:$D$687=$B260),--('Archetype Data'!$H$6:$H$687=$C260))</f>
        <v>0</v>
      </c>
    </row>
    <row r="261" spans="2:10" outlineLevel="1">
      <c r="B261" t="s">
        <v>67</v>
      </c>
      <c r="C261" t="s">
        <v>117</v>
      </c>
      <c r="D261" s="15">
        <f>SUMIFS('Archetype Data'!AF$6:AF$687,'Archetype Data'!$C$6:$C$687,"Industry",'Archetype Data'!$D$6:$D$687,$B261, 'Archetype Data'!$H$6:$H$687,$C261)</f>
        <v>12.365844636232367</v>
      </c>
      <c r="E261" s="15">
        <f>SUMIFS('Archetype Data'!S$6:S$687,'Archetype Data'!$C$6:$C$687,"Industry",'Archetype Data'!$D$6:$D$687,$B261, 'Archetype Data'!$H$6:$H$687,$C261)</f>
        <v>17.665492337474813</v>
      </c>
      <c r="F261" s="15" cm="1">
        <f t="array" ref="F261">SUMPRODUCT('Archetype Data'!AG$6:AG$687,'Archetype Data'!$S$6:$S$687,--('Archetype Data'!$C$6:$C$687="Industry"),--('Archetype Data'!$D$6:$D$687=$B261),--('Archetype Data'!$H$6:$H$687=$C261))</f>
        <v>63848.877791033563</v>
      </c>
      <c r="G261" s="15" cm="1">
        <f t="array" ref="G261">SUMPRODUCT('Archetype Data'!AH$6:AH$687,'Archetype Data'!$S$6:$S$687,--('Archetype Data'!$C$6:$C$687="Industry"),--('Archetype Data'!$D$6:$D$687=$B261),--('Archetype Data'!$H$6:$H$687=$C261))</f>
        <v>0</v>
      </c>
      <c r="H261" s="15" cm="1">
        <f t="array" ref="H261">SUMPRODUCT('Archetype Data'!AI$6:AI$687,'Archetype Data'!$S$6:$S$687,--('Archetype Data'!$C$6:$C$687="Industry"),--('Archetype Data'!$D$6:$D$687=$B261),--('Archetype Data'!$H$6:$H$687=$C261))</f>
        <v>6384.8877791033565</v>
      </c>
      <c r="I261" s="15" cm="1">
        <f t="array" ref="I261">SUMPRODUCT('Archetype Data'!AJ$6:AJ$687,'Archetype Data'!$S$6:$S$687,--('Archetype Data'!$C$6:$C$687="Industry"),--('Archetype Data'!$D$6:$D$687=$B261),--('Archetype Data'!$H$6:$H$687=$C261))</f>
        <v>44694.214453723493</v>
      </c>
      <c r="J261" s="15" cm="1">
        <f t="array" ref="J261">SUMPRODUCT('Archetype Data'!AK$6:AK$687,'Archetype Data'!$S$6:$S$687,--('Archetype Data'!$C$6:$C$687="Industry"),--('Archetype Data'!$D$6:$D$687=$B261),--('Archetype Data'!$H$6:$H$687=$C261))</f>
        <v>12769.775558206713</v>
      </c>
    </row>
    <row r="262" spans="2:10" outlineLevel="1">
      <c r="B262" t="s">
        <v>67</v>
      </c>
      <c r="C262" t="s">
        <v>118</v>
      </c>
      <c r="D262" s="15">
        <f>SUMIFS('Archetype Data'!AF$6:AF$687,'Archetype Data'!$C$6:$C$687,"Industry",'Archetype Data'!$D$6:$D$687,$B262, 'Archetype Data'!$H$6:$H$687,$C262)</f>
        <v>3.5330984674949635</v>
      </c>
      <c r="E262" s="15">
        <f>SUMIFS('Archetype Data'!S$6:S$687,'Archetype Data'!$C$6:$C$687,"Industry",'Archetype Data'!$D$6:$D$687,$B262, 'Archetype Data'!$H$6:$H$687,$C262)</f>
        <v>17.665492337474817</v>
      </c>
      <c r="F262" s="15" cm="1">
        <f t="array" ref="F262">SUMPRODUCT('Archetype Data'!AG$6:AG$687,'Archetype Data'!$S$6:$S$687,--('Archetype Data'!$C$6:$C$687="Industry"),--('Archetype Data'!$D$6:$D$687=$B262),--('Archetype Data'!$H$6:$H$687=$C262))</f>
        <v>9914.422017241237</v>
      </c>
      <c r="G262" s="15" cm="1">
        <f t="array" ref="G262">SUMPRODUCT('Archetype Data'!AH$6:AH$687,'Archetype Data'!$S$6:$S$687,--('Archetype Data'!$C$6:$C$687="Industry"),--('Archetype Data'!$D$6:$D$687=$B262),--('Archetype Data'!$H$6:$H$687=$C262))</f>
        <v>0</v>
      </c>
      <c r="H262" s="15" cm="1">
        <f t="array" ref="H262">SUMPRODUCT('Archetype Data'!AI$6:AI$687,'Archetype Data'!$S$6:$S$687,--('Archetype Data'!$C$6:$C$687="Industry"),--('Archetype Data'!$D$6:$D$687=$B262),--('Archetype Data'!$H$6:$H$687=$C262))</f>
        <v>9914.422017241237</v>
      </c>
      <c r="I262" s="15" cm="1">
        <f t="array" ref="I262">SUMPRODUCT('Archetype Data'!AJ$6:AJ$687,'Archetype Data'!$S$6:$S$687,--('Archetype Data'!$C$6:$C$687="Industry"),--('Archetype Data'!$D$6:$D$687=$B262),--('Archetype Data'!$H$6:$H$687=$C262))</f>
        <v>0</v>
      </c>
      <c r="J262" s="15" cm="1">
        <f t="array" ref="J262">SUMPRODUCT('Archetype Data'!AK$6:AK$687,'Archetype Data'!$S$6:$S$687,--('Archetype Data'!$C$6:$C$687="Industry"),--('Archetype Data'!$D$6:$D$687=$B262),--('Archetype Data'!$H$6:$H$687=$C262))</f>
        <v>0</v>
      </c>
    </row>
    <row r="263" spans="2:10" outlineLevel="1">
      <c r="B263" t="s">
        <v>67</v>
      </c>
      <c r="C263" t="s">
        <v>123</v>
      </c>
      <c r="D263" s="15">
        <f>SUMIFS('Archetype Data'!AF$6:AF$687,'Archetype Data'!$C$6:$C$687,"Industry",'Archetype Data'!$D$6:$D$687,$B263, 'Archetype Data'!$H$6:$H$687,$C263)</f>
        <v>0.88327461687374087</v>
      </c>
      <c r="E263" s="15">
        <f>SUMIFS('Archetype Data'!S$6:S$687,'Archetype Data'!$C$6:$C$687,"Industry",'Archetype Data'!$D$6:$D$687,$B263, 'Archetype Data'!$H$6:$H$687,$C263)</f>
        <v>17.665492337474817</v>
      </c>
      <c r="F263" s="15" cm="1">
        <f t="array" ref="F263">SUMPRODUCT('Archetype Data'!AG$6:AG$687,'Archetype Data'!$S$6:$S$687,--('Archetype Data'!$C$6:$C$687="Industry"),--('Archetype Data'!$D$6:$D$687=$B263),--('Archetype Data'!$H$6:$H$687=$C263))</f>
        <v>4560.63412793097</v>
      </c>
      <c r="G263" s="15" cm="1">
        <f t="array" ref="G263">SUMPRODUCT('Archetype Data'!AH$6:AH$687,'Archetype Data'!$S$6:$S$687,--('Archetype Data'!$C$6:$C$687="Industry"),--('Archetype Data'!$D$6:$D$687=$B263),--('Archetype Data'!$H$6:$H$687=$C263))</f>
        <v>0</v>
      </c>
      <c r="H263" s="15" cm="1">
        <f t="array" ref="H263">SUMPRODUCT('Archetype Data'!AI$6:AI$687,'Archetype Data'!$S$6:$S$687,--('Archetype Data'!$C$6:$C$687="Industry"),--('Archetype Data'!$D$6:$D$687=$B263),--('Archetype Data'!$H$6:$H$687=$C263))</f>
        <v>0</v>
      </c>
      <c r="I263" s="15" cm="1">
        <f t="array" ref="I263">SUMPRODUCT('Archetype Data'!AJ$6:AJ$687,'Archetype Data'!$S$6:$S$687,--('Archetype Data'!$C$6:$C$687="Industry"),--('Archetype Data'!$D$6:$D$687=$B263),--('Archetype Data'!$H$6:$H$687=$C263))</f>
        <v>4560.63412793097</v>
      </c>
      <c r="J263" s="15" cm="1">
        <f t="array" ref="J263">SUMPRODUCT('Archetype Data'!AK$6:AK$687,'Archetype Data'!$S$6:$S$687,--('Archetype Data'!$C$6:$C$687="Industry"),--('Archetype Data'!$D$6:$D$687=$B263),--('Archetype Data'!$H$6:$H$687=$C263))</f>
        <v>0</v>
      </c>
    </row>
    <row r="264" spans="2:10" outlineLevel="1">
      <c r="B264" t="s">
        <v>67</v>
      </c>
      <c r="C264" t="s">
        <v>119</v>
      </c>
      <c r="D264" s="15">
        <f>SUMIFS('Archetype Data'!AF$6:AF$687,'Archetype Data'!$C$6:$C$687,"Industry",'Archetype Data'!$D$6:$D$687,$B264, 'Archetype Data'!$H$6:$H$687,$C264)</f>
        <v>0</v>
      </c>
      <c r="E264" s="15">
        <f>SUMIFS('Archetype Data'!S$6:S$687,'Archetype Data'!$C$6:$C$687,"Industry",'Archetype Data'!$D$6:$D$687,$B264, 'Archetype Data'!$H$6:$H$687,$C264)</f>
        <v>0</v>
      </c>
      <c r="F264" s="15" cm="1">
        <f t="array" ref="F264">SUMPRODUCT('Archetype Data'!AG$6:AG$687,'Archetype Data'!$S$6:$S$687,--('Archetype Data'!$C$6:$C$687="Industry"),--('Archetype Data'!$D$6:$D$687=$B264),--('Archetype Data'!$H$6:$H$687=$C264))</f>
        <v>0</v>
      </c>
      <c r="G264" s="15" cm="1">
        <f t="array" ref="G264">SUMPRODUCT('Archetype Data'!AH$6:AH$687,'Archetype Data'!$S$6:$S$687,--('Archetype Data'!$C$6:$C$687="Industry"),--('Archetype Data'!$D$6:$D$687=$B264),--('Archetype Data'!$H$6:$H$687=$C264))</f>
        <v>0</v>
      </c>
      <c r="H264" s="15" cm="1">
        <f t="array" ref="H264">SUMPRODUCT('Archetype Data'!AI$6:AI$687,'Archetype Data'!$S$6:$S$687,--('Archetype Data'!$C$6:$C$687="Industry"),--('Archetype Data'!$D$6:$D$687=$B264),--('Archetype Data'!$H$6:$H$687=$C264))</f>
        <v>0</v>
      </c>
      <c r="I264" s="15" cm="1">
        <f t="array" ref="I264">SUMPRODUCT('Archetype Data'!AJ$6:AJ$687,'Archetype Data'!$S$6:$S$687,--('Archetype Data'!$C$6:$C$687="Industry"),--('Archetype Data'!$D$6:$D$687=$B264),--('Archetype Data'!$H$6:$H$687=$C264))</f>
        <v>0</v>
      </c>
      <c r="J264" s="15" cm="1">
        <f t="array" ref="J264">SUMPRODUCT('Archetype Data'!AK$6:AK$687,'Archetype Data'!$S$6:$S$687,--('Archetype Data'!$C$6:$C$687="Industry"),--('Archetype Data'!$D$6:$D$687=$B264),--('Archetype Data'!$H$6:$H$687=$C264))</f>
        <v>0</v>
      </c>
    </row>
    <row r="265" spans="2:10" outlineLevel="1">
      <c r="B265" t="s">
        <v>67</v>
      </c>
      <c r="C265" t="s">
        <v>121</v>
      </c>
      <c r="D265" s="15">
        <f>SUMIFS('Archetype Data'!AF$6:AF$687,'Archetype Data'!$C$6:$C$687,"Industry",'Archetype Data'!$D$6:$D$687,$B265, 'Archetype Data'!$H$6:$H$687,$C265)</f>
        <v>0.88327461687374087</v>
      </c>
      <c r="E265" s="15">
        <f>SUMIFS('Archetype Data'!S$6:S$687,'Archetype Data'!$C$6:$C$687,"Industry",'Archetype Data'!$D$6:$D$687,$B265, 'Archetype Data'!$H$6:$H$687,$C265)</f>
        <v>17.665492337474817</v>
      </c>
      <c r="F265" s="15" cm="1">
        <f t="array" ref="F265">SUMPRODUCT('Archetype Data'!AG$6:AG$687,'Archetype Data'!$S$6:$S$687,--('Archetype Data'!$C$6:$C$687="Industry"),--('Archetype Data'!$D$6:$D$687=$B265),--('Archetype Data'!$H$6:$H$687=$C265))</f>
        <v>4560.63412793097</v>
      </c>
      <c r="G265" s="15" cm="1">
        <f t="array" ref="G265">SUMPRODUCT('Archetype Data'!AH$6:AH$687,'Archetype Data'!$S$6:$S$687,--('Archetype Data'!$C$6:$C$687="Industry"),--('Archetype Data'!$D$6:$D$687=$B265),--('Archetype Data'!$H$6:$H$687=$C265))</f>
        <v>0</v>
      </c>
      <c r="H265" s="15" cm="1">
        <f t="array" ref="H265">SUMPRODUCT('Archetype Data'!AI$6:AI$687,'Archetype Data'!$S$6:$S$687,--('Archetype Data'!$C$6:$C$687="Industry"),--('Archetype Data'!$D$6:$D$687=$B265),--('Archetype Data'!$H$6:$H$687=$C265))</f>
        <v>0</v>
      </c>
      <c r="I265" s="15" cm="1">
        <f t="array" ref="I265">SUMPRODUCT('Archetype Data'!AJ$6:AJ$687,'Archetype Data'!$S$6:$S$687,--('Archetype Data'!$C$6:$C$687="Industry"),--('Archetype Data'!$D$6:$D$687=$B265),--('Archetype Data'!$H$6:$H$687=$C265))</f>
        <v>4560.63412793097</v>
      </c>
      <c r="J265" s="15" cm="1">
        <f t="array" ref="J265">SUMPRODUCT('Archetype Data'!AK$6:AK$687,'Archetype Data'!$S$6:$S$687,--('Archetype Data'!$C$6:$C$687="Industry"),--('Archetype Data'!$D$6:$D$687=$B265),--('Archetype Data'!$H$6:$H$687=$C265))</f>
        <v>0</v>
      </c>
    </row>
    <row r="266" spans="2:10" outlineLevel="1">
      <c r="B266" t="s">
        <v>59</v>
      </c>
      <c r="C266" t="s">
        <v>124</v>
      </c>
      <c r="D266" s="15">
        <f>SUMIFS('Archetype Data'!AF$6:AF$687,'Archetype Data'!$C$6:$C$687,"Industry",'Archetype Data'!$D$6:$D$687,$B266, 'Archetype Data'!$H$6:$H$687,$C266)</f>
        <v>42.579785857014464</v>
      </c>
      <c r="E266" s="15">
        <f>SUMIFS('Archetype Data'!S$6:S$687,'Archetype Data'!$C$6:$C$687,"Industry",'Archetype Data'!$D$6:$D$687,$B266, 'Archetype Data'!$H$6:$H$687,$C266)</f>
        <v>106.48534437046077</v>
      </c>
      <c r="F266" s="15" cm="1">
        <f t="array" ref="F266">SUMPRODUCT('Archetype Data'!AG$6:AG$687,'Archetype Data'!$S$6:$S$687,--('Archetype Data'!$C$6:$C$687="Industry"),--('Archetype Data'!$D$6:$D$687=$B266),--('Archetype Data'!$H$6:$H$687=$C266))</f>
        <v>42427.760194863047</v>
      </c>
      <c r="G266" s="15" cm="1">
        <f t="array" ref="G266">SUMPRODUCT('Archetype Data'!AH$6:AH$687,'Archetype Data'!$S$6:$S$687,--('Archetype Data'!$C$6:$C$687="Industry"),--('Archetype Data'!$D$6:$D$687=$B266),--('Archetype Data'!$H$6:$H$687=$C266))</f>
        <v>0</v>
      </c>
      <c r="H266" s="15" cm="1">
        <f t="array" ref="H266">SUMPRODUCT('Archetype Data'!AI$6:AI$687,'Archetype Data'!$S$6:$S$687,--('Archetype Data'!$C$6:$C$687="Industry"),--('Archetype Data'!$D$6:$D$687=$B266),--('Archetype Data'!$H$6:$H$687=$C266))</f>
        <v>42427.760194863047</v>
      </c>
      <c r="I266" s="15" cm="1">
        <f t="array" ref="I266">SUMPRODUCT('Archetype Data'!AJ$6:AJ$687,'Archetype Data'!$S$6:$S$687,--('Archetype Data'!$C$6:$C$687="Industry"),--('Archetype Data'!$D$6:$D$687=$B266),--('Archetype Data'!$H$6:$H$687=$C266))</f>
        <v>0</v>
      </c>
      <c r="J266" s="15" cm="1">
        <f t="array" ref="J266">SUMPRODUCT('Archetype Data'!AK$6:AK$687,'Archetype Data'!$S$6:$S$687,--('Archetype Data'!$C$6:$C$687="Industry"),--('Archetype Data'!$D$6:$D$687=$B266),--('Archetype Data'!$H$6:$H$687=$C266))</f>
        <v>0</v>
      </c>
    </row>
    <row r="267" spans="2:10" outlineLevel="1">
      <c r="B267" t="s">
        <v>59</v>
      </c>
      <c r="C267" t="s">
        <v>125</v>
      </c>
      <c r="D267" s="15">
        <f>SUMIFS('Archetype Data'!AF$6:AF$687,'Archetype Data'!$C$6:$C$687,"Industry",'Archetype Data'!$D$6:$D$687,$B267, 'Archetype Data'!$H$6:$H$687,$C267)</f>
        <v>3.9866364360673567E-3</v>
      </c>
      <c r="E267" s="15">
        <f>SUMIFS('Archetype Data'!S$6:S$687,'Archetype Data'!$C$6:$C$687,"Industry",'Archetype Data'!$D$6:$D$687,$B267, 'Archetype Data'!$H$6:$H$687,$C267)</f>
        <v>6.644394060112262E-3</v>
      </c>
      <c r="F267" s="15" cm="1">
        <f t="array" ref="F267">SUMPRODUCT('Archetype Data'!AG$6:AG$687,'Archetype Data'!$S$6:$S$687,--('Archetype Data'!$C$6:$C$687="Industry"),--('Archetype Data'!$D$6:$D$687=$B267),--('Archetype Data'!$H$6:$H$687=$C267))</f>
        <v>12183.439099319801</v>
      </c>
      <c r="G267" s="15" cm="1">
        <f t="array" ref="G267">SUMPRODUCT('Archetype Data'!AH$6:AH$687,'Archetype Data'!$S$6:$S$687,--('Archetype Data'!$C$6:$C$687="Industry"),--('Archetype Data'!$D$6:$D$687=$B267),--('Archetype Data'!$H$6:$H$687=$C267))</f>
        <v>0</v>
      </c>
      <c r="H267" s="15" cm="1">
        <f t="array" ref="H267">SUMPRODUCT('Archetype Data'!AI$6:AI$687,'Archetype Data'!$S$6:$S$687,--('Archetype Data'!$C$6:$C$687="Industry"),--('Archetype Data'!$D$6:$D$687=$B267),--('Archetype Data'!$H$6:$H$687=$C267))</f>
        <v>12183.439099319801</v>
      </c>
      <c r="I267" s="15" cm="1">
        <f t="array" ref="I267">SUMPRODUCT('Archetype Data'!AJ$6:AJ$687,'Archetype Data'!$S$6:$S$687,--('Archetype Data'!$C$6:$C$687="Industry"),--('Archetype Data'!$D$6:$D$687=$B267),--('Archetype Data'!$H$6:$H$687=$C267))</f>
        <v>0</v>
      </c>
      <c r="J267" s="15" cm="1">
        <f t="array" ref="J267">SUMPRODUCT('Archetype Data'!AK$6:AK$687,'Archetype Data'!$S$6:$S$687,--('Archetype Data'!$C$6:$C$687="Industry"),--('Archetype Data'!$D$6:$D$687=$B267),--('Archetype Data'!$H$6:$H$687=$C267))</f>
        <v>0</v>
      </c>
    </row>
    <row r="268" spans="2:10" outlineLevel="1">
      <c r="B268" t="s">
        <v>59</v>
      </c>
      <c r="C268" t="s">
        <v>126</v>
      </c>
      <c r="D268" s="15">
        <f>SUMIFS('Archetype Data'!AF$6:AF$687,'Archetype Data'!$C$6:$C$687,"Industry",'Archetype Data'!$D$6:$D$687,$B268, 'Archetype Data'!$H$6:$H$687,$C268)</f>
        <v>63.868349906709668</v>
      </c>
      <c r="E268" s="15">
        <f>SUMIFS('Archetype Data'!S$6:S$687,'Archetype Data'!$C$6:$C$687,"Industry",'Archetype Data'!$D$6:$D$687,$B268, 'Archetype Data'!$H$6:$H$687,$C268)</f>
        <v>106.46541118828046</v>
      </c>
      <c r="F268" s="15" cm="1">
        <f t="array" ref="F268">SUMPRODUCT('Archetype Data'!AG$6:AG$687,'Archetype Data'!$S$6:$S$687,--('Archetype Data'!$C$6:$C$687="Industry"),--('Archetype Data'!$D$6:$D$687=$B268),--('Archetype Data'!$H$6:$H$687=$C268))</f>
        <v>51895.392751454703</v>
      </c>
      <c r="G268" s="15" cm="1">
        <f t="array" ref="G268">SUMPRODUCT('Archetype Data'!AH$6:AH$687,'Archetype Data'!$S$6:$S$687,--('Archetype Data'!$C$6:$C$687="Industry"),--('Archetype Data'!$D$6:$D$687=$B268),--('Archetype Data'!$H$6:$H$687=$C268))</f>
        <v>51895.392751454703</v>
      </c>
      <c r="H268" s="15" cm="1">
        <f t="array" ref="H268">SUMPRODUCT('Archetype Data'!AI$6:AI$687,'Archetype Data'!$S$6:$S$687,--('Archetype Data'!$C$6:$C$687="Industry"),--('Archetype Data'!$D$6:$D$687=$B268),--('Archetype Data'!$H$6:$H$687=$C268))</f>
        <v>0</v>
      </c>
      <c r="I268" s="15" cm="1">
        <f t="array" ref="I268">SUMPRODUCT('Archetype Data'!AJ$6:AJ$687,'Archetype Data'!$S$6:$S$687,--('Archetype Data'!$C$6:$C$687="Industry"),--('Archetype Data'!$D$6:$D$687=$B268),--('Archetype Data'!$H$6:$H$687=$C268))</f>
        <v>0</v>
      </c>
      <c r="J268" s="15" cm="1">
        <f t="array" ref="J268">SUMPRODUCT('Archetype Data'!AK$6:AK$687,'Archetype Data'!$S$6:$S$687,--('Archetype Data'!$C$6:$C$687="Industry"),--('Archetype Data'!$D$6:$D$687=$B268),--('Archetype Data'!$H$6:$H$687=$C268))</f>
        <v>0</v>
      </c>
    </row>
    <row r="269" spans="2:10" outlineLevel="1">
      <c r="B269" t="s">
        <v>60</v>
      </c>
      <c r="C269" t="s">
        <v>127</v>
      </c>
      <c r="D269" s="15">
        <f>SUMIFS('Archetype Data'!AF$6:AF$687,'Archetype Data'!$C$6:$C$687,"Industry",'Archetype Data'!$D$6:$D$687,$B269, 'Archetype Data'!$H$6:$H$687,$C269)</f>
        <v>3.0597755997403376E-2</v>
      </c>
      <c r="E269" s="15">
        <f>SUMIFS('Archetype Data'!S$6:S$687,'Archetype Data'!$C$6:$C$687,"Industry",'Archetype Data'!$D$6:$D$687,$B269, 'Archetype Data'!$H$6:$H$687,$C269)</f>
        <v>3.1544078347838532E-2</v>
      </c>
      <c r="F269" s="15" cm="1">
        <f t="array" ref="F269">SUMPRODUCT('Archetype Data'!AG$6:AG$687,'Archetype Data'!$S$6:$S$687,--('Archetype Data'!$C$6:$C$687="Industry"),--('Archetype Data'!$D$6:$D$687=$B269),--('Archetype Data'!$H$6:$H$687=$C269))</f>
        <v>22106.138978938143</v>
      </c>
      <c r="G269" s="15" cm="1">
        <f t="array" ref="G269">SUMPRODUCT('Archetype Data'!AH$6:AH$687,'Archetype Data'!$S$6:$S$687,--('Archetype Data'!$C$6:$C$687="Industry"),--('Archetype Data'!$D$6:$D$687=$B269),--('Archetype Data'!$H$6:$H$687=$C269))</f>
        <v>22106.138978938143</v>
      </c>
      <c r="H269" s="15" cm="1">
        <f t="array" ref="H269">SUMPRODUCT('Archetype Data'!AI$6:AI$687,'Archetype Data'!$S$6:$S$687,--('Archetype Data'!$C$6:$C$687="Industry"),--('Archetype Data'!$D$6:$D$687=$B269),--('Archetype Data'!$H$6:$H$687=$C269))</f>
        <v>0</v>
      </c>
      <c r="I269" s="15" cm="1">
        <f t="array" ref="I269">SUMPRODUCT('Archetype Data'!AJ$6:AJ$687,'Archetype Data'!$S$6:$S$687,--('Archetype Data'!$C$6:$C$687="Industry"),--('Archetype Data'!$D$6:$D$687=$B269),--('Archetype Data'!$H$6:$H$687=$C269))</f>
        <v>0</v>
      </c>
      <c r="J269" s="15" cm="1">
        <f t="array" ref="J269">SUMPRODUCT('Archetype Data'!AK$6:AK$687,'Archetype Data'!$S$6:$S$687,--('Archetype Data'!$C$6:$C$687="Industry"),--('Archetype Data'!$D$6:$D$687=$B269),--('Archetype Data'!$H$6:$H$687=$C269))</f>
        <v>0</v>
      </c>
    </row>
    <row r="270" spans="2:10" outlineLevel="1">
      <c r="B270" t="s">
        <v>60</v>
      </c>
      <c r="C270" t="s">
        <v>126</v>
      </c>
      <c r="D270" s="15">
        <f>SUMIFS('Archetype Data'!AF$6:AF$687,'Archetype Data'!$C$6:$C$687,"Industry",'Archetype Data'!$D$6:$D$687,$B270, 'Archetype Data'!$H$6:$H$687,$C270)</f>
        <v>0</v>
      </c>
      <c r="E270" s="15">
        <f>SUMIFS('Archetype Data'!S$6:S$687,'Archetype Data'!$C$6:$C$687,"Industry",'Archetype Data'!$D$6:$D$687,$B270, 'Archetype Data'!$H$6:$H$687,$C270)</f>
        <v>0</v>
      </c>
      <c r="F270" s="15" cm="1">
        <f t="array" ref="F270">SUMPRODUCT('Archetype Data'!AG$6:AG$687,'Archetype Data'!$S$6:$S$687,--('Archetype Data'!$C$6:$C$687="Industry"),--('Archetype Data'!$D$6:$D$687=$B270),--('Archetype Data'!$H$6:$H$687=$C270))</f>
        <v>0</v>
      </c>
      <c r="G270" s="15" cm="1">
        <f t="array" ref="G270">SUMPRODUCT('Archetype Data'!AH$6:AH$687,'Archetype Data'!$S$6:$S$687,--('Archetype Data'!$C$6:$C$687="Industry"),--('Archetype Data'!$D$6:$D$687=$B270),--('Archetype Data'!$H$6:$H$687=$C270))</f>
        <v>0</v>
      </c>
      <c r="H270" s="15" cm="1">
        <f t="array" ref="H270">SUMPRODUCT('Archetype Data'!AI$6:AI$687,'Archetype Data'!$S$6:$S$687,--('Archetype Data'!$C$6:$C$687="Industry"),--('Archetype Data'!$D$6:$D$687=$B270),--('Archetype Data'!$H$6:$H$687=$C270))</f>
        <v>0</v>
      </c>
      <c r="I270" s="15" cm="1">
        <f t="array" ref="I270">SUMPRODUCT('Archetype Data'!AJ$6:AJ$687,'Archetype Data'!$S$6:$S$687,--('Archetype Data'!$C$6:$C$687="Industry"),--('Archetype Data'!$D$6:$D$687=$B270),--('Archetype Data'!$H$6:$H$687=$C270))</f>
        <v>0</v>
      </c>
      <c r="J270" s="15" cm="1">
        <f t="array" ref="J270">SUMPRODUCT('Archetype Data'!AK$6:AK$687,'Archetype Data'!$S$6:$S$687,--('Archetype Data'!$C$6:$C$687="Industry"),--('Archetype Data'!$D$6:$D$687=$B270),--('Archetype Data'!$H$6:$H$687=$C270))</f>
        <v>0</v>
      </c>
    </row>
    <row r="271" spans="2:10" outlineLevel="1">
      <c r="B271" t="s">
        <v>60</v>
      </c>
      <c r="C271" t="s">
        <v>128</v>
      </c>
      <c r="D271" s="15">
        <f>SUMIFS('Archetype Data'!AF$6:AF$687,'Archetype Data'!$C$6:$C$687,"Industry",'Archetype Data'!$D$6:$D$687,$B271, 'Archetype Data'!$H$6:$H$687,$C271)</f>
        <v>9.4632235043515581E-4</v>
      </c>
      <c r="E271" s="15">
        <f>SUMIFS('Archetype Data'!S$6:S$687,'Archetype Data'!$C$6:$C$687,"Industry",'Archetype Data'!$D$6:$D$687,$B271, 'Archetype Data'!$H$6:$H$687,$C271)</f>
        <v>3.1544078347838525E-2</v>
      </c>
      <c r="F271" s="15" cm="1">
        <f t="array" ref="F271">SUMPRODUCT('Archetype Data'!AG$6:AG$687,'Archetype Data'!$S$6:$S$687,--('Archetype Data'!$C$6:$C$687="Industry"),--('Archetype Data'!$D$6:$D$687=$B271),--('Archetype Data'!$H$6:$H$687=$C271))</f>
        <v>698.88824263309573</v>
      </c>
      <c r="G271" s="15" cm="1">
        <f t="array" ref="G271">SUMPRODUCT('Archetype Data'!AH$6:AH$687,'Archetype Data'!$S$6:$S$687,--('Archetype Data'!$C$6:$C$687="Industry"),--('Archetype Data'!$D$6:$D$687=$B271),--('Archetype Data'!$H$6:$H$687=$C271))</f>
        <v>0</v>
      </c>
      <c r="H271" s="15" cm="1">
        <f t="array" ref="H271">SUMPRODUCT('Archetype Data'!AI$6:AI$687,'Archetype Data'!$S$6:$S$687,--('Archetype Data'!$C$6:$C$687="Industry"),--('Archetype Data'!$D$6:$D$687=$B271),--('Archetype Data'!$H$6:$H$687=$C271))</f>
        <v>698.88824263309573</v>
      </c>
      <c r="I271" s="15" cm="1">
        <f t="array" ref="I271">SUMPRODUCT('Archetype Data'!AJ$6:AJ$687,'Archetype Data'!$S$6:$S$687,--('Archetype Data'!$C$6:$C$687="Industry"),--('Archetype Data'!$D$6:$D$687=$B271),--('Archetype Data'!$H$6:$H$687=$C271))</f>
        <v>0</v>
      </c>
      <c r="J271" s="15" cm="1">
        <f t="array" ref="J271">SUMPRODUCT('Archetype Data'!AK$6:AK$687,'Archetype Data'!$S$6:$S$687,--('Archetype Data'!$C$6:$C$687="Industry"),--('Archetype Data'!$D$6:$D$687=$B271),--('Archetype Data'!$H$6:$H$687=$C271))</f>
        <v>0</v>
      </c>
    </row>
    <row r="272" spans="2:10" outlineLevel="1">
      <c r="B272" t="s">
        <v>61</v>
      </c>
      <c r="C272" t="s">
        <v>124</v>
      </c>
      <c r="D272" s="15">
        <f>SUMIFS('Archetype Data'!AF$6:AF$687,'Archetype Data'!$C$6:$C$687,"Industry",'Archetype Data'!$D$6:$D$687,$B272, 'Archetype Data'!$H$6:$H$687,$C272)</f>
        <v>1.7098026957464755E-3</v>
      </c>
      <c r="E272" s="15">
        <f>SUMIFS('Archetype Data'!S$6:S$687,'Archetype Data'!$C$6:$C$687,"Industry",'Archetype Data'!$D$6:$D$687,$B272, 'Archetype Data'!$H$6:$H$687,$C272)</f>
        <v>5.129408087239426E-2</v>
      </c>
      <c r="F272" s="15" cm="1">
        <f t="array" ref="F272">SUMPRODUCT('Archetype Data'!AG$6:AG$687,'Archetype Data'!$S$6:$S$687,--('Archetype Data'!$C$6:$C$687="Industry"),--('Archetype Data'!$D$6:$D$687=$B272),--('Archetype Data'!$H$6:$H$687=$C272))</f>
        <v>2269.499094721933</v>
      </c>
      <c r="G272" s="15" cm="1">
        <f t="array" ref="G272">SUMPRODUCT('Archetype Data'!AH$6:AH$687,'Archetype Data'!$S$6:$S$687,--('Archetype Data'!$C$6:$C$687="Industry"),--('Archetype Data'!$D$6:$D$687=$B272),--('Archetype Data'!$H$6:$H$687=$C272))</f>
        <v>0</v>
      </c>
      <c r="H272" s="15" cm="1">
        <f t="array" ref="H272">SUMPRODUCT('Archetype Data'!AI$6:AI$687,'Archetype Data'!$S$6:$S$687,--('Archetype Data'!$C$6:$C$687="Industry"),--('Archetype Data'!$D$6:$D$687=$B272),--('Archetype Data'!$H$6:$H$687=$C272))</f>
        <v>2269.499094721933</v>
      </c>
      <c r="I272" s="15" cm="1">
        <f t="array" ref="I272">SUMPRODUCT('Archetype Data'!AJ$6:AJ$687,'Archetype Data'!$S$6:$S$687,--('Archetype Data'!$C$6:$C$687="Industry"),--('Archetype Data'!$D$6:$D$687=$B272),--('Archetype Data'!$H$6:$H$687=$C272))</f>
        <v>0</v>
      </c>
      <c r="J272" s="15" cm="1">
        <f t="array" ref="J272">SUMPRODUCT('Archetype Data'!AK$6:AK$687,'Archetype Data'!$S$6:$S$687,--('Archetype Data'!$C$6:$C$687="Industry"),--('Archetype Data'!$D$6:$D$687=$B272),--('Archetype Data'!$H$6:$H$687=$C272))</f>
        <v>0</v>
      </c>
    </row>
    <row r="273" spans="2:10" outlineLevel="1">
      <c r="B273" t="s">
        <v>61</v>
      </c>
      <c r="C273" t="s">
        <v>125</v>
      </c>
      <c r="D273" s="15">
        <f>SUMIFS('Archetype Data'!AF$6:AF$687,'Archetype Data'!$C$6:$C$687,"Industry",'Archetype Data'!$D$6:$D$687,$B273, 'Archetype Data'!$H$6:$H$687,$C273)</f>
        <v>3.4196053914929509E-3</v>
      </c>
      <c r="E273" s="15">
        <f>SUMIFS('Archetype Data'!S$6:S$687,'Archetype Data'!$C$6:$C$687,"Industry",'Archetype Data'!$D$6:$D$687,$B273, 'Archetype Data'!$H$6:$H$687,$C273)</f>
        <v>1.7098026957464752E-2</v>
      </c>
      <c r="F273" s="15" cm="1">
        <f t="array" ref="F273">SUMPRODUCT('Archetype Data'!AG$6:AG$687,'Archetype Data'!$S$6:$S$687,--('Archetype Data'!$C$6:$C$687="Industry"),--('Archetype Data'!$D$6:$D$687=$B273),--('Archetype Data'!$H$6:$H$687=$C273))</f>
        <v>2466.8468420890576</v>
      </c>
      <c r="G273" s="15" cm="1">
        <f t="array" ref="G273">SUMPRODUCT('Archetype Data'!AH$6:AH$687,'Archetype Data'!$S$6:$S$687,--('Archetype Data'!$C$6:$C$687="Industry"),--('Archetype Data'!$D$6:$D$687=$B273),--('Archetype Data'!$H$6:$H$687=$C273))</f>
        <v>0</v>
      </c>
      <c r="H273" s="15" cm="1">
        <f t="array" ref="H273">SUMPRODUCT('Archetype Data'!AI$6:AI$687,'Archetype Data'!$S$6:$S$687,--('Archetype Data'!$C$6:$C$687="Industry"),--('Archetype Data'!$D$6:$D$687=$B273),--('Archetype Data'!$H$6:$H$687=$C273))</f>
        <v>2466.8468420890576</v>
      </c>
      <c r="I273" s="15" cm="1">
        <f t="array" ref="I273">SUMPRODUCT('Archetype Data'!AJ$6:AJ$687,'Archetype Data'!$S$6:$S$687,--('Archetype Data'!$C$6:$C$687="Industry"),--('Archetype Data'!$D$6:$D$687=$B273),--('Archetype Data'!$H$6:$H$687=$C273))</f>
        <v>0</v>
      </c>
      <c r="J273" s="15" cm="1">
        <f t="array" ref="J273">SUMPRODUCT('Archetype Data'!AK$6:AK$687,'Archetype Data'!$S$6:$S$687,--('Archetype Data'!$C$6:$C$687="Industry"),--('Archetype Data'!$D$6:$D$687=$B273),--('Archetype Data'!$H$6:$H$687=$C273))</f>
        <v>0</v>
      </c>
    </row>
    <row r="274" spans="2:10" outlineLevel="1">
      <c r="B274" t="s">
        <v>61</v>
      </c>
      <c r="C274" t="s">
        <v>126</v>
      </c>
      <c r="D274" s="15">
        <f>SUMIFS('Archetype Data'!AF$6:AF$687,'Archetype Data'!$C$6:$C$687,"Industry",'Archetype Data'!$D$6:$D$687,$B274, 'Archetype Data'!$H$6:$H$687,$C274)</f>
        <v>1.1968618870225326E-2</v>
      </c>
      <c r="E274" s="15">
        <f>SUMIFS('Archetype Data'!S$6:S$687,'Archetype Data'!$C$6:$C$687,"Industry",'Archetype Data'!$D$6:$D$687,$B274, 'Archetype Data'!$H$6:$H$687,$C274)</f>
        <v>0.17098026957464757</v>
      </c>
      <c r="F274" s="15" cm="1">
        <f t="array" ref="F274">SUMPRODUCT('Archetype Data'!AG$6:AG$687,'Archetype Data'!$S$6:$S$687,--('Archetype Data'!$C$6:$C$687="Industry"),--('Archetype Data'!$D$6:$D$687=$B274),--('Archetype Data'!$H$6:$H$687=$C274))</f>
        <v>14677.73871042989</v>
      </c>
      <c r="G274" s="15" cm="1">
        <f t="array" ref="G274">SUMPRODUCT('Archetype Data'!AH$6:AH$687,'Archetype Data'!$S$6:$S$687,--('Archetype Data'!$C$6:$C$687="Industry"),--('Archetype Data'!$D$6:$D$687=$B274),--('Archetype Data'!$H$6:$H$687=$C274))</f>
        <v>0</v>
      </c>
      <c r="H274" s="15" cm="1">
        <f t="array" ref="H274">SUMPRODUCT('Archetype Data'!AI$6:AI$687,'Archetype Data'!$S$6:$S$687,--('Archetype Data'!$C$6:$C$687="Industry"),--('Archetype Data'!$D$6:$D$687=$B274),--('Archetype Data'!$H$6:$H$687=$C274))</f>
        <v>14677.73871042989</v>
      </c>
      <c r="I274" s="15" cm="1">
        <f t="array" ref="I274">SUMPRODUCT('Archetype Data'!AJ$6:AJ$687,'Archetype Data'!$S$6:$S$687,--('Archetype Data'!$C$6:$C$687="Industry"),--('Archetype Data'!$D$6:$D$687=$B274),--('Archetype Data'!$H$6:$H$687=$C274))</f>
        <v>0</v>
      </c>
      <c r="J274" s="15" cm="1">
        <f t="array" ref="J274">SUMPRODUCT('Archetype Data'!AK$6:AK$687,'Archetype Data'!$S$6:$S$687,--('Archetype Data'!$C$6:$C$687="Industry"),--('Archetype Data'!$D$6:$D$687=$B274),--('Archetype Data'!$H$6:$H$687=$C274))</f>
        <v>0</v>
      </c>
    </row>
    <row r="275" spans="2:10" outlineLevel="1">
      <c r="B275" t="s">
        <v>62</v>
      </c>
      <c r="C275" t="s">
        <v>124</v>
      </c>
      <c r="D275" s="15">
        <f>SUMIFS('Archetype Data'!AF$6:AF$687,'Archetype Data'!$C$6:$C$687,"Industry",'Archetype Data'!$D$6:$D$687,$B275, 'Archetype Data'!$H$6:$H$687,$C275)</f>
        <v>6.6581790201305928</v>
      </c>
      <c r="E275" s="15">
        <f>SUMIFS('Archetype Data'!S$6:S$687,'Archetype Data'!$C$6:$C$687,"Industry",'Archetype Data'!$D$6:$D$687,$B275, 'Archetype Data'!$H$6:$H$687,$C275)</f>
        <v>11.113645541237991</v>
      </c>
      <c r="F275" s="15" cm="1">
        <f t="array" ref="F275">SUMPRODUCT('Archetype Data'!AG$6:AG$687,'Archetype Data'!$S$6:$S$687,--('Archetype Data'!$C$6:$C$687="Industry"),--('Archetype Data'!$D$6:$D$687=$B275),--('Archetype Data'!$H$6:$H$687=$C275))</f>
        <v>15407.295240861173</v>
      </c>
      <c r="G275" s="15" cm="1">
        <f t="array" ref="G275">SUMPRODUCT('Archetype Data'!AH$6:AH$687,'Archetype Data'!$S$6:$S$687,--('Archetype Data'!$C$6:$C$687="Industry"),--('Archetype Data'!$D$6:$D$687=$B275),--('Archetype Data'!$H$6:$H$687=$C275))</f>
        <v>0</v>
      </c>
      <c r="H275" s="15" cm="1">
        <f t="array" ref="H275">SUMPRODUCT('Archetype Data'!AI$6:AI$687,'Archetype Data'!$S$6:$S$687,--('Archetype Data'!$C$6:$C$687="Industry"),--('Archetype Data'!$D$6:$D$687=$B275),--('Archetype Data'!$H$6:$H$687=$C275))</f>
        <v>0</v>
      </c>
      <c r="I275" s="15" cm="1">
        <f t="array" ref="I275">SUMPRODUCT('Archetype Data'!AJ$6:AJ$687,'Archetype Data'!$S$6:$S$687,--('Archetype Data'!$C$6:$C$687="Industry"),--('Archetype Data'!$D$6:$D$687=$B275),--('Archetype Data'!$H$6:$H$687=$C275))</f>
        <v>15407.295240861173</v>
      </c>
      <c r="J275" s="15" cm="1">
        <f t="array" ref="J275">SUMPRODUCT('Archetype Data'!AK$6:AK$687,'Archetype Data'!$S$6:$S$687,--('Archetype Data'!$C$6:$C$687="Industry"),--('Archetype Data'!$D$6:$D$687=$B275),--('Archetype Data'!$H$6:$H$687=$C275))</f>
        <v>0</v>
      </c>
    </row>
    <row r="276" spans="2:10" outlineLevel="1">
      <c r="B276" t="s">
        <v>62</v>
      </c>
      <c r="C276" t="s">
        <v>128</v>
      </c>
      <c r="D276" s="15">
        <f>SUMIFS('Archetype Data'!AF$6:AF$687,'Archetype Data'!$C$6:$C$687,"Industry",'Archetype Data'!$D$6:$D$687,$B276, 'Archetype Data'!$H$6:$H$687,$C276)</f>
        <v>4.4429561403421474</v>
      </c>
      <c r="E276" s="15">
        <f>SUMIFS('Archetype Data'!S$6:S$687,'Archetype Data'!$C$6:$C$687,"Industry",'Archetype Data'!$D$6:$D$687,$B276, 'Archetype Data'!$H$6:$H$687,$C276)</f>
        <v>11.113645541237991</v>
      </c>
      <c r="F276" s="15" cm="1">
        <f t="array" ref="F276">SUMPRODUCT('Archetype Data'!AG$6:AG$687,'Archetype Data'!$S$6:$S$687,--('Archetype Data'!$C$6:$C$687="Industry"),--('Archetype Data'!$D$6:$D$687=$B276),--('Archetype Data'!$H$6:$H$687=$C276))</f>
        <v>11533.665317207597</v>
      </c>
      <c r="G276" s="15" cm="1">
        <f t="array" ref="G276">SUMPRODUCT('Archetype Data'!AH$6:AH$687,'Archetype Data'!$S$6:$S$687,--('Archetype Data'!$C$6:$C$687="Industry"),--('Archetype Data'!$D$6:$D$687=$B276),--('Archetype Data'!$H$6:$H$687=$C276))</f>
        <v>0</v>
      </c>
      <c r="H276" s="15" cm="1">
        <f t="array" ref="H276">SUMPRODUCT('Archetype Data'!AI$6:AI$687,'Archetype Data'!$S$6:$S$687,--('Archetype Data'!$C$6:$C$687="Industry"),--('Archetype Data'!$D$6:$D$687=$B276),--('Archetype Data'!$H$6:$H$687=$C276))</f>
        <v>0</v>
      </c>
      <c r="I276" s="15" cm="1">
        <f t="array" ref="I276">SUMPRODUCT('Archetype Data'!AJ$6:AJ$687,'Archetype Data'!$S$6:$S$687,--('Archetype Data'!$C$6:$C$687="Industry"),--('Archetype Data'!$D$6:$D$687=$B276),--('Archetype Data'!$H$6:$H$687=$C276))</f>
        <v>11533.665317207597</v>
      </c>
      <c r="J276" s="15" cm="1">
        <f t="array" ref="J276">SUMPRODUCT('Archetype Data'!AK$6:AK$687,'Archetype Data'!$S$6:$S$687,--('Archetype Data'!$C$6:$C$687="Industry"),--('Archetype Data'!$D$6:$D$687=$B276),--('Archetype Data'!$H$6:$H$687=$C276))</f>
        <v>0</v>
      </c>
    </row>
    <row r="277" spans="2:10" outlineLevel="1">
      <c r="B277" t="s">
        <v>63</v>
      </c>
      <c r="C277" t="s">
        <v>129</v>
      </c>
      <c r="D277" s="15">
        <f>SUMIFS('Archetype Data'!AF$6:AF$687,'Archetype Data'!$C$6:$C$687,"Industry",'Archetype Data'!$D$6:$D$687,$B277, 'Archetype Data'!$H$6:$H$687,$C277)</f>
        <v>65.593606291723304</v>
      </c>
      <c r="E277" s="15">
        <f>SUMIFS('Archetype Data'!S$6:S$687,'Archetype Data'!$C$6:$C$687,"Industry",'Archetype Data'!$D$6:$D$687,$B277, 'Archetype Data'!$H$6:$H$687,$C277)</f>
        <v>327.9968367110676</v>
      </c>
      <c r="F277" s="15" cm="1">
        <f t="array" ref="F277">SUMPRODUCT('Archetype Data'!AG$6:AG$687,'Archetype Data'!$S$6:$S$687,--('Archetype Data'!$C$6:$C$687="Industry"),--('Archetype Data'!$D$6:$D$687=$B277),--('Archetype Data'!$H$6:$H$687=$C277))</f>
        <v>102024.03837216609</v>
      </c>
      <c r="G277" s="15" cm="1">
        <f t="array" ref="G277">SUMPRODUCT('Archetype Data'!AH$6:AH$687,'Archetype Data'!$S$6:$S$687,--('Archetype Data'!$C$6:$C$687="Industry"),--('Archetype Data'!$D$6:$D$687=$B277),--('Archetype Data'!$H$6:$H$687=$C277))</f>
        <v>102024.03837216609</v>
      </c>
      <c r="H277" s="15" cm="1">
        <f t="array" ref="H277">SUMPRODUCT('Archetype Data'!AI$6:AI$687,'Archetype Data'!$S$6:$S$687,--('Archetype Data'!$C$6:$C$687="Industry"),--('Archetype Data'!$D$6:$D$687=$B277),--('Archetype Data'!$H$6:$H$687=$C277))</f>
        <v>0</v>
      </c>
      <c r="I277" s="15" cm="1">
        <f t="array" ref="I277">SUMPRODUCT('Archetype Data'!AJ$6:AJ$687,'Archetype Data'!$S$6:$S$687,--('Archetype Data'!$C$6:$C$687="Industry"),--('Archetype Data'!$D$6:$D$687=$B277),--('Archetype Data'!$H$6:$H$687=$C277))</f>
        <v>0</v>
      </c>
      <c r="J277" s="15" cm="1">
        <f t="array" ref="J277">SUMPRODUCT('Archetype Data'!AK$6:AK$687,'Archetype Data'!$S$6:$S$687,--('Archetype Data'!$C$6:$C$687="Industry"),--('Archetype Data'!$D$6:$D$687=$B277),--('Archetype Data'!$H$6:$H$687=$C277))</f>
        <v>0</v>
      </c>
    </row>
    <row r="278" spans="2:10" outlineLevel="1">
      <c r="B278" t="s">
        <v>63</v>
      </c>
      <c r="C278" t="s">
        <v>124</v>
      </c>
      <c r="D278" s="15">
        <f>SUMIFS('Archetype Data'!AF$6:AF$687,'Archetype Data'!$C$6:$C$687,"Industry",'Archetype Data'!$D$6:$D$687,$B278, 'Archetype Data'!$H$6:$H$687,$C278)</f>
        <v>114.81329547509924</v>
      </c>
      <c r="E278" s="15">
        <f>SUMIFS('Archetype Data'!S$6:S$687,'Archetype Data'!$C$6:$C$687,"Industry",'Archetype Data'!$D$6:$D$687,$B278, 'Archetype Data'!$H$6:$H$687,$C278)</f>
        <v>328.05444721596996</v>
      </c>
      <c r="F278" s="15" cm="1">
        <f t="array" ref="F278">SUMPRODUCT('Archetype Data'!AG$6:AG$687,'Archetype Data'!$S$6:$S$687,--('Archetype Data'!$C$6:$C$687="Industry"),--('Archetype Data'!$D$6:$D$687=$B278),--('Archetype Data'!$H$6:$H$687=$C278))</f>
        <v>194282.40112380852</v>
      </c>
      <c r="G278" s="15" cm="1">
        <f t="array" ref="G278">SUMPRODUCT('Archetype Data'!AH$6:AH$687,'Archetype Data'!$S$6:$S$687,--('Archetype Data'!$C$6:$C$687="Industry"),--('Archetype Data'!$D$6:$D$687=$B278),--('Archetype Data'!$H$6:$H$687=$C278))</f>
        <v>0</v>
      </c>
      <c r="H278" s="15" cm="1">
        <f t="array" ref="H278">SUMPRODUCT('Archetype Data'!AI$6:AI$687,'Archetype Data'!$S$6:$S$687,--('Archetype Data'!$C$6:$C$687="Industry"),--('Archetype Data'!$D$6:$D$687=$B278),--('Archetype Data'!$H$6:$H$687=$C278))</f>
        <v>0</v>
      </c>
      <c r="I278" s="15" cm="1">
        <f t="array" ref="I278">SUMPRODUCT('Archetype Data'!AJ$6:AJ$687,'Archetype Data'!$S$6:$S$687,--('Archetype Data'!$C$6:$C$687="Industry"),--('Archetype Data'!$D$6:$D$687=$B278),--('Archetype Data'!$H$6:$H$687=$C278))</f>
        <v>194282.40112380852</v>
      </c>
      <c r="J278" s="15" cm="1">
        <f t="array" ref="J278">SUMPRODUCT('Archetype Data'!AK$6:AK$687,'Archetype Data'!$S$6:$S$687,--('Archetype Data'!$C$6:$C$687="Industry"),--('Archetype Data'!$D$6:$D$687=$B278),--('Archetype Data'!$H$6:$H$687=$C278))</f>
        <v>0</v>
      </c>
    </row>
    <row r="279" spans="2:10" outlineLevel="1">
      <c r="B279" t="s">
        <v>63</v>
      </c>
      <c r="C279" t="s">
        <v>128</v>
      </c>
      <c r="D279" s="15">
        <f>SUMIFS('Archetype Data'!AF$6:AF$687,'Archetype Data'!$C$6:$C$687,"Industry",'Archetype Data'!$D$6:$D$687,$B279, 'Archetype Data'!$H$6:$H$687,$C279)</f>
        <v>147.5899349442451</v>
      </c>
      <c r="E279" s="15">
        <f>SUMIFS('Archetype Data'!S$6:S$687,'Archetype Data'!$C$6:$C$687,"Industry",'Archetype Data'!$D$6:$D$687,$B279, 'Archetype Data'!$H$6:$H$687,$C279)</f>
        <v>328.0544472159699</v>
      </c>
      <c r="F279" s="15" cm="1">
        <f t="array" ref="F279">SUMPRODUCT('Archetype Data'!AG$6:AG$687,'Archetype Data'!$S$6:$S$687,--('Archetype Data'!$C$6:$C$687="Industry"),--('Archetype Data'!$D$6:$D$687=$B279),--('Archetype Data'!$H$6:$H$687=$C279))</f>
        <v>248641.51749790137</v>
      </c>
      <c r="G279" s="15" cm="1">
        <f t="array" ref="G279">SUMPRODUCT('Archetype Data'!AH$6:AH$687,'Archetype Data'!$S$6:$S$687,--('Archetype Data'!$C$6:$C$687="Industry"),--('Archetype Data'!$D$6:$D$687=$B279),--('Archetype Data'!$H$6:$H$687=$C279))</f>
        <v>0</v>
      </c>
      <c r="H279" s="15" cm="1">
        <f t="array" ref="H279">SUMPRODUCT('Archetype Data'!AI$6:AI$687,'Archetype Data'!$S$6:$S$687,--('Archetype Data'!$C$6:$C$687="Industry"),--('Archetype Data'!$D$6:$D$687=$B279),--('Archetype Data'!$H$6:$H$687=$C279))</f>
        <v>248641.51749790137</v>
      </c>
      <c r="I279" s="15" cm="1">
        <f t="array" ref="I279">SUMPRODUCT('Archetype Data'!AJ$6:AJ$687,'Archetype Data'!$S$6:$S$687,--('Archetype Data'!$C$6:$C$687="Industry"),--('Archetype Data'!$D$6:$D$687=$B279),--('Archetype Data'!$H$6:$H$687=$C279))</f>
        <v>0</v>
      </c>
      <c r="J279" s="15" cm="1">
        <f t="array" ref="J279">SUMPRODUCT('Archetype Data'!AK$6:AK$687,'Archetype Data'!$S$6:$S$687,--('Archetype Data'!$C$6:$C$687="Industry"),--('Archetype Data'!$D$6:$D$687=$B279),--('Archetype Data'!$H$6:$H$687=$C279))</f>
        <v>0</v>
      </c>
    </row>
    <row r="280" spans="2:10" outlineLevel="1">
      <c r="B280" t="s">
        <v>64</v>
      </c>
      <c r="C280" t="s">
        <v>124</v>
      </c>
      <c r="D280" s="15">
        <f>SUMIFS('Archetype Data'!AF$6:AF$687,'Archetype Data'!$C$6:$C$687,"Industry",'Archetype Data'!$D$6:$D$687,$B280, 'Archetype Data'!$H$6:$H$687,$C280)</f>
        <v>295.92051806808439</v>
      </c>
      <c r="E280" s="15">
        <f>SUMIFS('Archetype Data'!S$6:S$687,'Archetype Data'!$C$6:$C$687,"Industry",'Archetype Data'!$D$6:$D$687,$B280, 'Archetype Data'!$H$6:$H$687,$C280)</f>
        <v>425.54621448027967</v>
      </c>
      <c r="F280" s="15" cm="1">
        <f t="array" ref="F280">SUMPRODUCT('Archetype Data'!AG$6:AG$687,'Archetype Data'!$S$6:$S$687,--('Archetype Data'!$C$6:$C$687="Industry"),--('Archetype Data'!$D$6:$D$687=$B280),--('Archetype Data'!$H$6:$H$687=$C280))</f>
        <v>435314.98994948046</v>
      </c>
      <c r="G280" s="15" cm="1">
        <f t="array" ref="G280">SUMPRODUCT('Archetype Data'!AH$6:AH$687,'Archetype Data'!$S$6:$S$687,--('Archetype Data'!$C$6:$C$687="Industry"),--('Archetype Data'!$D$6:$D$687=$B280),--('Archetype Data'!$H$6:$H$687=$C280))</f>
        <v>0</v>
      </c>
      <c r="H280" s="15" cm="1">
        <f t="array" ref="H280">SUMPRODUCT('Archetype Data'!AI$6:AI$687,'Archetype Data'!$S$6:$S$687,--('Archetype Data'!$C$6:$C$687="Industry"),--('Archetype Data'!$D$6:$D$687=$B280),--('Archetype Data'!$H$6:$H$687=$C280))</f>
        <v>43531.498994948051</v>
      </c>
      <c r="I280" s="15" cm="1">
        <f t="array" ref="I280">SUMPRODUCT('Archetype Data'!AJ$6:AJ$687,'Archetype Data'!$S$6:$S$687,--('Archetype Data'!$C$6:$C$687="Industry"),--('Archetype Data'!$D$6:$D$687=$B280),--('Archetype Data'!$H$6:$H$687=$C280))</f>
        <v>261188.99396968825</v>
      </c>
      <c r="J280" s="15" cm="1">
        <f t="array" ref="J280">SUMPRODUCT('Archetype Data'!AK$6:AK$687,'Archetype Data'!$S$6:$S$687,--('Archetype Data'!$C$6:$C$687="Industry"),--('Archetype Data'!$D$6:$D$687=$B280),--('Archetype Data'!$H$6:$H$687=$C280))</f>
        <v>130594.49698484413</v>
      </c>
    </row>
    <row r="281" spans="2:10" outlineLevel="1">
      <c r="B281" t="s">
        <v>64</v>
      </c>
      <c r="C281" t="s">
        <v>125</v>
      </c>
      <c r="D281" s="15">
        <f>SUMIFS('Archetype Data'!AF$6:AF$687,'Archetype Data'!$C$6:$C$687,"Industry",'Archetype Data'!$D$6:$D$687,$B281, 'Archetype Data'!$H$6:$H$687,$C281)</f>
        <v>64.126206982258651</v>
      </c>
      <c r="E281" s="15">
        <f>SUMIFS('Archetype Data'!S$6:S$687,'Archetype Data'!$C$6:$C$687,"Industry",'Archetype Data'!$D$6:$D$687,$B281, 'Archetype Data'!$H$6:$H$687,$C281)</f>
        <v>423.58438241216834</v>
      </c>
      <c r="F281" s="15" cm="1">
        <f t="array" ref="F281">SUMPRODUCT('Archetype Data'!AG$6:AG$687,'Archetype Data'!$S$6:$S$687,--('Archetype Data'!$C$6:$C$687="Industry"),--('Archetype Data'!$D$6:$D$687=$B281),--('Archetype Data'!$H$6:$H$687=$C281))</f>
        <v>99901.149399527407</v>
      </c>
      <c r="G281" s="15" cm="1">
        <f t="array" ref="G281">SUMPRODUCT('Archetype Data'!AH$6:AH$687,'Archetype Data'!$S$6:$S$687,--('Archetype Data'!$C$6:$C$687="Industry"),--('Archetype Data'!$D$6:$D$687=$B281),--('Archetype Data'!$H$6:$H$687=$C281))</f>
        <v>0</v>
      </c>
      <c r="H281" s="15" cm="1">
        <f t="array" ref="H281">SUMPRODUCT('Archetype Data'!AI$6:AI$687,'Archetype Data'!$S$6:$S$687,--('Archetype Data'!$C$6:$C$687="Industry"),--('Archetype Data'!$D$6:$D$687=$B281),--('Archetype Data'!$H$6:$H$687=$C281))</f>
        <v>0</v>
      </c>
      <c r="I281" s="15" cm="1">
        <f t="array" ref="I281">SUMPRODUCT('Archetype Data'!AJ$6:AJ$687,'Archetype Data'!$S$6:$S$687,--('Archetype Data'!$C$6:$C$687="Industry"),--('Archetype Data'!$D$6:$D$687=$B281),--('Archetype Data'!$H$6:$H$687=$C281))</f>
        <v>99901.149399527407</v>
      </c>
      <c r="J281" s="15" cm="1">
        <f t="array" ref="J281">SUMPRODUCT('Archetype Data'!AK$6:AK$687,'Archetype Data'!$S$6:$S$687,--('Archetype Data'!$C$6:$C$687="Industry"),--('Archetype Data'!$D$6:$D$687=$B281),--('Archetype Data'!$H$6:$H$687=$C281))</f>
        <v>0</v>
      </c>
    </row>
    <row r="282" spans="2:10" outlineLevel="1">
      <c r="B282" t="s">
        <v>64</v>
      </c>
      <c r="C282" t="s">
        <v>130</v>
      </c>
      <c r="D282" s="15">
        <f>SUMIFS('Archetype Data'!AF$6:AF$687,'Archetype Data'!$C$6:$C$687,"Industry",'Archetype Data'!$D$6:$D$687,$B282, 'Archetype Data'!$H$6:$H$687,$C282)</f>
        <v>42.358438241216831</v>
      </c>
      <c r="E282" s="15">
        <f>SUMIFS('Archetype Data'!S$6:S$687,'Archetype Data'!$C$6:$C$687,"Industry",'Archetype Data'!$D$6:$D$687,$B282, 'Archetype Data'!$H$6:$H$687,$C282)</f>
        <v>422.60346637811261</v>
      </c>
      <c r="F282" s="15" cm="1">
        <f t="array" ref="F282">SUMPRODUCT('Archetype Data'!AG$6:AG$687,'Archetype Data'!$S$6:$S$687,--('Archetype Data'!$C$6:$C$687="Industry"),--('Archetype Data'!$D$6:$D$687=$B282),--('Archetype Data'!$H$6:$H$687=$C282))</f>
        <v>72839.188805248341</v>
      </c>
      <c r="G282" s="15" cm="1">
        <f t="array" ref="G282">SUMPRODUCT('Archetype Data'!AH$6:AH$687,'Archetype Data'!$S$6:$S$687,--('Archetype Data'!$C$6:$C$687="Industry"),--('Archetype Data'!$D$6:$D$687=$B282),--('Archetype Data'!$H$6:$H$687=$C282))</f>
        <v>0</v>
      </c>
      <c r="H282" s="15" cm="1">
        <f t="array" ref="H282">SUMPRODUCT('Archetype Data'!AI$6:AI$687,'Archetype Data'!$S$6:$S$687,--('Archetype Data'!$C$6:$C$687="Industry"),--('Archetype Data'!$D$6:$D$687=$B282),--('Archetype Data'!$H$6:$H$687=$C282))</f>
        <v>72839.188805248341</v>
      </c>
      <c r="I282" s="15" cm="1">
        <f t="array" ref="I282">SUMPRODUCT('Archetype Data'!AJ$6:AJ$687,'Archetype Data'!$S$6:$S$687,--('Archetype Data'!$C$6:$C$687="Industry"),--('Archetype Data'!$D$6:$D$687=$B282),--('Archetype Data'!$H$6:$H$687=$C282))</f>
        <v>0</v>
      </c>
      <c r="J282" s="15" cm="1">
        <f t="array" ref="J282">SUMPRODUCT('Archetype Data'!AK$6:AK$687,'Archetype Data'!$S$6:$S$687,--('Archetype Data'!$C$6:$C$687="Industry"),--('Archetype Data'!$D$6:$D$687=$B282),--('Archetype Data'!$H$6:$H$687=$C282))</f>
        <v>0</v>
      </c>
    </row>
    <row r="283" spans="2:10" outlineLevel="1">
      <c r="B283" t="s">
        <v>64</v>
      </c>
      <c r="C283" t="s">
        <v>128</v>
      </c>
      <c r="D283" s="15">
        <f>SUMIFS('Archetype Data'!AF$6:AF$687,'Archetype Data'!$C$6:$C$687,"Industry",'Archetype Data'!$D$6:$D$687,$B283, 'Archetype Data'!$H$6:$H$687,$C283)</f>
        <v>21.179219120608415</v>
      </c>
      <c r="E283" s="15">
        <f>SUMIFS('Archetype Data'!S$6:S$687,'Archetype Data'!$C$6:$C$687,"Industry",'Archetype Data'!$D$6:$D$687,$B283, 'Archetype Data'!$H$6:$H$687,$C283)</f>
        <v>422.60346637811261</v>
      </c>
      <c r="F283" s="15" cm="1">
        <f t="array" ref="F283">SUMPRODUCT('Archetype Data'!AG$6:AG$687,'Archetype Data'!$S$6:$S$687,--('Archetype Data'!$C$6:$C$687="Industry"),--('Archetype Data'!$D$6:$D$687=$B283),--('Archetype Data'!$H$6:$H$687=$C283))</f>
        <v>36419.59440262417</v>
      </c>
      <c r="G283" s="15" cm="1">
        <f t="array" ref="G283">SUMPRODUCT('Archetype Data'!AH$6:AH$687,'Archetype Data'!$S$6:$S$687,--('Archetype Data'!$C$6:$C$687="Industry"),--('Archetype Data'!$D$6:$D$687=$B283),--('Archetype Data'!$H$6:$H$687=$C283))</f>
        <v>0</v>
      </c>
      <c r="H283" s="15" cm="1">
        <f t="array" ref="H283">SUMPRODUCT('Archetype Data'!AI$6:AI$687,'Archetype Data'!$S$6:$S$687,--('Archetype Data'!$C$6:$C$687="Industry"),--('Archetype Data'!$D$6:$D$687=$B283),--('Archetype Data'!$H$6:$H$687=$C283))</f>
        <v>0</v>
      </c>
      <c r="I283" s="15" cm="1">
        <f t="array" ref="I283">SUMPRODUCT('Archetype Data'!AJ$6:AJ$687,'Archetype Data'!$S$6:$S$687,--('Archetype Data'!$C$6:$C$687="Industry"),--('Archetype Data'!$D$6:$D$687=$B283),--('Archetype Data'!$H$6:$H$687=$C283))</f>
        <v>0</v>
      </c>
      <c r="J283" s="15" cm="1">
        <f t="array" ref="J283">SUMPRODUCT('Archetype Data'!AK$6:AK$687,'Archetype Data'!$S$6:$S$687,--('Archetype Data'!$C$6:$C$687="Industry"),--('Archetype Data'!$D$6:$D$687=$B283),--('Archetype Data'!$H$6:$H$687=$C283))</f>
        <v>36419.59440262417</v>
      </c>
    </row>
    <row r="284" spans="2:10" outlineLevel="1">
      <c r="B284" t="s">
        <v>65</v>
      </c>
      <c r="C284" t="s">
        <v>127</v>
      </c>
      <c r="D284" s="15">
        <f>SUMIFS('Archetype Data'!AF$6:AF$687,'Archetype Data'!$C$6:$C$687,"Industry",'Archetype Data'!$D$6:$D$687,$B284, 'Archetype Data'!$H$6:$H$687,$C284)</f>
        <v>5.6596577105389257E-3</v>
      </c>
      <c r="E284" s="15">
        <f>SUMIFS('Archetype Data'!S$6:S$687,'Archetype Data'!$C$6:$C$687,"Industry",'Archetype Data'!$D$6:$D$687,$B284, 'Archetype Data'!$H$6:$H$687,$C284)</f>
        <v>7.5462102807185676E-3</v>
      </c>
      <c r="F284" s="15" cm="1">
        <f t="array" ref="F284">SUMPRODUCT('Archetype Data'!AG$6:AG$687,'Archetype Data'!$S$6:$S$687,--('Archetype Data'!$C$6:$C$687="Industry"),--('Archetype Data'!$D$6:$D$687=$B284),--('Archetype Data'!$H$6:$H$687=$C284))</f>
        <v>694.43399211626911</v>
      </c>
      <c r="G284" s="15" cm="1">
        <f t="array" ref="G284">SUMPRODUCT('Archetype Data'!AH$6:AH$687,'Archetype Data'!$S$6:$S$687,--('Archetype Data'!$C$6:$C$687="Industry"),--('Archetype Data'!$D$6:$D$687=$B284),--('Archetype Data'!$H$6:$H$687=$C284))</f>
        <v>694.43399211626911</v>
      </c>
      <c r="H284" s="15" cm="1">
        <f t="array" ref="H284">SUMPRODUCT('Archetype Data'!AI$6:AI$687,'Archetype Data'!$S$6:$S$687,--('Archetype Data'!$C$6:$C$687="Industry"),--('Archetype Data'!$D$6:$D$687=$B284),--('Archetype Data'!$H$6:$H$687=$C284))</f>
        <v>0</v>
      </c>
      <c r="I284" s="15" cm="1">
        <f t="array" ref="I284">SUMPRODUCT('Archetype Data'!AJ$6:AJ$687,'Archetype Data'!$S$6:$S$687,--('Archetype Data'!$C$6:$C$687="Industry"),--('Archetype Data'!$D$6:$D$687=$B284),--('Archetype Data'!$H$6:$H$687=$C284))</f>
        <v>0</v>
      </c>
      <c r="J284" s="15" cm="1">
        <f t="array" ref="J284">SUMPRODUCT('Archetype Data'!AK$6:AK$687,'Archetype Data'!$S$6:$S$687,--('Archetype Data'!$C$6:$C$687="Industry"),--('Archetype Data'!$D$6:$D$687=$B284),--('Archetype Data'!$H$6:$H$687=$C284))</f>
        <v>0</v>
      </c>
    </row>
    <row r="285" spans="2:10" outlineLevel="1">
      <c r="B285" t="s">
        <v>65</v>
      </c>
      <c r="C285" t="s">
        <v>129</v>
      </c>
      <c r="D285" s="15">
        <f>SUMIFS('Archetype Data'!AF$6:AF$687,'Archetype Data'!$C$6:$C$687,"Industry",'Archetype Data'!$D$6:$D$687,$B285, 'Archetype Data'!$H$6:$H$687,$C285)</f>
        <v>3.7731051403592836E-4</v>
      </c>
      <c r="E285" s="15">
        <f>SUMIFS('Archetype Data'!S$6:S$687,'Archetype Data'!$C$6:$C$687,"Industry",'Archetype Data'!$D$6:$D$687,$B285, 'Archetype Data'!$H$6:$H$687,$C285)</f>
        <v>7.5462102807185676E-3</v>
      </c>
      <c r="F285" s="15" cm="1">
        <f t="array" ref="F285">SUMPRODUCT('Archetype Data'!AG$6:AG$687,'Archetype Data'!$S$6:$S$687,--('Archetype Data'!$C$6:$C$687="Industry"),--('Archetype Data'!$D$6:$D$687=$B285),--('Archetype Data'!$H$6:$H$687=$C285))</f>
        <v>43.723621725839173</v>
      </c>
      <c r="G285" s="15" cm="1">
        <f t="array" ref="G285">SUMPRODUCT('Archetype Data'!AH$6:AH$687,'Archetype Data'!$S$6:$S$687,--('Archetype Data'!$C$6:$C$687="Industry"),--('Archetype Data'!$D$6:$D$687=$B285),--('Archetype Data'!$H$6:$H$687=$C285))</f>
        <v>43.723621725839173</v>
      </c>
      <c r="H285" s="15" cm="1">
        <f t="array" ref="H285">SUMPRODUCT('Archetype Data'!AI$6:AI$687,'Archetype Data'!$S$6:$S$687,--('Archetype Data'!$C$6:$C$687="Industry"),--('Archetype Data'!$D$6:$D$687=$B285),--('Archetype Data'!$H$6:$H$687=$C285))</f>
        <v>0</v>
      </c>
      <c r="I285" s="15" cm="1">
        <f t="array" ref="I285">SUMPRODUCT('Archetype Data'!AJ$6:AJ$687,'Archetype Data'!$S$6:$S$687,--('Archetype Data'!$C$6:$C$687="Industry"),--('Archetype Data'!$D$6:$D$687=$B285),--('Archetype Data'!$H$6:$H$687=$C285))</f>
        <v>0</v>
      </c>
      <c r="J285" s="15" cm="1">
        <f t="array" ref="J285">SUMPRODUCT('Archetype Data'!AK$6:AK$687,'Archetype Data'!$S$6:$S$687,--('Archetype Data'!$C$6:$C$687="Industry"),--('Archetype Data'!$D$6:$D$687=$B285),--('Archetype Data'!$H$6:$H$687=$C285))</f>
        <v>0</v>
      </c>
    </row>
    <row r="286" spans="2:10" outlineLevel="1">
      <c r="B286" t="s">
        <v>65</v>
      </c>
      <c r="C286" t="s">
        <v>126</v>
      </c>
      <c r="D286" s="15">
        <f>SUMIFS('Archetype Data'!AF$6:AF$687,'Archetype Data'!$C$6:$C$687,"Industry",'Archetype Data'!$D$6:$D$687,$B286, 'Archetype Data'!$H$6:$H$687,$C286)</f>
        <v>1.5092420561437134E-3</v>
      </c>
      <c r="E286" s="15">
        <f>SUMIFS('Archetype Data'!S$6:S$687,'Archetype Data'!$C$6:$C$687,"Industry",'Archetype Data'!$D$6:$D$687,$B286, 'Archetype Data'!$H$6:$H$687,$C286)</f>
        <v>7.5462102807185676E-3</v>
      </c>
      <c r="F286" s="15" cm="1">
        <f t="array" ref="F286">SUMPRODUCT('Archetype Data'!AG$6:AG$687,'Archetype Data'!$S$6:$S$687,--('Archetype Data'!$C$6:$C$687="Industry"),--('Archetype Data'!$D$6:$D$687=$B286),--('Archetype Data'!$H$6:$H$687=$C286))</f>
        <v>174.89448690335669</v>
      </c>
      <c r="G286" s="15" cm="1">
        <f t="array" ref="G286">SUMPRODUCT('Archetype Data'!AH$6:AH$687,'Archetype Data'!$S$6:$S$687,--('Archetype Data'!$C$6:$C$687="Industry"),--('Archetype Data'!$D$6:$D$687=$B286),--('Archetype Data'!$H$6:$H$687=$C286))</f>
        <v>174.89448690335669</v>
      </c>
      <c r="H286" s="15" cm="1">
        <f t="array" ref="H286">SUMPRODUCT('Archetype Data'!AI$6:AI$687,'Archetype Data'!$S$6:$S$687,--('Archetype Data'!$C$6:$C$687="Industry"),--('Archetype Data'!$D$6:$D$687=$B286),--('Archetype Data'!$H$6:$H$687=$C286))</f>
        <v>0</v>
      </c>
      <c r="I286" s="15" cm="1">
        <f t="array" ref="I286">SUMPRODUCT('Archetype Data'!AJ$6:AJ$687,'Archetype Data'!$S$6:$S$687,--('Archetype Data'!$C$6:$C$687="Industry"),--('Archetype Data'!$D$6:$D$687=$B286),--('Archetype Data'!$H$6:$H$687=$C286))</f>
        <v>0</v>
      </c>
      <c r="J286" s="15" cm="1">
        <f t="array" ref="J286">SUMPRODUCT('Archetype Data'!AK$6:AK$687,'Archetype Data'!$S$6:$S$687,--('Archetype Data'!$C$6:$C$687="Industry"),--('Archetype Data'!$D$6:$D$687=$B286),--('Archetype Data'!$H$6:$H$687=$C286))</f>
        <v>0</v>
      </c>
    </row>
    <row r="287" spans="2:10" outlineLevel="1">
      <c r="B287" t="s">
        <v>65</v>
      </c>
      <c r="C287" t="s">
        <v>128</v>
      </c>
      <c r="D287" s="15">
        <f>SUMIFS('Archetype Data'!AF$6:AF$687,'Archetype Data'!$C$6:$C$687,"Industry",'Archetype Data'!$D$6:$D$687,$B287, 'Archetype Data'!$H$6:$H$687,$C287)</f>
        <v>0</v>
      </c>
      <c r="E287" s="15">
        <f>SUMIFS('Archetype Data'!S$6:S$687,'Archetype Data'!$C$6:$C$687,"Industry",'Archetype Data'!$D$6:$D$687,$B287, 'Archetype Data'!$H$6:$H$687,$C287)</f>
        <v>0</v>
      </c>
      <c r="F287" s="15" cm="1">
        <f t="array" ref="F287">SUMPRODUCT('Archetype Data'!AG$6:AG$687,'Archetype Data'!$S$6:$S$687,--('Archetype Data'!$C$6:$C$687="Industry"),--('Archetype Data'!$D$6:$D$687=$B287),--('Archetype Data'!$H$6:$H$687=$C287))</f>
        <v>0</v>
      </c>
      <c r="G287" s="15" cm="1">
        <f t="array" ref="G287">SUMPRODUCT('Archetype Data'!AH$6:AH$687,'Archetype Data'!$S$6:$S$687,--('Archetype Data'!$C$6:$C$687="Industry"),--('Archetype Data'!$D$6:$D$687=$B287),--('Archetype Data'!$H$6:$H$687=$C287))</f>
        <v>0</v>
      </c>
      <c r="H287" s="15" cm="1">
        <f t="array" ref="H287">SUMPRODUCT('Archetype Data'!AI$6:AI$687,'Archetype Data'!$S$6:$S$687,--('Archetype Data'!$C$6:$C$687="Industry"),--('Archetype Data'!$D$6:$D$687=$B287),--('Archetype Data'!$H$6:$H$687=$C287))</f>
        <v>0</v>
      </c>
      <c r="I287" s="15" cm="1">
        <f t="array" ref="I287">SUMPRODUCT('Archetype Data'!AJ$6:AJ$687,'Archetype Data'!$S$6:$S$687,--('Archetype Data'!$C$6:$C$687="Industry"),--('Archetype Data'!$D$6:$D$687=$B287),--('Archetype Data'!$H$6:$H$687=$C287))</f>
        <v>0</v>
      </c>
      <c r="J287" s="15" cm="1">
        <f t="array" ref="J287">SUMPRODUCT('Archetype Data'!AK$6:AK$687,'Archetype Data'!$S$6:$S$687,--('Archetype Data'!$C$6:$C$687="Industry"),--('Archetype Data'!$D$6:$D$687=$B287),--('Archetype Data'!$H$6:$H$687=$C287))</f>
        <v>0</v>
      </c>
    </row>
    <row r="288" spans="2:10" outlineLevel="1">
      <c r="B288" t="s">
        <v>66</v>
      </c>
      <c r="C288" t="s">
        <v>129</v>
      </c>
      <c r="D288" s="15">
        <f>SUMIFS('Archetype Data'!AF$6:AF$687,'Archetype Data'!$C$6:$C$687,"Industry",'Archetype Data'!$D$6:$D$687,$B288, 'Archetype Data'!$H$6:$H$687,$C288)</f>
        <v>0</v>
      </c>
      <c r="E288" s="15">
        <f>SUMIFS('Archetype Data'!S$6:S$687,'Archetype Data'!$C$6:$C$687,"Industry",'Archetype Data'!$D$6:$D$687,$B288, 'Archetype Data'!$H$6:$H$687,$C288)</f>
        <v>0</v>
      </c>
      <c r="F288" s="15" cm="1">
        <f t="array" ref="F288">SUMPRODUCT('Archetype Data'!AG$6:AG$687,'Archetype Data'!$S$6:$S$687,--('Archetype Data'!$C$6:$C$687="Industry"),--('Archetype Data'!$D$6:$D$687=$B288),--('Archetype Data'!$H$6:$H$687=$C288))</f>
        <v>0</v>
      </c>
      <c r="G288" s="15" cm="1">
        <f t="array" ref="G288">SUMPRODUCT('Archetype Data'!AH$6:AH$687,'Archetype Data'!$S$6:$S$687,--('Archetype Data'!$C$6:$C$687="Industry"),--('Archetype Data'!$D$6:$D$687=$B288),--('Archetype Data'!$H$6:$H$687=$C288))</f>
        <v>0</v>
      </c>
      <c r="H288" s="15" cm="1">
        <f t="array" ref="H288">SUMPRODUCT('Archetype Data'!AI$6:AI$687,'Archetype Data'!$S$6:$S$687,--('Archetype Data'!$C$6:$C$687="Industry"),--('Archetype Data'!$D$6:$D$687=$B288),--('Archetype Data'!$H$6:$H$687=$C288))</f>
        <v>0</v>
      </c>
      <c r="I288" s="15" cm="1">
        <f t="array" ref="I288">SUMPRODUCT('Archetype Data'!AJ$6:AJ$687,'Archetype Data'!$S$6:$S$687,--('Archetype Data'!$C$6:$C$687="Industry"),--('Archetype Data'!$D$6:$D$687=$B288),--('Archetype Data'!$H$6:$H$687=$C288))</f>
        <v>0</v>
      </c>
      <c r="J288" s="15" cm="1">
        <f t="array" ref="J288">SUMPRODUCT('Archetype Data'!AK$6:AK$687,'Archetype Data'!$S$6:$S$687,--('Archetype Data'!$C$6:$C$687="Industry"),--('Archetype Data'!$D$6:$D$687=$B288),--('Archetype Data'!$H$6:$H$687=$C288))</f>
        <v>0</v>
      </c>
    </row>
    <row r="289" spans="2:10" outlineLevel="1">
      <c r="B289" t="s">
        <v>66</v>
      </c>
      <c r="C289" t="s">
        <v>124</v>
      </c>
      <c r="D289" s="15">
        <f>SUMIFS('Archetype Data'!AF$6:AF$687,'Archetype Data'!$C$6:$C$687,"Industry",'Archetype Data'!$D$6:$D$687,$B289, 'Archetype Data'!$H$6:$H$687,$C289)</f>
        <v>406.91264175274114</v>
      </c>
      <c r="E289" s="15">
        <f>SUMIFS('Archetype Data'!S$6:S$687,'Archetype Data'!$C$6:$C$687,"Industry",'Archetype Data'!$D$6:$D$687,$B289, 'Archetype Data'!$H$6:$H$687,$C289)</f>
        <v>678.18890275173896</v>
      </c>
      <c r="F289" s="15" cm="1">
        <f t="array" ref="F289">SUMPRODUCT('Archetype Data'!AG$6:AG$687,'Archetype Data'!$S$6:$S$687,--('Archetype Data'!$C$6:$C$687="Industry"),--('Archetype Data'!$D$6:$D$687=$B289),--('Archetype Data'!$H$6:$H$687=$C289))</f>
        <v>169900.9532367033</v>
      </c>
      <c r="G289" s="15" cm="1">
        <f t="array" ref="G289">SUMPRODUCT('Archetype Data'!AH$6:AH$687,'Archetype Data'!$S$6:$S$687,--('Archetype Data'!$C$6:$C$687="Industry"),--('Archetype Data'!$D$6:$D$687=$B289),--('Archetype Data'!$H$6:$H$687=$C289))</f>
        <v>0</v>
      </c>
      <c r="H289" s="15" cm="1">
        <f t="array" ref="H289">SUMPRODUCT('Archetype Data'!AI$6:AI$687,'Archetype Data'!$S$6:$S$687,--('Archetype Data'!$C$6:$C$687="Industry"),--('Archetype Data'!$D$6:$D$687=$B289),--('Archetype Data'!$H$6:$H$687=$C289))</f>
        <v>0</v>
      </c>
      <c r="I289" s="15" cm="1">
        <f t="array" ref="I289">SUMPRODUCT('Archetype Data'!AJ$6:AJ$687,'Archetype Data'!$S$6:$S$687,--('Archetype Data'!$C$6:$C$687="Industry"),--('Archetype Data'!$D$6:$D$687=$B289),--('Archetype Data'!$H$6:$H$687=$C289))</f>
        <v>101940.57194202198</v>
      </c>
      <c r="J289" s="15" cm="1">
        <f t="array" ref="J289">SUMPRODUCT('Archetype Data'!AK$6:AK$687,'Archetype Data'!$S$6:$S$687,--('Archetype Data'!$C$6:$C$687="Industry"),--('Archetype Data'!$D$6:$D$687=$B289),--('Archetype Data'!$H$6:$H$687=$C289))</f>
        <v>67960.381294681327</v>
      </c>
    </row>
    <row r="290" spans="2:10" outlineLevel="1">
      <c r="B290" t="s">
        <v>66</v>
      </c>
      <c r="C290" t="s">
        <v>125</v>
      </c>
      <c r="D290" s="15">
        <f>SUMIFS('Archetype Data'!AF$6:AF$687,'Archetype Data'!$C$6:$C$687,"Industry",'Archetype Data'!$D$6:$D$687,$B290, 'Archetype Data'!$H$6:$H$687,$C290)</f>
        <v>101.73043510766752</v>
      </c>
      <c r="E290" s="15">
        <f>SUMIFS('Archetype Data'!S$6:S$687,'Archetype Data'!$C$6:$C$687,"Industry",'Archetype Data'!$D$6:$D$687,$B290, 'Archetype Data'!$H$6:$H$687,$C290)</f>
        <v>678.18890275173896</v>
      </c>
      <c r="F290" s="15" cm="1">
        <f t="array" ref="F290">SUMPRODUCT('Archetype Data'!AG$6:AG$687,'Archetype Data'!$S$6:$S$687,--('Archetype Data'!$C$6:$C$687="Industry"),--('Archetype Data'!$D$6:$D$687=$B290),--('Archetype Data'!$H$6:$H$687=$C290))</f>
        <v>23250.867770854278</v>
      </c>
      <c r="G290" s="15" cm="1">
        <f t="array" ref="G290">SUMPRODUCT('Archetype Data'!AH$6:AH$687,'Archetype Data'!$S$6:$S$687,--('Archetype Data'!$C$6:$C$687="Industry"),--('Archetype Data'!$D$6:$D$687=$B290),--('Archetype Data'!$H$6:$H$687=$C290))</f>
        <v>0</v>
      </c>
      <c r="H290" s="15" cm="1">
        <f t="array" ref="H290">SUMPRODUCT('Archetype Data'!AI$6:AI$687,'Archetype Data'!$S$6:$S$687,--('Archetype Data'!$C$6:$C$687="Industry"),--('Archetype Data'!$D$6:$D$687=$B290),--('Archetype Data'!$H$6:$H$687=$C290))</f>
        <v>0</v>
      </c>
      <c r="I290" s="15" cm="1">
        <f t="array" ref="I290">SUMPRODUCT('Archetype Data'!AJ$6:AJ$687,'Archetype Data'!$S$6:$S$687,--('Archetype Data'!$C$6:$C$687="Industry"),--('Archetype Data'!$D$6:$D$687=$B290),--('Archetype Data'!$H$6:$H$687=$C290))</f>
        <v>23250.867770854278</v>
      </c>
      <c r="J290" s="15" cm="1">
        <f t="array" ref="J290">SUMPRODUCT('Archetype Data'!AK$6:AK$687,'Archetype Data'!$S$6:$S$687,--('Archetype Data'!$C$6:$C$687="Industry"),--('Archetype Data'!$D$6:$D$687=$B290),--('Archetype Data'!$H$6:$H$687=$C290))</f>
        <v>0</v>
      </c>
    </row>
    <row r="291" spans="2:10" outlineLevel="1">
      <c r="B291" t="s">
        <v>66</v>
      </c>
      <c r="C291" t="s">
        <v>130</v>
      </c>
      <c r="D291" s="15">
        <f>SUMIFS('Archetype Data'!AF$6:AF$687,'Archetype Data'!$C$6:$C$687,"Industry",'Archetype Data'!$D$6:$D$687,$B291, 'Archetype Data'!$H$6:$H$687,$C291)</f>
        <v>67.818190376871655</v>
      </c>
      <c r="E291" s="15">
        <f>SUMIFS('Archetype Data'!S$6:S$687,'Archetype Data'!$C$6:$C$687,"Industry",'Archetype Data'!$D$6:$D$687,$B291, 'Archetype Data'!$H$6:$H$687,$C291)</f>
        <v>678.18190376871667</v>
      </c>
      <c r="F291" s="15" cm="1">
        <f t="array" ref="F291">SUMPRODUCT('Archetype Data'!AG$6:AG$687,'Archetype Data'!$S$6:$S$687,--('Archetype Data'!$C$6:$C$687="Industry"),--('Archetype Data'!$D$6:$D$687=$B291),--('Archetype Data'!$H$6:$H$687=$C291))</f>
        <v>28238.272106323366</v>
      </c>
      <c r="G291" s="15" cm="1">
        <f t="array" ref="G291">SUMPRODUCT('Archetype Data'!AH$6:AH$687,'Archetype Data'!$S$6:$S$687,--('Archetype Data'!$C$6:$C$687="Industry"),--('Archetype Data'!$D$6:$D$687=$B291),--('Archetype Data'!$H$6:$H$687=$C291))</f>
        <v>0</v>
      </c>
      <c r="H291" s="15" cm="1">
        <f t="array" ref="H291">SUMPRODUCT('Archetype Data'!AI$6:AI$687,'Archetype Data'!$S$6:$S$687,--('Archetype Data'!$C$6:$C$687="Industry"),--('Archetype Data'!$D$6:$D$687=$B291),--('Archetype Data'!$H$6:$H$687=$C291))</f>
        <v>0</v>
      </c>
      <c r="I291" s="15" cm="1">
        <f t="array" ref="I291">SUMPRODUCT('Archetype Data'!AJ$6:AJ$687,'Archetype Data'!$S$6:$S$687,--('Archetype Data'!$C$6:$C$687="Industry"),--('Archetype Data'!$D$6:$D$687=$B291),--('Archetype Data'!$H$6:$H$687=$C291))</f>
        <v>28238.272106323366</v>
      </c>
      <c r="J291" s="15" cm="1">
        <f t="array" ref="J291">SUMPRODUCT('Archetype Data'!AK$6:AK$687,'Archetype Data'!$S$6:$S$687,--('Archetype Data'!$C$6:$C$687="Industry"),--('Archetype Data'!$D$6:$D$687=$B291),--('Archetype Data'!$H$6:$H$687=$C291))</f>
        <v>0</v>
      </c>
    </row>
    <row r="292" spans="2:10" outlineLevel="1">
      <c r="B292" t="s">
        <v>66</v>
      </c>
      <c r="C292" t="s">
        <v>126</v>
      </c>
      <c r="D292" s="15">
        <f>SUMIFS('Archetype Data'!AF$6:AF$687,'Archetype Data'!$C$6:$C$687,"Industry",'Archetype Data'!$D$6:$D$687,$B292, 'Archetype Data'!$H$6:$H$687,$C292)</f>
        <v>33.909095188435828</v>
      </c>
      <c r="E292" s="15">
        <f>SUMIFS('Archetype Data'!S$6:S$687,'Archetype Data'!$C$6:$C$687,"Industry",'Archetype Data'!$D$6:$D$687,$B292, 'Archetype Data'!$H$6:$H$687,$C292)</f>
        <v>678.18190376871667</v>
      </c>
      <c r="F292" s="15" cm="1">
        <f t="array" ref="F292">SUMPRODUCT('Archetype Data'!AG$6:AG$687,'Archetype Data'!$S$6:$S$687,--('Archetype Data'!$C$6:$C$687="Industry"),--('Archetype Data'!$D$6:$D$687=$B292),--('Archetype Data'!$H$6:$H$687=$C292))</f>
        <v>13044.85396216025</v>
      </c>
      <c r="G292" s="15" cm="1">
        <f t="array" ref="G292">SUMPRODUCT('Archetype Data'!AH$6:AH$687,'Archetype Data'!$S$6:$S$687,--('Archetype Data'!$C$6:$C$687="Industry"),--('Archetype Data'!$D$6:$D$687=$B292),--('Archetype Data'!$H$6:$H$687=$C292))</f>
        <v>13044.85396216025</v>
      </c>
      <c r="H292" s="15" cm="1">
        <f t="array" ref="H292">SUMPRODUCT('Archetype Data'!AI$6:AI$687,'Archetype Data'!$S$6:$S$687,--('Archetype Data'!$C$6:$C$687="Industry"),--('Archetype Data'!$D$6:$D$687=$B292),--('Archetype Data'!$H$6:$H$687=$C292))</f>
        <v>0</v>
      </c>
      <c r="I292" s="15" cm="1">
        <f t="array" ref="I292">SUMPRODUCT('Archetype Data'!AJ$6:AJ$687,'Archetype Data'!$S$6:$S$687,--('Archetype Data'!$C$6:$C$687="Industry"),--('Archetype Data'!$D$6:$D$687=$B292),--('Archetype Data'!$H$6:$H$687=$C292))</f>
        <v>0</v>
      </c>
      <c r="J292" s="15" cm="1">
        <f t="array" ref="J292">SUMPRODUCT('Archetype Data'!AK$6:AK$687,'Archetype Data'!$S$6:$S$687,--('Archetype Data'!$C$6:$C$687="Industry"),--('Archetype Data'!$D$6:$D$687=$B292),--('Archetype Data'!$H$6:$H$687=$C292))</f>
        <v>0</v>
      </c>
    </row>
    <row r="293" spans="2:10" outlineLevel="1">
      <c r="B293" t="s">
        <v>66</v>
      </c>
      <c r="C293" t="s">
        <v>128</v>
      </c>
      <c r="D293" s="15">
        <f>SUMIFS('Archetype Data'!AF$6:AF$687,'Archetype Data'!$C$6:$C$687,"Industry",'Archetype Data'!$D$6:$D$687,$B293, 'Archetype Data'!$H$6:$H$687,$C293)</f>
        <v>67.81854032602277</v>
      </c>
      <c r="E293" s="15">
        <f>SUMIFS('Archetype Data'!S$6:S$687,'Archetype Data'!$C$6:$C$687,"Industry",'Archetype Data'!$D$6:$D$687,$B293, 'Archetype Data'!$H$6:$H$687,$C293)</f>
        <v>678.18890275173896</v>
      </c>
      <c r="F293" s="15" cm="1">
        <f t="array" ref="F293">SUMPRODUCT('Archetype Data'!AG$6:AG$687,'Archetype Data'!$S$6:$S$687,--('Archetype Data'!$C$6:$C$687="Industry"),--('Archetype Data'!$D$6:$D$687=$B293),--('Archetype Data'!$H$6:$H$687=$C293))</f>
        <v>28285.404166199682</v>
      </c>
      <c r="G293" s="15" cm="1">
        <f t="array" ref="G293">SUMPRODUCT('Archetype Data'!AH$6:AH$687,'Archetype Data'!$S$6:$S$687,--('Archetype Data'!$C$6:$C$687="Industry"),--('Archetype Data'!$D$6:$D$687=$B293),--('Archetype Data'!$H$6:$H$687=$C293))</f>
        <v>0</v>
      </c>
      <c r="H293" s="15" cm="1">
        <f t="array" ref="H293">SUMPRODUCT('Archetype Data'!AI$6:AI$687,'Archetype Data'!$S$6:$S$687,--('Archetype Data'!$C$6:$C$687="Industry"),--('Archetype Data'!$D$6:$D$687=$B293),--('Archetype Data'!$H$6:$H$687=$C293))</f>
        <v>0</v>
      </c>
      <c r="I293" s="15" cm="1">
        <f t="array" ref="I293">SUMPRODUCT('Archetype Data'!AJ$6:AJ$687,'Archetype Data'!$S$6:$S$687,--('Archetype Data'!$C$6:$C$687="Industry"),--('Archetype Data'!$D$6:$D$687=$B293),--('Archetype Data'!$H$6:$H$687=$C293))</f>
        <v>28285.404166199682</v>
      </c>
      <c r="J293" s="15" cm="1">
        <f t="array" ref="J293">SUMPRODUCT('Archetype Data'!AK$6:AK$687,'Archetype Data'!$S$6:$S$687,--('Archetype Data'!$C$6:$C$687="Industry"),--('Archetype Data'!$D$6:$D$687=$B293),--('Archetype Data'!$H$6:$H$687=$C293))</f>
        <v>0</v>
      </c>
    </row>
    <row r="294" spans="2:10" outlineLevel="1">
      <c r="B294" t="s">
        <v>67</v>
      </c>
      <c r="C294" t="s">
        <v>124</v>
      </c>
      <c r="D294" s="15">
        <f>SUMIFS('Archetype Data'!AF$6:AF$687,'Archetype Data'!$C$6:$C$687,"Industry",'Archetype Data'!$D$6:$D$687,$B294, 'Archetype Data'!$H$6:$H$687,$C294)</f>
        <v>14.010896673860948</v>
      </c>
      <c r="E294" s="15">
        <f>SUMIFS('Archetype Data'!S$6:S$687,'Archetype Data'!$C$6:$C$687,"Industry",'Archetype Data'!$D$6:$D$687,$B294, 'Archetype Data'!$H$6:$H$687,$C294)</f>
        <v>21.82860568483359</v>
      </c>
      <c r="F294" s="15" cm="1">
        <f t="array" ref="F294">SUMPRODUCT('Archetype Data'!AG$6:AG$687,'Archetype Data'!$S$6:$S$687,--('Archetype Data'!$C$6:$C$687="Industry"),--('Archetype Data'!$D$6:$D$687=$B294),--('Archetype Data'!$H$6:$H$687=$C294))</f>
        <v>100013.86629314063</v>
      </c>
      <c r="G294" s="15" cm="1">
        <f t="array" ref="G294">SUMPRODUCT('Archetype Data'!AH$6:AH$687,'Archetype Data'!$S$6:$S$687,--('Archetype Data'!$C$6:$C$687="Industry"),--('Archetype Data'!$D$6:$D$687=$B294),--('Archetype Data'!$H$6:$H$687=$C294))</f>
        <v>0</v>
      </c>
      <c r="H294" s="15" cm="1">
        <f t="array" ref="H294">SUMPRODUCT('Archetype Data'!AI$6:AI$687,'Archetype Data'!$S$6:$S$687,--('Archetype Data'!$C$6:$C$687="Industry"),--('Archetype Data'!$D$6:$D$687=$B294),--('Archetype Data'!$H$6:$H$687=$C294))</f>
        <v>10001.386629314064</v>
      </c>
      <c r="I294" s="15" cm="1">
        <f t="array" ref="I294">SUMPRODUCT('Archetype Data'!AJ$6:AJ$687,'Archetype Data'!$S$6:$S$687,--('Archetype Data'!$C$6:$C$687="Industry"),--('Archetype Data'!$D$6:$D$687=$B294),--('Archetype Data'!$H$6:$H$687=$C294))</f>
        <v>70009.706405198434</v>
      </c>
      <c r="J294" s="15" cm="1">
        <f t="array" ref="J294">SUMPRODUCT('Archetype Data'!AK$6:AK$687,'Archetype Data'!$S$6:$S$687,--('Archetype Data'!$C$6:$C$687="Industry"),--('Archetype Data'!$D$6:$D$687=$B294),--('Archetype Data'!$H$6:$H$687=$C294))</f>
        <v>20002.773258628127</v>
      </c>
    </row>
    <row r="295" spans="2:10" outlineLevel="1">
      <c r="B295" t="s">
        <v>67</v>
      </c>
      <c r="C295" t="s">
        <v>125</v>
      </c>
      <c r="D295" s="15">
        <f>SUMIFS('Archetype Data'!AF$6:AF$687,'Archetype Data'!$C$6:$C$687,"Industry",'Archetype Data'!$D$6:$D$687,$B295, 'Archetype Data'!$H$6:$H$687,$C295)</f>
        <v>4.4993134849164624</v>
      </c>
      <c r="E295" s="15">
        <f>SUMIFS('Archetype Data'!S$6:S$687,'Archetype Data'!$C$6:$C$687,"Industry",'Archetype Data'!$D$6:$D$687,$B295, 'Archetype Data'!$H$6:$H$687,$C295)</f>
        <v>20.492682205336159</v>
      </c>
      <c r="F295" s="15" cm="1">
        <f t="array" ref="F295">SUMPRODUCT('Archetype Data'!AG$6:AG$687,'Archetype Data'!$S$6:$S$687,--('Archetype Data'!$C$6:$C$687="Industry"),--('Archetype Data'!$D$6:$D$687=$B295),--('Archetype Data'!$H$6:$H$687=$C295))</f>
        <v>29335.342270236993</v>
      </c>
      <c r="G295" s="15" cm="1">
        <f t="array" ref="G295">SUMPRODUCT('Archetype Data'!AH$6:AH$687,'Archetype Data'!$S$6:$S$687,--('Archetype Data'!$C$6:$C$687="Industry"),--('Archetype Data'!$D$6:$D$687=$B295),--('Archetype Data'!$H$6:$H$687=$C295))</f>
        <v>0</v>
      </c>
      <c r="H295" s="15" cm="1">
        <f t="array" ref="H295">SUMPRODUCT('Archetype Data'!AI$6:AI$687,'Archetype Data'!$S$6:$S$687,--('Archetype Data'!$C$6:$C$687="Industry"),--('Archetype Data'!$D$6:$D$687=$B295),--('Archetype Data'!$H$6:$H$687=$C295))</f>
        <v>29335.342270236993</v>
      </c>
      <c r="I295" s="15" cm="1">
        <f t="array" ref="I295">SUMPRODUCT('Archetype Data'!AJ$6:AJ$687,'Archetype Data'!$S$6:$S$687,--('Archetype Data'!$C$6:$C$687="Industry"),--('Archetype Data'!$D$6:$D$687=$B295),--('Archetype Data'!$H$6:$H$687=$C295))</f>
        <v>0</v>
      </c>
      <c r="J295" s="15" cm="1">
        <f t="array" ref="J295">SUMPRODUCT('Archetype Data'!AK$6:AK$687,'Archetype Data'!$S$6:$S$687,--('Archetype Data'!$C$6:$C$687="Industry"),--('Archetype Data'!$D$6:$D$687=$B295),--('Archetype Data'!$H$6:$H$687=$C295))</f>
        <v>0</v>
      </c>
    </row>
    <row r="296" spans="2:10" outlineLevel="1">
      <c r="B296" t="s">
        <v>67</v>
      </c>
      <c r="C296" t="s">
        <v>130</v>
      </c>
      <c r="D296" s="15">
        <f>SUMIFS('Archetype Data'!AF$6:AF$687,'Archetype Data'!$C$6:$C$687,"Industry",'Archetype Data'!$D$6:$D$687,$B296, 'Archetype Data'!$H$6:$H$687,$C296)</f>
        <v>1.024634110266808</v>
      </c>
      <c r="E296" s="15">
        <f>SUMIFS('Archetype Data'!S$6:S$687,'Archetype Data'!$C$6:$C$687,"Industry",'Archetype Data'!$D$6:$D$687,$B296, 'Archetype Data'!$H$6:$H$687,$C296)</f>
        <v>20.492682205336159</v>
      </c>
      <c r="F296" s="15" cm="1">
        <f t="array" ref="F296">SUMPRODUCT('Archetype Data'!AG$6:AG$687,'Archetype Data'!$S$6:$S$687,--('Archetype Data'!$C$6:$C$687="Industry"),--('Archetype Data'!$D$6:$D$687=$B296),--('Archetype Data'!$H$6:$H$687=$C296))</f>
        <v>8365.0802562021563</v>
      </c>
      <c r="G296" s="15" cm="1">
        <f t="array" ref="G296">SUMPRODUCT('Archetype Data'!AH$6:AH$687,'Archetype Data'!$S$6:$S$687,--('Archetype Data'!$C$6:$C$687="Industry"),--('Archetype Data'!$D$6:$D$687=$B296),--('Archetype Data'!$H$6:$H$687=$C296))</f>
        <v>0</v>
      </c>
      <c r="H296" s="15" cm="1">
        <f t="array" ref="H296">SUMPRODUCT('Archetype Data'!AI$6:AI$687,'Archetype Data'!$S$6:$S$687,--('Archetype Data'!$C$6:$C$687="Industry"),--('Archetype Data'!$D$6:$D$687=$B296),--('Archetype Data'!$H$6:$H$687=$C296))</f>
        <v>0</v>
      </c>
      <c r="I296" s="15" cm="1">
        <f t="array" ref="I296">SUMPRODUCT('Archetype Data'!AJ$6:AJ$687,'Archetype Data'!$S$6:$S$687,--('Archetype Data'!$C$6:$C$687="Industry"),--('Archetype Data'!$D$6:$D$687=$B296),--('Archetype Data'!$H$6:$H$687=$C296))</f>
        <v>8365.0802562021563</v>
      </c>
      <c r="J296" s="15" cm="1">
        <f t="array" ref="J296">SUMPRODUCT('Archetype Data'!AK$6:AK$687,'Archetype Data'!$S$6:$S$687,--('Archetype Data'!$C$6:$C$687="Industry"),--('Archetype Data'!$D$6:$D$687=$B296),--('Archetype Data'!$H$6:$H$687=$C296))</f>
        <v>0</v>
      </c>
    </row>
    <row r="297" spans="2:10" outlineLevel="1">
      <c r="B297" t="s">
        <v>67</v>
      </c>
      <c r="C297" t="s">
        <v>126</v>
      </c>
      <c r="D297" s="15">
        <f>SUMIFS('Archetype Data'!AF$6:AF$687,'Archetype Data'!$C$6:$C$687,"Industry",'Archetype Data'!$D$6:$D$687,$B297, 'Archetype Data'!$H$6:$H$687,$C297)</f>
        <v>0</v>
      </c>
      <c r="E297" s="15">
        <f>SUMIFS('Archetype Data'!S$6:S$687,'Archetype Data'!$C$6:$C$687,"Industry",'Archetype Data'!$D$6:$D$687,$B297, 'Archetype Data'!$H$6:$H$687,$C297)</f>
        <v>0</v>
      </c>
      <c r="F297" s="15" cm="1">
        <f t="array" ref="F297">SUMPRODUCT('Archetype Data'!AG$6:AG$687,'Archetype Data'!$S$6:$S$687,--('Archetype Data'!$C$6:$C$687="Industry"),--('Archetype Data'!$D$6:$D$687=$B297),--('Archetype Data'!$H$6:$H$687=$C297))</f>
        <v>0</v>
      </c>
      <c r="G297" s="15" cm="1">
        <f t="array" ref="G297">SUMPRODUCT('Archetype Data'!AH$6:AH$687,'Archetype Data'!$S$6:$S$687,--('Archetype Data'!$C$6:$C$687="Industry"),--('Archetype Data'!$D$6:$D$687=$B297),--('Archetype Data'!$H$6:$H$687=$C297))</f>
        <v>0</v>
      </c>
      <c r="H297" s="15" cm="1">
        <f t="array" ref="H297">SUMPRODUCT('Archetype Data'!AI$6:AI$687,'Archetype Data'!$S$6:$S$687,--('Archetype Data'!$C$6:$C$687="Industry"),--('Archetype Data'!$D$6:$D$687=$B297),--('Archetype Data'!$H$6:$H$687=$C297))</f>
        <v>0</v>
      </c>
      <c r="I297" s="15" cm="1">
        <f t="array" ref="I297">SUMPRODUCT('Archetype Data'!AJ$6:AJ$687,'Archetype Data'!$S$6:$S$687,--('Archetype Data'!$C$6:$C$687="Industry"),--('Archetype Data'!$D$6:$D$687=$B297),--('Archetype Data'!$H$6:$H$687=$C297))</f>
        <v>0</v>
      </c>
      <c r="J297" s="15" cm="1">
        <f t="array" ref="J297">SUMPRODUCT('Archetype Data'!AK$6:AK$687,'Archetype Data'!$S$6:$S$687,--('Archetype Data'!$C$6:$C$687="Industry"),--('Archetype Data'!$D$6:$D$687=$B297),--('Archetype Data'!$H$6:$H$687=$C297))</f>
        <v>0</v>
      </c>
    </row>
    <row r="298" spans="2:10" outlineLevel="1">
      <c r="B298" t="s">
        <v>67</v>
      </c>
      <c r="C298" t="s">
        <v>128</v>
      </c>
      <c r="D298" s="15">
        <f>SUMIFS('Archetype Data'!AF$6:AF$687,'Archetype Data'!$C$6:$C$687,"Industry",'Archetype Data'!$D$6:$D$687,$B298, 'Archetype Data'!$H$6:$H$687,$C298)</f>
        <v>0.95783793629193625</v>
      </c>
      <c r="E298" s="15">
        <f>SUMIFS('Archetype Data'!S$6:S$687,'Archetype Data'!$C$6:$C$687,"Industry",'Archetype Data'!$D$6:$D$687,$B298, 'Archetype Data'!$H$6:$H$687,$C298)</f>
        <v>19.156758725838724</v>
      </c>
      <c r="F298" s="15" cm="1">
        <f t="array" ref="F298">SUMPRODUCT('Archetype Data'!AG$6:AG$687,'Archetype Data'!$S$6:$S$687,--('Archetype Data'!$C$6:$C$687="Industry"),--('Archetype Data'!$D$6:$D$687=$B298),--('Archetype Data'!$H$6:$H$687=$C298))</f>
        <v>4945.6287974642491</v>
      </c>
      <c r="G298" s="15" cm="1">
        <f t="array" ref="G298">SUMPRODUCT('Archetype Data'!AH$6:AH$687,'Archetype Data'!$S$6:$S$687,--('Archetype Data'!$C$6:$C$687="Industry"),--('Archetype Data'!$D$6:$D$687=$B298),--('Archetype Data'!$H$6:$H$687=$C298))</f>
        <v>0</v>
      </c>
      <c r="H298" s="15" cm="1">
        <f t="array" ref="H298">SUMPRODUCT('Archetype Data'!AI$6:AI$687,'Archetype Data'!$S$6:$S$687,--('Archetype Data'!$C$6:$C$687="Industry"),--('Archetype Data'!$D$6:$D$687=$B298),--('Archetype Data'!$H$6:$H$687=$C298))</f>
        <v>0</v>
      </c>
      <c r="I298" s="15" cm="1">
        <f t="array" ref="I298">SUMPRODUCT('Archetype Data'!AJ$6:AJ$687,'Archetype Data'!$S$6:$S$687,--('Archetype Data'!$C$6:$C$687="Industry"),--('Archetype Data'!$D$6:$D$687=$B298),--('Archetype Data'!$H$6:$H$687=$C298))</f>
        <v>4945.6287974642491</v>
      </c>
      <c r="J298" s="15" cm="1">
        <f t="array" ref="J298">SUMPRODUCT('Archetype Data'!AK$6:AK$687,'Archetype Data'!$S$6:$S$687,--('Archetype Data'!$C$6:$C$687="Industry"),--('Archetype Data'!$D$6:$D$687=$B298),--('Archetype Data'!$H$6:$H$687=$C298))</f>
        <v>0</v>
      </c>
    </row>
    <row r="299" spans="2:10" outlineLevel="1">
      <c r="B299" t="s">
        <v>59</v>
      </c>
      <c r="C299" t="s">
        <v>131</v>
      </c>
      <c r="D299" s="15">
        <f>SUMIFS('Archetype Data'!AF$6:AF$687,'Archetype Data'!$C$6:$C$687,"Industry",'Archetype Data'!$D$6:$D$687,$B299, 'Archetype Data'!$H$6:$H$687,$C299)</f>
        <v>269.31977350704625</v>
      </c>
      <c r="E299" s="15">
        <f>SUMIFS('Archetype Data'!S$6:S$687,'Archetype Data'!$C$6:$C$687,"Industry",'Archetype Data'!$D$6:$D$687,$B299, 'Archetype Data'!$H$6:$H$687,$C299)</f>
        <v>678.66355403969101</v>
      </c>
      <c r="F299" s="15" cm="1">
        <f t="array" ref="F299">SUMPRODUCT('Archetype Data'!AG$6:AG$687,'Archetype Data'!$S$6:$S$687,--('Archetype Data'!$C$6:$C$687="Industry"),--('Archetype Data'!$D$6:$D$687=$B299),--('Archetype Data'!$H$6:$H$687=$C299))</f>
        <v>1552055.2741171136</v>
      </c>
      <c r="G299" s="15" cm="1">
        <f t="array" ref="G299">SUMPRODUCT('Archetype Data'!AH$6:AH$687,'Archetype Data'!$S$6:$S$687,--('Archetype Data'!$C$6:$C$687="Industry"),--('Archetype Data'!$D$6:$D$687=$B299),--('Archetype Data'!$H$6:$H$687=$C299))</f>
        <v>0</v>
      </c>
      <c r="H299" s="15" cm="1">
        <f t="array" ref="H299">SUMPRODUCT('Archetype Data'!AI$6:AI$687,'Archetype Data'!$S$6:$S$687,--('Archetype Data'!$C$6:$C$687="Industry"),--('Archetype Data'!$D$6:$D$687=$B299),--('Archetype Data'!$H$6:$H$687=$C299))</f>
        <v>1552055.2741171136</v>
      </c>
      <c r="I299" s="15" cm="1">
        <f t="array" ref="I299">SUMPRODUCT('Archetype Data'!AJ$6:AJ$687,'Archetype Data'!$S$6:$S$687,--('Archetype Data'!$C$6:$C$687="Industry"),--('Archetype Data'!$D$6:$D$687=$B299),--('Archetype Data'!$H$6:$H$687=$C299))</f>
        <v>0</v>
      </c>
      <c r="J299" s="15" cm="1">
        <f t="array" ref="J299">SUMPRODUCT('Archetype Data'!AK$6:AK$687,'Archetype Data'!$S$6:$S$687,--('Archetype Data'!$C$6:$C$687="Industry"),--('Archetype Data'!$D$6:$D$687=$B299),--('Archetype Data'!$H$6:$H$687=$C299))</f>
        <v>0</v>
      </c>
    </row>
    <row r="300" spans="2:10" outlineLevel="1">
      <c r="B300" t="s">
        <v>59</v>
      </c>
      <c r="C300" t="s">
        <v>132</v>
      </c>
      <c r="D300" s="15">
        <f>SUMIFS('Archetype Data'!AF$6:AF$687,'Archetype Data'!$C$6:$C$687,"Industry",'Archetype Data'!$D$6:$D$687,$B300, 'Archetype Data'!$H$6:$H$687,$C300)</f>
        <v>0.59601336356393264</v>
      </c>
      <c r="E300" s="15">
        <f>SUMIFS('Archetype Data'!S$6:S$687,'Archetype Data'!$C$6:$C$687,"Industry",'Archetype Data'!$D$6:$D$687,$B300, 'Archetype Data'!$H$6:$H$687,$C300)</f>
        <v>0.9933556059398877</v>
      </c>
      <c r="F300" s="15" cm="1">
        <f t="array" ref="F300">SUMPRODUCT('Archetype Data'!AG$6:AG$687,'Archetype Data'!$S$6:$S$687,--('Archetype Data'!$C$6:$C$687="Industry"),--('Archetype Data'!$D$6:$D$687=$B300),--('Archetype Data'!$H$6:$H$687=$C300))</f>
        <v>1821458.4233632977</v>
      </c>
      <c r="G300" s="15" cm="1">
        <f t="array" ref="G300">SUMPRODUCT('Archetype Data'!AH$6:AH$687,'Archetype Data'!$S$6:$S$687,--('Archetype Data'!$C$6:$C$687="Industry"),--('Archetype Data'!$D$6:$D$687=$B300),--('Archetype Data'!$H$6:$H$687=$C300))</f>
        <v>0</v>
      </c>
      <c r="H300" s="15" cm="1">
        <f t="array" ref="H300">SUMPRODUCT('Archetype Data'!AI$6:AI$687,'Archetype Data'!$S$6:$S$687,--('Archetype Data'!$C$6:$C$687="Industry"),--('Archetype Data'!$D$6:$D$687=$B300),--('Archetype Data'!$H$6:$H$687=$C300))</f>
        <v>1821458.4233632977</v>
      </c>
      <c r="I300" s="15" cm="1">
        <f t="array" ref="I300">SUMPRODUCT('Archetype Data'!AJ$6:AJ$687,'Archetype Data'!$S$6:$S$687,--('Archetype Data'!$C$6:$C$687="Industry"),--('Archetype Data'!$D$6:$D$687=$B300),--('Archetype Data'!$H$6:$H$687=$C300))</f>
        <v>0</v>
      </c>
      <c r="J300" s="15" cm="1">
        <f t="array" ref="J300">SUMPRODUCT('Archetype Data'!AK$6:AK$687,'Archetype Data'!$S$6:$S$687,--('Archetype Data'!$C$6:$C$687="Industry"),--('Archetype Data'!$D$6:$D$687=$B300),--('Archetype Data'!$H$6:$H$687=$C300))</f>
        <v>0</v>
      </c>
    </row>
    <row r="301" spans="2:10" outlineLevel="1">
      <c r="B301" t="s">
        <v>59</v>
      </c>
      <c r="C301" t="s">
        <v>133</v>
      </c>
      <c r="D301" s="15">
        <f>SUMIFS('Archetype Data'!AF$6:AF$687,'Archetype Data'!$C$6:$C$687,"Industry",'Archetype Data'!$D$6:$D$687,$B301, 'Archetype Data'!$H$6:$H$687,$C301)</f>
        <v>403.78098913938129</v>
      </c>
      <c r="E301" s="15">
        <f>SUMIFS('Archetype Data'!S$6:S$687,'Archetype Data'!$C$6:$C$687,"Industry",'Archetype Data'!$D$6:$D$687,$B301, 'Archetype Data'!$H$6:$H$687,$C301)</f>
        <v>675.68348722187136</v>
      </c>
      <c r="F301" s="15" cm="1">
        <f t="array" ref="F301">SUMPRODUCT('Archetype Data'!AG$6:AG$687,'Archetype Data'!$S$6:$S$687,--('Archetype Data'!$C$6:$C$687="Industry"),--('Archetype Data'!$D$6:$D$687=$B301),--('Archetype Data'!$H$6:$H$687=$C301))</f>
        <v>1118786.394694841</v>
      </c>
      <c r="G301" s="15" cm="1">
        <f t="array" ref="G301">SUMPRODUCT('Archetype Data'!AH$6:AH$687,'Archetype Data'!$S$6:$S$687,--('Archetype Data'!$C$6:$C$687="Industry"),--('Archetype Data'!$D$6:$D$687=$B301),--('Archetype Data'!$H$6:$H$687=$C301))</f>
        <v>1118786.394694841</v>
      </c>
      <c r="H301" s="15" cm="1">
        <f t="array" ref="H301">SUMPRODUCT('Archetype Data'!AI$6:AI$687,'Archetype Data'!$S$6:$S$687,--('Archetype Data'!$C$6:$C$687="Industry"),--('Archetype Data'!$D$6:$D$687=$B301),--('Archetype Data'!$H$6:$H$687=$C301))</f>
        <v>0</v>
      </c>
      <c r="I301" s="15" cm="1">
        <f t="array" ref="I301">SUMPRODUCT('Archetype Data'!AJ$6:AJ$687,'Archetype Data'!$S$6:$S$687,--('Archetype Data'!$C$6:$C$687="Industry"),--('Archetype Data'!$D$6:$D$687=$B301),--('Archetype Data'!$H$6:$H$687=$C301))</f>
        <v>0</v>
      </c>
      <c r="J301" s="15" cm="1">
        <f t="array" ref="J301">SUMPRODUCT('Archetype Data'!AK$6:AK$687,'Archetype Data'!$S$6:$S$687,--('Archetype Data'!$C$6:$C$687="Industry"),--('Archetype Data'!$D$6:$D$687=$B301),--('Archetype Data'!$H$6:$H$687=$C301))</f>
        <v>0</v>
      </c>
    </row>
    <row r="302" spans="2:10" outlineLevel="1">
      <c r="B302" t="s">
        <v>60</v>
      </c>
      <c r="C302" t="s">
        <v>134</v>
      </c>
      <c r="D302" s="15">
        <f>SUMIFS('Archetype Data'!AF$6:AF$687,'Archetype Data'!$C$6:$C$687,"Industry",'Archetype Data'!$D$6:$D$687,$B302, 'Archetype Data'!$H$6:$H$687,$C302)</f>
        <v>1.3005746242148207E-4</v>
      </c>
      <c r="E302" s="15">
        <f>SUMIFS('Archetype Data'!S$6:S$687,'Archetype Data'!$C$6:$C$687,"Industry",'Archetype Data'!$D$6:$D$687,$B302, 'Archetype Data'!$H$6:$H$687,$C302)</f>
        <v>1.3407985816647636E-4</v>
      </c>
      <c r="F302" s="15" cm="1">
        <f t="array" ref="F302">SUMPRODUCT('Archetype Data'!AG$6:AG$687,'Archetype Data'!$S$6:$S$687,--('Archetype Data'!$C$6:$C$687="Industry"),--('Archetype Data'!$D$6:$D$687=$B302),--('Archetype Data'!$H$6:$H$687=$C302))</f>
        <v>93.963372339504076</v>
      </c>
      <c r="G302" s="15" cm="1">
        <f t="array" ref="G302">SUMPRODUCT('Archetype Data'!AH$6:AH$687,'Archetype Data'!$S$6:$S$687,--('Archetype Data'!$C$6:$C$687="Industry"),--('Archetype Data'!$D$6:$D$687=$B302),--('Archetype Data'!$H$6:$H$687=$C302))</f>
        <v>93.963372339504076</v>
      </c>
      <c r="H302" s="15" cm="1">
        <f t="array" ref="H302">SUMPRODUCT('Archetype Data'!AI$6:AI$687,'Archetype Data'!$S$6:$S$687,--('Archetype Data'!$C$6:$C$687="Industry"),--('Archetype Data'!$D$6:$D$687=$B302),--('Archetype Data'!$H$6:$H$687=$C302))</f>
        <v>0</v>
      </c>
      <c r="I302" s="15" cm="1">
        <f t="array" ref="I302">SUMPRODUCT('Archetype Data'!AJ$6:AJ$687,'Archetype Data'!$S$6:$S$687,--('Archetype Data'!$C$6:$C$687="Industry"),--('Archetype Data'!$D$6:$D$687=$B302),--('Archetype Data'!$H$6:$H$687=$C302))</f>
        <v>0</v>
      </c>
      <c r="J302" s="15" cm="1">
        <f t="array" ref="J302">SUMPRODUCT('Archetype Data'!AK$6:AK$687,'Archetype Data'!$S$6:$S$687,--('Archetype Data'!$C$6:$C$687="Industry"),--('Archetype Data'!$D$6:$D$687=$B302),--('Archetype Data'!$H$6:$H$687=$C302))</f>
        <v>0</v>
      </c>
    </row>
    <row r="303" spans="2:10" outlineLevel="1">
      <c r="B303" t="s">
        <v>60</v>
      </c>
      <c r="C303" t="s">
        <v>133</v>
      </c>
      <c r="D303" s="15">
        <f>SUMIFS('Archetype Data'!AF$6:AF$687,'Archetype Data'!$C$6:$C$687,"Industry",'Archetype Data'!$D$6:$D$687,$B303, 'Archetype Data'!$H$6:$H$687,$C303)</f>
        <v>0</v>
      </c>
      <c r="E303" s="15">
        <f>SUMIFS('Archetype Data'!S$6:S$687,'Archetype Data'!$C$6:$C$687,"Industry",'Archetype Data'!$D$6:$D$687,$B303, 'Archetype Data'!$H$6:$H$687,$C303)</f>
        <v>0</v>
      </c>
      <c r="F303" s="15" cm="1">
        <f t="array" ref="F303">SUMPRODUCT('Archetype Data'!AG$6:AG$687,'Archetype Data'!$S$6:$S$687,--('Archetype Data'!$C$6:$C$687="Industry"),--('Archetype Data'!$D$6:$D$687=$B303),--('Archetype Data'!$H$6:$H$687=$C303))</f>
        <v>0</v>
      </c>
      <c r="G303" s="15" cm="1">
        <f t="array" ref="G303">SUMPRODUCT('Archetype Data'!AH$6:AH$687,'Archetype Data'!$S$6:$S$687,--('Archetype Data'!$C$6:$C$687="Industry"),--('Archetype Data'!$D$6:$D$687=$B303),--('Archetype Data'!$H$6:$H$687=$C303))</f>
        <v>0</v>
      </c>
      <c r="H303" s="15" cm="1">
        <f t="array" ref="H303">SUMPRODUCT('Archetype Data'!AI$6:AI$687,'Archetype Data'!$S$6:$S$687,--('Archetype Data'!$C$6:$C$687="Industry"),--('Archetype Data'!$D$6:$D$687=$B303),--('Archetype Data'!$H$6:$H$687=$C303))</f>
        <v>0</v>
      </c>
      <c r="I303" s="15" cm="1">
        <f t="array" ref="I303">SUMPRODUCT('Archetype Data'!AJ$6:AJ$687,'Archetype Data'!$S$6:$S$687,--('Archetype Data'!$C$6:$C$687="Industry"),--('Archetype Data'!$D$6:$D$687=$B303),--('Archetype Data'!$H$6:$H$687=$C303))</f>
        <v>0</v>
      </c>
      <c r="J303" s="15" cm="1">
        <f t="array" ref="J303">SUMPRODUCT('Archetype Data'!AK$6:AK$687,'Archetype Data'!$S$6:$S$687,--('Archetype Data'!$C$6:$C$687="Industry"),--('Archetype Data'!$D$6:$D$687=$B303),--('Archetype Data'!$H$6:$H$687=$C303))</f>
        <v>0</v>
      </c>
    </row>
    <row r="304" spans="2:10" outlineLevel="1">
      <c r="B304" t="s">
        <v>60</v>
      </c>
      <c r="C304" t="s">
        <v>135</v>
      </c>
      <c r="D304" s="15">
        <f>SUMIFS('Archetype Data'!AF$6:AF$687,'Archetype Data'!$C$6:$C$687,"Industry",'Archetype Data'!$D$6:$D$687,$B304, 'Archetype Data'!$H$6:$H$687,$C304)</f>
        <v>4.0223957449942901E-6</v>
      </c>
      <c r="E304" s="15">
        <f>SUMIFS('Archetype Data'!S$6:S$687,'Archetype Data'!$C$6:$C$687,"Industry",'Archetype Data'!$D$6:$D$687,$B304, 'Archetype Data'!$H$6:$H$687,$C304)</f>
        <v>1.3407985816647636E-4</v>
      </c>
      <c r="F304" s="15" cm="1">
        <f t="array" ref="F304">SUMPRODUCT('Archetype Data'!AG$6:AG$687,'Archetype Data'!$S$6:$S$687,--('Archetype Data'!$C$6:$C$687="Industry"),--('Archetype Data'!$D$6:$D$687=$B304),--('Archetype Data'!$H$6:$H$687=$C304))</f>
        <v>2.9706633179499571</v>
      </c>
      <c r="G304" s="15" cm="1">
        <f t="array" ref="G304">SUMPRODUCT('Archetype Data'!AH$6:AH$687,'Archetype Data'!$S$6:$S$687,--('Archetype Data'!$C$6:$C$687="Industry"),--('Archetype Data'!$D$6:$D$687=$B304),--('Archetype Data'!$H$6:$H$687=$C304))</f>
        <v>0</v>
      </c>
      <c r="H304" s="15" cm="1">
        <f t="array" ref="H304">SUMPRODUCT('Archetype Data'!AI$6:AI$687,'Archetype Data'!$S$6:$S$687,--('Archetype Data'!$C$6:$C$687="Industry"),--('Archetype Data'!$D$6:$D$687=$B304),--('Archetype Data'!$H$6:$H$687=$C304))</f>
        <v>2.9706633179499571</v>
      </c>
      <c r="I304" s="15" cm="1">
        <f t="array" ref="I304">SUMPRODUCT('Archetype Data'!AJ$6:AJ$687,'Archetype Data'!$S$6:$S$687,--('Archetype Data'!$C$6:$C$687="Industry"),--('Archetype Data'!$D$6:$D$687=$B304),--('Archetype Data'!$H$6:$H$687=$C304))</f>
        <v>0</v>
      </c>
      <c r="J304" s="15" cm="1">
        <f t="array" ref="J304">SUMPRODUCT('Archetype Data'!AK$6:AK$687,'Archetype Data'!$S$6:$S$687,--('Archetype Data'!$C$6:$C$687="Industry"),--('Archetype Data'!$D$6:$D$687=$B304),--('Archetype Data'!$H$6:$H$687=$C304))</f>
        <v>0</v>
      </c>
    </row>
    <row r="305" spans="2:10" outlineLevel="1">
      <c r="B305" t="s">
        <v>61</v>
      </c>
      <c r="C305" t="s">
        <v>131</v>
      </c>
      <c r="D305" s="15">
        <f>SUMIFS('Archetype Data'!AF$6:AF$687,'Archetype Data'!$C$6:$C$687,"Industry",'Archetype Data'!$D$6:$D$687,$B305, 'Archetype Data'!$H$6:$H$687,$C305)</f>
        <v>9.8290197304253535E-2</v>
      </c>
      <c r="E305" s="15">
        <f>SUMIFS('Archetype Data'!S$6:S$687,'Archetype Data'!$C$6:$C$687,"Industry",'Archetype Data'!$D$6:$D$687,$B305, 'Archetype Data'!$H$6:$H$687,$C305)</f>
        <v>2.9487059191276055</v>
      </c>
      <c r="F305" s="15" cm="1">
        <f t="array" ref="F305">SUMPRODUCT('Archetype Data'!AG$6:AG$687,'Archetype Data'!$S$6:$S$687,--('Archetype Data'!$C$6:$C$687="Industry"),--('Archetype Data'!$D$6:$D$687=$B305),--('Archetype Data'!$H$6:$H$687=$C305))</f>
        <v>130465.06146994616</v>
      </c>
      <c r="G305" s="15" cm="1">
        <f t="array" ref="G305">SUMPRODUCT('Archetype Data'!AH$6:AH$687,'Archetype Data'!$S$6:$S$687,--('Archetype Data'!$C$6:$C$687="Industry"),--('Archetype Data'!$D$6:$D$687=$B305),--('Archetype Data'!$H$6:$H$687=$C305))</f>
        <v>0</v>
      </c>
      <c r="H305" s="15" cm="1">
        <f t="array" ref="H305">SUMPRODUCT('Archetype Data'!AI$6:AI$687,'Archetype Data'!$S$6:$S$687,--('Archetype Data'!$C$6:$C$687="Industry"),--('Archetype Data'!$D$6:$D$687=$B305),--('Archetype Data'!$H$6:$H$687=$C305))</f>
        <v>130465.06146994616</v>
      </c>
      <c r="I305" s="15" cm="1">
        <f t="array" ref="I305">SUMPRODUCT('Archetype Data'!AJ$6:AJ$687,'Archetype Data'!$S$6:$S$687,--('Archetype Data'!$C$6:$C$687="Industry"),--('Archetype Data'!$D$6:$D$687=$B305),--('Archetype Data'!$H$6:$H$687=$C305))</f>
        <v>0</v>
      </c>
      <c r="J305" s="15" cm="1">
        <f t="array" ref="J305">SUMPRODUCT('Archetype Data'!AK$6:AK$687,'Archetype Data'!$S$6:$S$687,--('Archetype Data'!$C$6:$C$687="Industry"),--('Archetype Data'!$D$6:$D$687=$B305),--('Archetype Data'!$H$6:$H$687=$C305))</f>
        <v>0</v>
      </c>
    </row>
    <row r="306" spans="2:10" outlineLevel="1">
      <c r="B306" t="s">
        <v>61</v>
      </c>
      <c r="C306" t="s">
        <v>132</v>
      </c>
      <c r="D306" s="15">
        <f>SUMIFS('Archetype Data'!AF$6:AF$687,'Archetype Data'!$C$6:$C$687,"Industry",'Archetype Data'!$D$6:$D$687,$B306, 'Archetype Data'!$H$6:$H$687,$C306)</f>
        <v>0.19658039460850707</v>
      </c>
      <c r="E306" s="15">
        <f>SUMIFS('Archetype Data'!S$6:S$687,'Archetype Data'!$C$6:$C$687,"Industry",'Archetype Data'!$D$6:$D$687,$B306, 'Archetype Data'!$H$6:$H$687,$C306)</f>
        <v>0.98290197304253524</v>
      </c>
      <c r="F306" s="15" cm="1">
        <f t="array" ref="F306">SUMPRODUCT('Archetype Data'!AG$6:AG$687,'Archetype Data'!$S$6:$S$687,--('Archetype Data'!$C$6:$C$687="Industry"),--('Archetype Data'!$D$6:$D$687=$B306),--('Archetype Data'!$H$6:$H$687=$C306))</f>
        <v>141809.84942385452</v>
      </c>
      <c r="G306" s="15" cm="1">
        <f t="array" ref="G306">SUMPRODUCT('Archetype Data'!AH$6:AH$687,'Archetype Data'!$S$6:$S$687,--('Archetype Data'!$C$6:$C$687="Industry"),--('Archetype Data'!$D$6:$D$687=$B306),--('Archetype Data'!$H$6:$H$687=$C306))</f>
        <v>0</v>
      </c>
      <c r="H306" s="15" cm="1">
        <f t="array" ref="H306">SUMPRODUCT('Archetype Data'!AI$6:AI$687,'Archetype Data'!$S$6:$S$687,--('Archetype Data'!$C$6:$C$687="Industry"),--('Archetype Data'!$D$6:$D$687=$B306),--('Archetype Data'!$H$6:$H$687=$C306))</f>
        <v>141809.84942385452</v>
      </c>
      <c r="I306" s="15" cm="1">
        <f t="array" ref="I306">SUMPRODUCT('Archetype Data'!AJ$6:AJ$687,'Archetype Data'!$S$6:$S$687,--('Archetype Data'!$C$6:$C$687="Industry"),--('Archetype Data'!$D$6:$D$687=$B306),--('Archetype Data'!$H$6:$H$687=$C306))</f>
        <v>0</v>
      </c>
      <c r="J306" s="15" cm="1">
        <f t="array" ref="J306">SUMPRODUCT('Archetype Data'!AK$6:AK$687,'Archetype Data'!$S$6:$S$687,--('Archetype Data'!$C$6:$C$687="Industry"),--('Archetype Data'!$D$6:$D$687=$B306),--('Archetype Data'!$H$6:$H$687=$C306))</f>
        <v>0</v>
      </c>
    </row>
    <row r="307" spans="2:10" outlineLevel="1">
      <c r="B307" t="s">
        <v>61</v>
      </c>
      <c r="C307" t="s">
        <v>133</v>
      </c>
      <c r="D307" s="15">
        <f>SUMIFS('Archetype Data'!AF$6:AF$687,'Archetype Data'!$C$6:$C$687,"Industry",'Archetype Data'!$D$6:$D$687,$B307, 'Archetype Data'!$H$6:$H$687,$C307)</f>
        <v>0.68803138112977458</v>
      </c>
      <c r="E307" s="15">
        <f>SUMIFS('Archetype Data'!S$6:S$687,'Archetype Data'!$C$6:$C$687,"Industry",'Archetype Data'!$D$6:$D$687,$B307, 'Archetype Data'!$H$6:$H$687,$C307)</f>
        <v>9.8290197304253528</v>
      </c>
      <c r="F307" s="15" cm="1">
        <f t="array" ref="F307">SUMPRODUCT('Archetype Data'!AG$6:AG$687,'Archetype Data'!$S$6:$S$687,--('Archetype Data'!$C$6:$C$687="Industry"),--('Archetype Data'!$D$6:$D$687=$B307),--('Archetype Data'!$H$6:$H$687=$C307))</f>
        <v>843768.60407193424</v>
      </c>
      <c r="G307" s="15" cm="1">
        <f t="array" ref="G307">SUMPRODUCT('Archetype Data'!AH$6:AH$687,'Archetype Data'!$S$6:$S$687,--('Archetype Data'!$C$6:$C$687="Industry"),--('Archetype Data'!$D$6:$D$687=$B307),--('Archetype Data'!$H$6:$H$687=$C307))</f>
        <v>0</v>
      </c>
      <c r="H307" s="15" cm="1">
        <f t="array" ref="H307">SUMPRODUCT('Archetype Data'!AI$6:AI$687,'Archetype Data'!$S$6:$S$687,--('Archetype Data'!$C$6:$C$687="Industry"),--('Archetype Data'!$D$6:$D$687=$B307),--('Archetype Data'!$H$6:$H$687=$C307))</f>
        <v>843768.60407193424</v>
      </c>
      <c r="I307" s="15" cm="1">
        <f t="array" ref="I307">SUMPRODUCT('Archetype Data'!AJ$6:AJ$687,'Archetype Data'!$S$6:$S$687,--('Archetype Data'!$C$6:$C$687="Industry"),--('Archetype Data'!$D$6:$D$687=$B307),--('Archetype Data'!$H$6:$H$687=$C307))</f>
        <v>0</v>
      </c>
      <c r="J307" s="15" cm="1">
        <f t="array" ref="J307">SUMPRODUCT('Archetype Data'!AK$6:AK$687,'Archetype Data'!$S$6:$S$687,--('Archetype Data'!$C$6:$C$687="Industry"),--('Archetype Data'!$D$6:$D$687=$B307),--('Archetype Data'!$H$6:$H$687=$C307))</f>
        <v>0</v>
      </c>
    </row>
    <row r="308" spans="2:10" outlineLevel="1">
      <c r="B308" t="s">
        <v>62</v>
      </c>
      <c r="C308" t="s">
        <v>131</v>
      </c>
      <c r="D308" s="15">
        <f>SUMIFS('Archetype Data'!AF$6:AF$687,'Archetype Data'!$C$6:$C$687,"Industry",'Archetype Data'!$D$6:$D$687,$B308, 'Archetype Data'!$H$6:$H$687,$C308)</f>
        <v>1.9944123461074528</v>
      </c>
      <c r="E308" s="15">
        <f>SUMIFS('Archetype Data'!S$6:S$687,'Archetype Data'!$C$6:$C$687,"Industry",'Archetype Data'!$D$6:$D$687,$B308, 'Archetype Data'!$H$6:$H$687,$C308)</f>
        <v>3.4385772200618994</v>
      </c>
      <c r="F308" s="15" cm="1">
        <f t="array" ref="F308">SUMPRODUCT('Archetype Data'!AG$6:AG$687,'Archetype Data'!$S$6:$S$687,--('Archetype Data'!$C$6:$C$687="Industry"),--('Archetype Data'!$D$6:$D$687=$B308),--('Archetype Data'!$H$6:$H$687=$C308))</f>
        <v>14494.392524048933</v>
      </c>
      <c r="G308" s="15" cm="1">
        <f t="array" ref="G308">SUMPRODUCT('Archetype Data'!AH$6:AH$687,'Archetype Data'!$S$6:$S$687,--('Archetype Data'!$C$6:$C$687="Industry"),--('Archetype Data'!$D$6:$D$687=$B308),--('Archetype Data'!$H$6:$H$687=$C308))</f>
        <v>0</v>
      </c>
      <c r="H308" s="15" cm="1">
        <f t="array" ref="H308">SUMPRODUCT('Archetype Data'!AI$6:AI$687,'Archetype Data'!$S$6:$S$687,--('Archetype Data'!$C$6:$C$687="Industry"),--('Archetype Data'!$D$6:$D$687=$B308),--('Archetype Data'!$H$6:$H$687=$C308))</f>
        <v>0</v>
      </c>
      <c r="I308" s="15" cm="1">
        <f t="array" ref="I308">SUMPRODUCT('Archetype Data'!AJ$6:AJ$687,'Archetype Data'!$S$6:$S$687,--('Archetype Data'!$C$6:$C$687="Industry"),--('Archetype Data'!$D$6:$D$687=$B308),--('Archetype Data'!$H$6:$H$687=$C308))</f>
        <v>14494.392524048933</v>
      </c>
      <c r="J308" s="15" cm="1">
        <f t="array" ref="J308">SUMPRODUCT('Archetype Data'!AK$6:AK$687,'Archetype Data'!$S$6:$S$687,--('Archetype Data'!$C$6:$C$687="Industry"),--('Archetype Data'!$D$6:$D$687=$B308),--('Archetype Data'!$H$6:$H$687=$C308))</f>
        <v>0</v>
      </c>
    </row>
    <row r="309" spans="2:10" outlineLevel="1">
      <c r="B309" t="s">
        <v>62</v>
      </c>
      <c r="C309" t="s">
        <v>135</v>
      </c>
      <c r="D309" s="15">
        <f>SUMIFS('Archetype Data'!AF$6:AF$687,'Archetype Data'!$C$6:$C$687,"Industry",'Archetype Data'!$D$6:$D$687,$B309, 'Archetype Data'!$H$6:$H$687,$C309)</f>
        <v>1.3582473915423383</v>
      </c>
      <c r="E309" s="15">
        <f>SUMIFS('Archetype Data'!S$6:S$687,'Archetype Data'!$C$6:$C$687,"Industry",'Archetype Data'!$D$6:$D$687,$B309, 'Archetype Data'!$H$6:$H$687,$C309)</f>
        <v>3.4385772200618998</v>
      </c>
      <c r="F309" s="15" cm="1">
        <f t="array" ref="F309">SUMPRODUCT('Archetype Data'!AG$6:AG$687,'Archetype Data'!$S$6:$S$687,--('Archetype Data'!$C$6:$C$687="Industry"),--('Archetype Data'!$D$6:$D$687=$B309),--('Archetype Data'!$H$6:$H$687=$C309))</f>
        <v>18330.887954795769</v>
      </c>
      <c r="G309" s="15" cm="1">
        <f t="array" ref="G309">SUMPRODUCT('Archetype Data'!AH$6:AH$687,'Archetype Data'!$S$6:$S$687,--('Archetype Data'!$C$6:$C$687="Industry"),--('Archetype Data'!$D$6:$D$687=$B309),--('Archetype Data'!$H$6:$H$687=$C309))</f>
        <v>0</v>
      </c>
      <c r="H309" s="15" cm="1">
        <f t="array" ref="H309">SUMPRODUCT('Archetype Data'!AI$6:AI$687,'Archetype Data'!$S$6:$S$687,--('Archetype Data'!$C$6:$C$687="Industry"),--('Archetype Data'!$D$6:$D$687=$B309),--('Archetype Data'!$H$6:$H$687=$C309))</f>
        <v>0</v>
      </c>
      <c r="I309" s="15" cm="1">
        <f t="array" ref="I309">SUMPRODUCT('Archetype Data'!AJ$6:AJ$687,'Archetype Data'!$S$6:$S$687,--('Archetype Data'!$C$6:$C$687="Industry"),--('Archetype Data'!$D$6:$D$687=$B309),--('Archetype Data'!$H$6:$H$687=$C309))</f>
        <v>18330.887954795769</v>
      </c>
      <c r="J309" s="15" cm="1">
        <f t="array" ref="J309">SUMPRODUCT('Archetype Data'!AK$6:AK$687,'Archetype Data'!$S$6:$S$687,--('Archetype Data'!$C$6:$C$687="Industry"),--('Archetype Data'!$D$6:$D$687=$B309),--('Archetype Data'!$H$6:$H$687=$C309))</f>
        <v>0</v>
      </c>
    </row>
    <row r="310" spans="2:10" outlineLevel="1">
      <c r="B310" t="s">
        <v>63</v>
      </c>
      <c r="C310" t="s">
        <v>136</v>
      </c>
      <c r="D310" s="15">
        <f>SUMIFS('Archetype Data'!AF$6:AF$687,'Archetype Data'!$C$6:$C$687,"Industry",'Archetype Data'!$D$6:$D$687,$B310, 'Archetype Data'!$H$6:$H$687,$C310)</f>
        <v>0.26544871960279709</v>
      </c>
      <c r="E310" s="15">
        <f>SUMIFS('Archetype Data'!S$6:S$687,'Archetype Data'!$C$6:$C$687,"Industry",'Archetype Data'!$D$6:$D$687,$B310, 'Archetype Data'!$H$6:$H$687,$C310)</f>
        <v>2.6544871960279712</v>
      </c>
      <c r="F310" s="15" cm="1">
        <f t="array" ref="F310">SUMPRODUCT('Archetype Data'!AG$6:AG$687,'Archetype Data'!$S$6:$S$687,--('Archetype Data'!$C$6:$C$687="Industry"),--('Archetype Data'!$D$6:$D$687=$B310),--('Archetype Data'!$H$6:$H$687=$C310))</f>
        <v>10385.927131578741</v>
      </c>
      <c r="G310" s="15" cm="1">
        <f t="array" ref="G310">SUMPRODUCT('Archetype Data'!AH$6:AH$687,'Archetype Data'!$S$6:$S$687,--('Archetype Data'!$C$6:$C$687="Industry"),--('Archetype Data'!$D$6:$D$687=$B310),--('Archetype Data'!$H$6:$H$687=$C310))</f>
        <v>10385.927131578741</v>
      </c>
      <c r="H310" s="15" cm="1">
        <f t="array" ref="H310">SUMPRODUCT('Archetype Data'!AI$6:AI$687,'Archetype Data'!$S$6:$S$687,--('Archetype Data'!$C$6:$C$687="Industry"),--('Archetype Data'!$D$6:$D$687=$B310),--('Archetype Data'!$H$6:$H$687=$C310))</f>
        <v>0</v>
      </c>
      <c r="I310" s="15" cm="1">
        <f t="array" ref="I310">SUMPRODUCT('Archetype Data'!AJ$6:AJ$687,'Archetype Data'!$S$6:$S$687,--('Archetype Data'!$C$6:$C$687="Industry"),--('Archetype Data'!$D$6:$D$687=$B310),--('Archetype Data'!$H$6:$H$687=$C310))</f>
        <v>0</v>
      </c>
      <c r="J310" s="15" cm="1">
        <f t="array" ref="J310">SUMPRODUCT('Archetype Data'!AK$6:AK$687,'Archetype Data'!$S$6:$S$687,--('Archetype Data'!$C$6:$C$687="Industry"),--('Archetype Data'!$D$6:$D$687=$B310),--('Archetype Data'!$H$6:$H$687=$C310))</f>
        <v>0</v>
      </c>
    </row>
    <row r="311" spans="2:10" outlineLevel="1">
      <c r="B311" t="s">
        <v>63</v>
      </c>
      <c r="C311" t="s">
        <v>131</v>
      </c>
      <c r="D311" s="15">
        <f>SUMIFS('Archetype Data'!AF$6:AF$687,'Archetype Data'!$C$6:$C$687,"Industry",'Archetype Data'!$D$6:$D$687,$B311, 'Archetype Data'!$H$6:$H$687,$C311)</f>
        <v>1.5926923176167826</v>
      </c>
      <c r="E311" s="15">
        <f>SUMIFS('Archetype Data'!S$6:S$687,'Archetype Data'!$C$6:$C$687,"Industry",'Archetype Data'!$D$6:$D$687,$B311, 'Archetype Data'!$H$6:$H$687,$C311)</f>
        <v>5.3089743920559425</v>
      </c>
      <c r="F311" s="15" cm="1">
        <f t="array" ref="F311">SUMPRODUCT('Archetype Data'!AG$6:AG$687,'Archetype Data'!$S$6:$S$687,--('Archetype Data'!$C$6:$C$687="Industry"),--('Archetype Data'!$D$6:$D$687=$B311),--('Archetype Data'!$H$6:$H$687=$C311))</f>
        <v>67447.432666252527</v>
      </c>
      <c r="G311" s="15" cm="1">
        <f t="array" ref="G311">SUMPRODUCT('Archetype Data'!AH$6:AH$687,'Archetype Data'!$S$6:$S$687,--('Archetype Data'!$C$6:$C$687="Industry"),--('Archetype Data'!$D$6:$D$687=$B311),--('Archetype Data'!$H$6:$H$687=$C311))</f>
        <v>0</v>
      </c>
      <c r="H311" s="15" cm="1">
        <f t="array" ref="H311">SUMPRODUCT('Archetype Data'!AI$6:AI$687,'Archetype Data'!$S$6:$S$687,--('Archetype Data'!$C$6:$C$687="Industry"),--('Archetype Data'!$D$6:$D$687=$B311),--('Archetype Data'!$H$6:$H$687=$C311))</f>
        <v>0</v>
      </c>
      <c r="I311" s="15" cm="1">
        <f t="array" ref="I311">SUMPRODUCT('Archetype Data'!AJ$6:AJ$687,'Archetype Data'!$S$6:$S$687,--('Archetype Data'!$C$6:$C$687="Industry"),--('Archetype Data'!$D$6:$D$687=$B311),--('Archetype Data'!$H$6:$H$687=$C311))</f>
        <v>67447.432666252527</v>
      </c>
      <c r="J311" s="15" cm="1">
        <f t="array" ref="J311">SUMPRODUCT('Archetype Data'!AK$6:AK$687,'Archetype Data'!$S$6:$S$687,--('Archetype Data'!$C$6:$C$687="Industry"),--('Archetype Data'!$D$6:$D$687=$B311),--('Archetype Data'!$H$6:$H$687=$C311))</f>
        <v>0</v>
      </c>
    </row>
    <row r="312" spans="2:10" outlineLevel="1">
      <c r="B312" t="s">
        <v>63</v>
      </c>
      <c r="C312" t="s">
        <v>135</v>
      </c>
      <c r="D312" s="15">
        <f>SUMIFS('Archetype Data'!AF$6:AF$687,'Archetype Data'!$C$6:$C$687,"Industry",'Archetype Data'!$D$6:$D$687,$B312, 'Archetype Data'!$H$6:$H$687,$C312)</f>
        <v>0.79634615880839132</v>
      </c>
      <c r="E312" s="15">
        <f>SUMIFS('Archetype Data'!S$6:S$687,'Archetype Data'!$C$6:$C$687,"Industry",'Archetype Data'!$D$6:$D$687,$B312, 'Archetype Data'!$H$6:$H$687,$C312)</f>
        <v>5.3089743920559425</v>
      </c>
      <c r="F312" s="15" cm="1">
        <f t="array" ref="F312">SUMPRODUCT('Archetype Data'!AG$6:AG$687,'Archetype Data'!$S$6:$S$687,--('Archetype Data'!$C$6:$C$687="Industry"),--('Archetype Data'!$D$6:$D$687=$B312),--('Archetype Data'!$H$6:$H$687=$C312))</f>
        <v>33723.716333126264</v>
      </c>
      <c r="G312" s="15" cm="1">
        <f t="array" ref="G312">SUMPRODUCT('Archetype Data'!AH$6:AH$687,'Archetype Data'!$S$6:$S$687,--('Archetype Data'!$C$6:$C$687="Industry"),--('Archetype Data'!$D$6:$D$687=$B312),--('Archetype Data'!$H$6:$H$687=$C312))</f>
        <v>0</v>
      </c>
      <c r="H312" s="15" cm="1">
        <f t="array" ref="H312">SUMPRODUCT('Archetype Data'!AI$6:AI$687,'Archetype Data'!$S$6:$S$687,--('Archetype Data'!$C$6:$C$687="Industry"),--('Archetype Data'!$D$6:$D$687=$B312),--('Archetype Data'!$H$6:$H$687=$C312))</f>
        <v>33723.716333126264</v>
      </c>
      <c r="I312" s="15" cm="1">
        <f t="array" ref="I312">SUMPRODUCT('Archetype Data'!AJ$6:AJ$687,'Archetype Data'!$S$6:$S$687,--('Archetype Data'!$C$6:$C$687="Industry"),--('Archetype Data'!$D$6:$D$687=$B312),--('Archetype Data'!$H$6:$H$687=$C312))</f>
        <v>0</v>
      </c>
      <c r="J312" s="15" cm="1">
        <f t="array" ref="J312">SUMPRODUCT('Archetype Data'!AK$6:AK$687,'Archetype Data'!$S$6:$S$687,--('Archetype Data'!$C$6:$C$687="Industry"),--('Archetype Data'!$D$6:$D$687=$B312),--('Archetype Data'!$H$6:$H$687=$C312))</f>
        <v>0</v>
      </c>
    </row>
    <row r="313" spans="2:10" outlineLevel="1">
      <c r="B313" t="s">
        <v>64</v>
      </c>
      <c r="C313" t="s">
        <v>131</v>
      </c>
      <c r="D313" s="15">
        <f>SUMIFS('Archetype Data'!AF$6:AF$687,'Archetype Data'!$C$6:$C$687,"Industry",'Archetype Data'!$D$6:$D$687,$B313, 'Archetype Data'!$H$6:$H$687,$C313)</f>
        <v>93.348463438562874</v>
      </c>
      <c r="E313" s="15">
        <f>SUMIFS('Archetype Data'!S$6:S$687,'Archetype Data'!$C$6:$C$687,"Industry",'Archetype Data'!$D$6:$D$687,$B313, 'Archetype Data'!$H$6:$H$687,$C313)</f>
        <v>171.85452435736619</v>
      </c>
      <c r="F313" s="15" cm="1">
        <f t="array" ref="F313">SUMPRODUCT('Archetype Data'!AG$6:AG$687,'Archetype Data'!$S$6:$S$687,--('Archetype Data'!$C$6:$C$687="Industry"),--('Archetype Data'!$D$6:$D$687=$B313),--('Archetype Data'!$H$6:$H$687=$C313))</f>
        <v>1459603.2389944892</v>
      </c>
      <c r="G313" s="15" cm="1">
        <f t="array" ref="G313">SUMPRODUCT('Archetype Data'!AH$6:AH$687,'Archetype Data'!$S$6:$S$687,--('Archetype Data'!$C$6:$C$687="Industry"),--('Archetype Data'!$D$6:$D$687=$B313),--('Archetype Data'!$H$6:$H$687=$C313))</f>
        <v>0</v>
      </c>
      <c r="H313" s="15" cm="1">
        <f t="array" ref="H313">SUMPRODUCT('Archetype Data'!AI$6:AI$687,'Archetype Data'!$S$6:$S$687,--('Archetype Data'!$C$6:$C$687="Industry"),--('Archetype Data'!$D$6:$D$687=$B313),--('Archetype Data'!$H$6:$H$687=$C313))</f>
        <v>145960.32389944894</v>
      </c>
      <c r="I313" s="15" cm="1">
        <f t="array" ref="I313">SUMPRODUCT('Archetype Data'!AJ$6:AJ$687,'Archetype Data'!$S$6:$S$687,--('Archetype Data'!$C$6:$C$687="Industry"),--('Archetype Data'!$D$6:$D$687=$B313),--('Archetype Data'!$H$6:$H$687=$C313))</f>
        <v>875761.94339669333</v>
      </c>
      <c r="J313" s="15" cm="1">
        <f t="array" ref="J313">SUMPRODUCT('Archetype Data'!AK$6:AK$687,'Archetype Data'!$S$6:$S$687,--('Archetype Data'!$C$6:$C$687="Industry"),--('Archetype Data'!$D$6:$D$687=$B313),--('Archetype Data'!$H$6:$H$687=$C313))</f>
        <v>437880.97169834666</v>
      </c>
    </row>
    <row r="314" spans="2:10" outlineLevel="1">
      <c r="B314" t="s">
        <v>64</v>
      </c>
      <c r="C314" t="s">
        <v>132</v>
      </c>
      <c r="D314" s="15">
        <f>SUMIFS('Archetype Data'!AF$6:AF$687,'Archetype Data'!$C$6:$C$687,"Industry",'Archetype Data'!$D$6:$D$687,$B314, 'Archetype Data'!$H$6:$H$687,$C314)</f>
        <v>29.820634195343949</v>
      </c>
      <c r="E314" s="15">
        <f>SUMIFS('Archetype Data'!S$6:S$687,'Archetype Data'!$C$6:$C$687,"Industry",'Archetype Data'!$D$6:$D$687,$B314, 'Archetype Data'!$H$6:$H$687,$C314)</f>
        <v>144.90482074577278</v>
      </c>
      <c r="F314" s="15" cm="1">
        <f t="array" ref="F314">SUMPRODUCT('Archetype Data'!AG$6:AG$687,'Archetype Data'!$S$6:$S$687,--('Archetype Data'!$C$6:$C$687="Industry"),--('Archetype Data'!$D$6:$D$687=$B314),--('Archetype Data'!$H$6:$H$687=$C314))</f>
        <v>845907.8626460901</v>
      </c>
      <c r="G314" s="15" cm="1">
        <f t="array" ref="G314">SUMPRODUCT('Archetype Data'!AH$6:AH$687,'Archetype Data'!$S$6:$S$687,--('Archetype Data'!$C$6:$C$687="Industry"),--('Archetype Data'!$D$6:$D$687=$B314),--('Archetype Data'!$H$6:$H$687=$C314))</f>
        <v>0</v>
      </c>
      <c r="H314" s="15" cm="1">
        <f t="array" ref="H314">SUMPRODUCT('Archetype Data'!AI$6:AI$687,'Archetype Data'!$S$6:$S$687,--('Archetype Data'!$C$6:$C$687="Industry"),--('Archetype Data'!$D$6:$D$687=$B314),--('Archetype Data'!$H$6:$H$687=$C314))</f>
        <v>0</v>
      </c>
      <c r="I314" s="15" cm="1">
        <f t="array" ref="I314">SUMPRODUCT('Archetype Data'!AJ$6:AJ$687,'Archetype Data'!$S$6:$S$687,--('Archetype Data'!$C$6:$C$687="Industry"),--('Archetype Data'!$D$6:$D$687=$B314),--('Archetype Data'!$H$6:$H$687=$C314))</f>
        <v>845907.8626460901</v>
      </c>
      <c r="J314" s="15" cm="1">
        <f t="array" ref="J314">SUMPRODUCT('Archetype Data'!AK$6:AK$687,'Archetype Data'!$S$6:$S$687,--('Archetype Data'!$C$6:$C$687="Industry"),--('Archetype Data'!$D$6:$D$687=$B314),--('Archetype Data'!$H$6:$H$687=$C314))</f>
        <v>0</v>
      </c>
    </row>
    <row r="315" spans="2:10" outlineLevel="1">
      <c r="B315" t="s">
        <v>64</v>
      </c>
      <c r="C315" t="s">
        <v>137</v>
      </c>
      <c r="D315" s="15">
        <f>SUMIFS('Archetype Data'!AF$6:AF$687,'Archetype Data'!$C$6:$C$687,"Industry",'Archetype Data'!$D$6:$D$687,$B315, 'Archetype Data'!$H$6:$H$687,$C315)</f>
        <v>14.490482074577276</v>
      </c>
      <c r="E315" s="15">
        <f>SUMIFS('Archetype Data'!S$6:S$687,'Archetype Data'!$C$6:$C$687,"Industry",'Archetype Data'!$D$6:$D$687,$B315, 'Archetype Data'!$H$6:$H$687,$C315)</f>
        <v>131.42996893997605</v>
      </c>
      <c r="F315" s="15" cm="1">
        <f t="array" ref="F315">SUMPRODUCT('Archetype Data'!AG$6:AG$687,'Archetype Data'!$S$6:$S$687,--('Archetype Data'!$C$6:$C$687="Industry"),--('Archetype Data'!$D$6:$D$687=$B315),--('Archetype Data'!$H$6:$H$687=$C315))</f>
        <v>354832.20073685824</v>
      </c>
      <c r="G315" s="15" cm="1">
        <f t="array" ref="G315">SUMPRODUCT('Archetype Data'!AH$6:AH$687,'Archetype Data'!$S$6:$S$687,--('Archetype Data'!$C$6:$C$687="Industry"),--('Archetype Data'!$D$6:$D$687=$B315),--('Archetype Data'!$H$6:$H$687=$C315))</f>
        <v>0</v>
      </c>
      <c r="H315" s="15" cm="1">
        <f t="array" ref="H315">SUMPRODUCT('Archetype Data'!AI$6:AI$687,'Archetype Data'!$S$6:$S$687,--('Archetype Data'!$C$6:$C$687="Industry"),--('Archetype Data'!$D$6:$D$687=$B315),--('Archetype Data'!$H$6:$H$687=$C315))</f>
        <v>354832.20073685824</v>
      </c>
      <c r="I315" s="15" cm="1">
        <f t="array" ref="I315">SUMPRODUCT('Archetype Data'!AJ$6:AJ$687,'Archetype Data'!$S$6:$S$687,--('Archetype Data'!$C$6:$C$687="Industry"),--('Archetype Data'!$D$6:$D$687=$B315),--('Archetype Data'!$H$6:$H$687=$C315))</f>
        <v>0</v>
      </c>
      <c r="J315" s="15" cm="1">
        <f t="array" ref="J315">SUMPRODUCT('Archetype Data'!AK$6:AK$687,'Archetype Data'!$S$6:$S$687,--('Archetype Data'!$C$6:$C$687="Industry"),--('Archetype Data'!$D$6:$D$687=$B315),--('Archetype Data'!$H$6:$H$687=$C315))</f>
        <v>0</v>
      </c>
    </row>
    <row r="316" spans="2:10" outlineLevel="1">
      <c r="B316" t="s">
        <v>64</v>
      </c>
      <c r="C316" t="s">
        <v>135</v>
      </c>
      <c r="D316" s="15">
        <f>SUMIFS('Archetype Data'!AF$6:AF$687,'Archetype Data'!$C$6:$C$687,"Industry",'Archetype Data'!$D$6:$D$687,$B316, 'Archetype Data'!$H$6:$H$687,$C316)</f>
        <v>7.245241037288638</v>
      </c>
      <c r="E316" s="15">
        <f>SUMIFS('Archetype Data'!S$6:S$687,'Archetype Data'!$C$6:$C$687,"Industry",'Archetype Data'!$D$6:$D$687,$B316, 'Archetype Data'!$H$6:$H$687,$C316)</f>
        <v>131.42996893997605</v>
      </c>
      <c r="F316" s="15" cm="1">
        <f t="array" ref="F316">SUMPRODUCT('Archetype Data'!AG$6:AG$687,'Archetype Data'!$S$6:$S$687,--('Archetype Data'!$C$6:$C$687="Industry"),--('Archetype Data'!$D$6:$D$687=$B316),--('Archetype Data'!$H$6:$H$687=$C316))</f>
        <v>177416.10036842912</v>
      </c>
      <c r="G316" s="15" cm="1">
        <f t="array" ref="G316">SUMPRODUCT('Archetype Data'!AH$6:AH$687,'Archetype Data'!$S$6:$S$687,--('Archetype Data'!$C$6:$C$687="Industry"),--('Archetype Data'!$D$6:$D$687=$B316),--('Archetype Data'!$H$6:$H$687=$C316))</f>
        <v>0</v>
      </c>
      <c r="H316" s="15" cm="1">
        <f t="array" ref="H316">SUMPRODUCT('Archetype Data'!AI$6:AI$687,'Archetype Data'!$S$6:$S$687,--('Archetype Data'!$C$6:$C$687="Industry"),--('Archetype Data'!$D$6:$D$687=$B316),--('Archetype Data'!$H$6:$H$687=$C316))</f>
        <v>0</v>
      </c>
      <c r="I316" s="15" cm="1">
        <f t="array" ref="I316">SUMPRODUCT('Archetype Data'!AJ$6:AJ$687,'Archetype Data'!$S$6:$S$687,--('Archetype Data'!$C$6:$C$687="Industry"),--('Archetype Data'!$D$6:$D$687=$B316),--('Archetype Data'!$H$6:$H$687=$C316))</f>
        <v>0</v>
      </c>
      <c r="J316" s="15" cm="1">
        <f t="array" ref="J316">SUMPRODUCT('Archetype Data'!AK$6:AK$687,'Archetype Data'!$S$6:$S$687,--('Archetype Data'!$C$6:$C$687="Industry"),--('Archetype Data'!$D$6:$D$687=$B316),--('Archetype Data'!$H$6:$H$687=$C316))</f>
        <v>177416.10036842912</v>
      </c>
    </row>
    <row r="317" spans="2:10" outlineLevel="1">
      <c r="B317" t="s">
        <v>65</v>
      </c>
      <c r="C317" t="s">
        <v>134</v>
      </c>
      <c r="D317" s="15">
        <f>SUMIFS('Archetype Data'!AF$6:AF$687,'Archetype Data'!$C$6:$C$687,"Industry",'Archetype Data'!$D$6:$D$687,$B317, 'Archetype Data'!$H$6:$H$687,$C317)</f>
        <v>1.2365806068376164</v>
      </c>
      <c r="E317" s="15">
        <f>SUMIFS('Archetype Data'!S$6:S$687,'Archetype Data'!$C$6:$C$687,"Industry",'Archetype Data'!$D$6:$D$687,$B317, 'Archetype Data'!$H$6:$H$687,$C317)</f>
        <v>1.6487741424501552</v>
      </c>
      <c r="F317" s="15" cm="1">
        <f t="array" ref="F317">SUMPRODUCT('Archetype Data'!AG$6:AG$687,'Archetype Data'!$S$6:$S$687,--('Archetype Data'!$C$6:$C$687="Industry"),--('Archetype Data'!$D$6:$D$687=$B317),--('Archetype Data'!$H$6:$H$687=$C317))</f>
        <v>151727.12755769028</v>
      </c>
      <c r="G317" s="15" cm="1">
        <f t="array" ref="G317">SUMPRODUCT('Archetype Data'!AH$6:AH$687,'Archetype Data'!$S$6:$S$687,--('Archetype Data'!$C$6:$C$687="Industry"),--('Archetype Data'!$D$6:$D$687=$B317),--('Archetype Data'!$H$6:$H$687=$C317))</f>
        <v>151727.12755769028</v>
      </c>
      <c r="H317" s="15" cm="1">
        <f t="array" ref="H317">SUMPRODUCT('Archetype Data'!AI$6:AI$687,'Archetype Data'!$S$6:$S$687,--('Archetype Data'!$C$6:$C$687="Industry"),--('Archetype Data'!$D$6:$D$687=$B317),--('Archetype Data'!$H$6:$H$687=$C317))</f>
        <v>0</v>
      </c>
      <c r="I317" s="15" cm="1">
        <f t="array" ref="I317">SUMPRODUCT('Archetype Data'!AJ$6:AJ$687,'Archetype Data'!$S$6:$S$687,--('Archetype Data'!$C$6:$C$687="Industry"),--('Archetype Data'!$D$6:$D$687=$B317),--('Archetype Data'!$H$6:$H$687=$C317))</f>
        <v>0</v>
      </c>
      <c r="J317" s="15" cm="1">
        <f t="array" ref="J317">SUMPRODUCT('Archetype Data'!AK$6:AK$687,'Archetype Data'!$S$6:$S$687,--('Archetype Data'!$C$6:$C$687="Industry"),--('Archetype Data'!$D$6:$D$687=$B317),--('Archetype Data'!$H$6:$H$687=$C317))</f>
        <v>0</v>
      </c>
    </row>
    <row r="318" spans="2:10" outlineLevel="1">
      <c r="B318" t="s">
        <v>65</v>
      </c>
      <c r="C318" t="s">
        <v>136</v>
      </c>
      <c r="D318" s="15">
        <f>SUMIFS('Archetype Data'!AF$6:AF$687,'Archetype Data'!$C$6:$C$687,"Industry",'Archetype Data'!$D$6:$D$687,$B318, 'Archetype Data'!$H$6:$H$687,$C318)</f>
        <v>8.2438707122507782E-2</v>
      </c>
      <c r="E318" s="15">
        <f>SUMIFS('Archetype Data'!S$6:S$687,'Archetype Data'!$C$6:$C$687,"Industry",'Archetype Data'!$D$6:$D$687,$B318, 'Archetype Data'!$H$6:$H$687,$C318)</f>
        <v>1.6487741424501552</v>
      </c>
      <c r="F318" s="15" cm="1">
        <f t="array" ref="F318">SUMPRODUCT('Archetype Data'!AG$6:AG$687,'Archetype Data'!$S$6:$S$687,--('Archetype Data'!$C$6:$C$687="Industry"),--('Archetype Data'!$D$6:$D$687=$B318),--('Archetype Data'!$H$6:$H$687=$C318))</f>
        <v>9553.1895128916112</v>
      </c>
      <c r="G318" s="15" cm="1">
        <f t="array" ref="G318">SUMPRODUCT('Archetype Data'!AH$6:AH$687,'Archetype Data'!$S$6:$S$687,--('Archetype Data'!$C$6:$C$687="Industry"),--('Archetype Data'!$D$6:$D$687=$B318),--('Archetype Data'!$H$6:$H$687=$C318))</f>
        <v>9553.1895128916112</v>
      </c>
      <c r="H318" s="15" cm="1">
        <f t="array" ref="H318">SUMPRODUCT('Archetype Data'!AI$6:AI$687,'Archetype Data'!$S$6:$S$687,--('Archetype Data'!$C$6:$C$687="Industry"),--('Archetype Data'!$D$6:$D$687=$B318),--('Archetype Data'!$H$6:$H$687=$C318))</f>
        <v>0</v>
      </c>
      <c r="I318" s="15" cm="1">
        <f t="array" ref="I318">SUMPRODUCT('Archetype Data'!AJ$6:AJ$687,'Archetype Data'!$S$6:$S$687,--('Archetype Data'!$C$6:$C$687="Industry"),--('Archetype Data'!$D$6:$D$687=$B318),--('Archetype Data'!$H$6:$H$687=$C318))</f>
        <v>0</v>
      </c>
      <c r="J318" s="15" cm="1">
        <f t="array" ref="J318">SUMPRODUCT('Archetype Data'!AK$6:AK$687,'Archetype Data'!$S$6:$S$687,--('Archetype Data'!$C$6:$C$687="Industry"),--('Archetype Data'!$D$6:$D$687=$B318),--('Archetype Data'!$H$6:$H$687=$C318))</f>
        <v>0</v>
      </c>
    </row>
    <row r="319" spans="2:10" outlineLevel="1">
      <c r="B319" t="s">
        <v>65</v>
      </c>
      <c r="C319" t="s">
        <v>133</v>
      </c>
      <c r="D319" s="15">
        <f>SUMIFS('Archetype Data'!AF$6:AF$687,'Archetype Data'!$C$6:$C$687,"Industry",'Archetype Data'!$D$6:$D$687,$B319, 'Archetype Data'!$H$6:$H$687,$C319)</f>
        <v>0.32975482849003113</v>
      </c>
      <c r="E319" s="15">
        <f>SUMIFS('Archetype Data'!S$6:S$687,'Archetype Data'!$C$6:$C$687,"Industry",'Archetype Data'!$D$6:$D$687,$B319, 'Archetype Data'!$H$6:$H$687,$C319)</f>
        <v>1.6487741424501552</v>
      </c>
      <c r="F319" s="15" cm="1">
        <f t="array" ref="F319">SUMPRODUCT('Archetype Data'!AG$6:AG$687,'Archetype Data'!$S$6:$S$687,--('Archetype Data'!$C$6:$C$687="Industry"),--('Archetype Data'!$D$6:$D$687=$B319),--('Archetype Data'!$H$6:$H$687=$C319))</f>
        <v>38212.758051566445</v>
      </c>
      <c r="G319" s="15" cm="1">
        <f t="array" ref="G319">SUMPRODUCT('Archetype Data'!AH$6:AH$687,'Archetype Data'!$S$6:$S$687,--('Archetype Data'!$C$6:$C$687="Industry"),--('Archetype Data'!$D$6:$D$687=$B319),--('Archetype Data'!$H$6:$H$687=$C319))</f>
        <v>38212.758051566445</v>
      </c>
      <c r="H319" s="15" cm="1">
        <f t="array" ref="H319">SUMPRODUCT('Archetype Data'!AI$6:AI$687,'Archetype Data'!$S$6:$S$687,--('Archetype Data'!$C$6:$C$687="Industry"),--('Archetype Data'!$D$6:$D$687=$B319),--('Archetype Data'!$H$6:$H$687=$C319))</f>
        <v>0</v>
      </c>
      <c r="I319" s="15" cm="1">
        <f t="array" ref="I319">SUMPRODUCT('Archetype Data'!AJ$6:AJ$687,'Archetype Data'!$S$6:$S$687,--('Archetype Data'!$C$6:$C$687="Industry"),--('Archetype Data'!$D$6:$D$687=$B319),--('Archetype Data'!$H$6:$H$687=$C319))</f>
        <v>0</v>
      </c>
      <c r="J319" s="15" cm="1">
        <f t="array" ref="J319">SUMPRODUCT('Archetype Data'!AK$6:AK$687,'Archetype Data'!$S$6:$S$687,--('Archetype Data'!$C$6:$C$687="Industry"),--('Archetype Data'!$D$6:$D$687=$B319),--('Archetype Data'!$H$6:$H$687=$C319))</f>
        <v>0</v>
      </c>
    </row>
    <row r="320" spans="2:10" outlineLevel="1">
      <c r="B320" t="s">
        <v>65</v>
      </c>
      <c r="C320" t="s">
        <v>135</v>
      </c>
      <c r="D320" s="15">
        <f>SUMIFS('Archetype Data'!AF$6:AF$687,'Archetype Data'!$C$6:$C$687,"Industry",'Archetype Data'!$D$6:$D$687,$B320, 'Archetype Data'!$H$6:$H$687,$C320)</f>
        <v>0</v>
      </c>
      <c r="E320" s="15">
        <f>SUMIFS('Archetype Data'!S$6:S$687,'Archetype Data'!$C$6:$C$687,"Industry",'Archetype Data'!$D$6:$D$687,$B320, 'Archetype Data'!$H$6:$H$687,$C320)</f>
        <v>0</v>
      </c>
      <c r="F320" s="15" cm="1">
        <f t="array" ref="F320">SUMPRODUCT('Archetype Data'!AG$6:AG$687,'Archetype Data'!$S$6:$S$687,--('Archetype Data'!$C$6:$C$687="Industry"),--('Archetype Data'!$D$6:$D$687=$B320),--('Archetype Data'!$H$6:$H$687=$C320))</f>
        <v>0</v>
      </c>
      <c r="G320" s="15" cm="1">
        <f t="array" ref="G320">SUMPRODUCT('Archetype Data'!AH$6:AH$687,'Archetype Data'!$S$6:$S$687,--('Archetype Data'!$C$6:$C$687="Industry"),--('Archetype Data'!$D$6:$D$687=$B320),--('Archetype Data'!$H$6:$H$687=$C320))</f>
        <v>0</v>
      </c>
      <c r="H320" s="15" cm="1">
        <f t="array" ref="H320">SUMPRODUCT('Archetype Data'!AI$6:AI$687,'Archetype Data'!$S$6:$S$687,--('Archetype Data'!$C$6:$C$687="Industry"),--('Archetype Data'!$D$6:$D$687=$B320),--('Archetype Data'!$H$6:$H$687=$C320))</f>
        <v>0</v>
      </c>
      <c r="I320" s="15" cm="1">
        <f t="array" ref="I320">SUMPRODUCT('Archetype Data'!AJ$6:AJ$687,'Archetype Data'!$S$6:$S$687,--('Archetype Data'!$C$6:$C$687="Industry"),--('Archetype Data'!$D$6:$D$687=$B320),--('Archetype Data'!$H$6:$H$687=$C320))</f>
        <v>0</v>
      </c>
      <c r="J320" s="15" cm="1">
        <f t="array" ref="J320">SUMPRODUCT('Archetype Data'!AK$6:AK$687,'Archetype Data'!$S$6:$S$687,--('Archetype Data'!$C$6:$C$687="Industry"),--('Archetype Data'!$D$6:$D$687=$B320),--('Archetype Data'!$H$6:$H$687=$C320))</f>
        <v>0</v>
      </c>
    </row>
    <row r="321" spans="2:10" outlineLevel="1">
      <c r="B321" t="s">
        <v>66</v>
      </c>
      <c r="C321" t="s">
        <v>136</v>
      </c>
      <c r="D321" s="15">
        <f>SUMIFS('Archetype Data'!AF$6:AF$687,'Archetype Data'!$C$6:$C$687,"Industry",'Archetype Data'!$D$6:$D$687,$B321, 'Archetype Data'!$H$6:$H$687,$C321)</f>
        <v>0</v>
      </c>
      <c r="E321" s="15">
        <f>SUMIFS('Archetype Data'!S$6:S$687,'Archetype Data'!$C$6:$C$687,"Industry",'Archetype Data'!$D$6:$D$687,$B321, 'Archetype Data'!$H$6:$H$687,$C321)</f>
        <v>0</v>
      </c>
      <c r="F321" s="15" cm="1">
        <f t="array" ref="F321">SUMPRODUCT('Archetype Data'!AG$6:AG$687,'Archetype Data'!$S$6:$S$687,--('Archetype Data'!$C$6:$C$687="Industry"),--('Archetype Data'!$D$6:$D$687=$B321),--('Archetype Data'!$H$6:$H$687=$C321))</f>
        <v>0</v>
      </c>
      <c r="G321" s="15" cm="1">
        <f t="array" ref="G321">SUMPRODUCT('Archetype Data'!AH$6:AH$687,'Archetype Data'!$S$6:$S$687,--('Archetype Data'!$C$6:$C$687="Industry"),--('Archetype Data'!$D$6:$D$687=$B321),--('Archetype Data'!$H$6:$H$687=$C321))</f>
        <v>0</v>
      </c>
      <c r="H321" s="15" cm="1">
        <f t="array" ref="H321">SUMPRODUCT('Archetype Data'!AI$6:AI$687,'Archetype Data'!$S$6:$S$687,--('Archetype Data'!$C$6:$C$687="Industry"),--('Archetype Data'!$D$6:$D$687=$B321),--('Archetype Data'!$H$6:$H$687=$C321))</f>
        <v>0</v>
      </c>
      <c r="I321" s="15" cm="1">
        <f t="array" ref="I321">SUMPRODUCT('Archetype Data'!AJ$6:AJ$687,'Archetype Data'!$S$6:$S$687,--('Archetype Data'!$C$6:$C$687="Industry"),--('Archetype Data'!$D$6:$D$687=$B321),--('Archetype Data'!$H$6:$H$687=$C321))</f>
        <v>0</v>
      </c>
      <c r="J321" s="15" cm="1">
        <f t="array" ref="J321">SUMPRODUCT('Archetype Data'!AK$6:AK$687,'Archetype Data'!$S$6:$S$687,--('Archetype Data'!$C$6:$C$687="Industry"),--('Archetype Data'!$D$6:$D$687=$B321),--('Archetype Data'!$H$6:$H$687=$C321))</f>
        <v>0</v>
      </c>
    </row>
    <row r="322" spans="2:10" outlineLevel="1">
      <c r="B322" t="s">
        <v>66</v>
      </c>
      <c r="C322" t="s">
        <v>131</v>
      </c>
      <c r="D322" s="15">
        <f>SUMIFS('Archetype Data'!AF$6:AF$687,'Archetype Data'!$C$6:$C$687,"Industry",'Archetype Data'!$D$6:$D$687,$B322, 'Archetype Data'!$H$6:$H$687,$C322)</f>
        <v>745.38735824725893</v>
      </c>
      <c r="E322" s="15">
        <f>SUMIFS('Archetype Data'!S$6:S$687,'Archetype Data'!$C$6:$C$687,"Industry",'Archetype Data'!$D$6:$D$687,$B322, 'Archetype Data'!$H$6:$H$687,$C322)</f>
        <v>1242.8110972482611</v>
      </c>
      <c r="F322" s="15" cm="1">
        <f t="array" ref="F322">SUMPRODUCT('Archetype Data'!AG$6:AG$687,'Archetype Data'!$S$6:$S$687,--('Archetype Data'!$C$6:$C$687="Industry"),--('Archetype Data'!$D$6:$D$687=$B322),--('Archetype Data'!$H$6:$H$687=$C322))</f>
        <v>511295.31741777027</v>
      </c>
      <c r="G322" s="15" cm="1">
        <f t="array" ref="G322">SUMPRODUCT('Archetype Data'!AH$6:AH$687,'Archetype Data'!$S$6:$S$687,--('Archetype Data'!$C$6:$C$687="Industry"),--('Archetype Data'!$D$6:$D$687=$B322),--('Archetype Data'!$H$6:$H$687=$C322))</f>
        <v>0</v>
      </c>
      <c r="H322" s="15" cm="1">
        <f t="array" ref="H322">SUMPRODUCT('Archetype Data'!AI$6:AI$687,'Archetype Data'!$S$6:$S$687,--('Archetype Data'!$C$6:$C$687="Industry"),--('Archetype Data'!$D$6:$D$687=$B322),--('Archetype Data'!$H$6:$H$687=$C322))</f>
        <v>0</v>
      </c>
      <c r="I322" s="15" cm="1">
        <f t="array" ref="I322">SUMPRODUCT('Archetype Data'!AJ$6:AJ$687,'Archetype Data'!$S$6:$S$687,--('Archetype Data'!$C$6:$C$687="Industry"),--('Archetype Data'!$D$6:$D$687=$B322),--('Archetype Data'!$H$6:$H$687=$C322))</f>
        <v>306777.19045066216</v>
      </c>
      <c r="J322" s="15" cm="1">
        <f t="array" ref="J322">SUMPRODUCT('Archetype Data'!AK$6:AK$687,'Archetype Data'!$S$6:$S$687,--('Archetype Data'!$C$6:$C$687="Industry"),--('Archetype Data'!$D$6:$D$687=$B322),--('Archetype Data'!$H$6:$H$687=$C322))</f>
        <v>204518.12696710811</v>
      </c>
    </row>
    <row r="323" spans="2:10" outlineLevel="1">
      <c r="B323" t="s">
        <v>66</v>
      </c>
      <c r="C323" t="s">
        <v>132</v>
      </c>
      <c r="D323" s="15">
        <f>SUMIFS('Archetype Data'!AF$6:AF$687,'Archetype Data'!$C$6:$C$687,"Industry",'Archetype Data'!$D$6:$D$687,$B323, 'Archetype Data'!$H$6:$H$687,$C323)</f>
        <v>187.31956489233247</v>
      </c>
      <c r="E323" s="15">
        <f>SUMIFS('Archetype Data'!S$6:S$687,'Archetype Data'!$C$6:$C$687,"Industry",'Archetype Data'!$D$6:$D$687,$B323, 'Archetype Data'!$H$6:$H$687,$C323)</f>
        <v>1242.8110972482611</v>
      </c>
      <c r="F323" s="15" cm="1">
        <f t="array" ref="F323">SUMPRODUCT('Archetype Data'!AG$6:AG$687,'Archetype Data'!$S$6:$S$687,--('Archetype Data'!$C$6:$C$687="Industry"),--('Archetype Data'!$D$6:$D$687=$B323),--('Archetype Data'!$H$6:$H$687=$C323))</f>
        <v>140670.10941872135</v>
      </c>
      <c r="G323" s="15" cm="1">
        <f t="array" ref="G323">SUMPRODUCT('Archetype Data'!AH$6:AH$687,'Archetype Data'!$S$6:$S$687,--('Archetype Data'!$C$6:$C$687="Industry"),--('Archetype Data'!$D$6:$D$687=$B323),--('Archetype Data'!$H$6:$H$687=$C323))</f>
        <v>0</v>
      </c>
      <c r="H323" s="15" cm="1">
        <f t="array" ref="H323">SUMPRODUCT('Archetype Data'!AI$6:AI$687,'Archetype Data'!$S$6:$S$687,--('Archetype Data'!$C$6:$C$687="Industry"),--('Archetype Data'!$D$6:$D$687=$B323),--('Archetype Data'!$H$6:$H$687=$C323))</f>
        <v>0</v>
      </c>
      <c r="I323" s="15" cm="1">
        <f t="array" ref="I323">SUMPRODUCT('Archetype Data'!AJ$6:AJ$687,'Archetype Data'!$S$6:$S$687,--('Archetype Data'!$C$6:$C$687="Industry"),--('Archetype Data'!$D$6:$D$687=$B323),--('Archetype Data'!$H$6:$H$687=$C323))</f>
        <v>140670.10941872135</v>
      </c>
      <c r="J323" s="15" cm="1">
        <f t="array" ref="J323">SUMPRODUCT('Archetype Data'!AK$6:AK$687,'Archetype Data'!$S$6:$S$687,--('Archetype Data'!$C$6:$C$687="Industry"),--('Archetype Data'!$D$6:$D$687=$B323),--('Archetype Data'!$H$6:$H$687=$C323))</f>
        <v>0</v>
      </c>
    </row>
    <row r="324" spans="2:10" outlineLevel="1">
      <c r="B324" t="s">
        <v>66</v>
      </c>
      <c r="C324" t="s">
        <v>137</v>
      </c>
      <c r="D324" s="15">
        <f>SUMIFS('Archetype Data'!AF$6:AF$687,'Archetype Data'!$C$6:$C$687,"Industry",'Archetype Data'!$D$6:$D$687,$B324, 'Archetype Data'!$H$6:$H$687,$C324)</f>
        <v>123.98180962312833</v>
      </c>
      <c r="E324" s="15">
        <f>SUMIFS('Archetype Data'!S$6:S$687,'Archetype Data'!$C$6:$C$687,"Industry",'Archetype Data'!$D$6:$D$687,$B324, 'Archetype Data'!$H$6:$H$687,$C324)</f>
        <v>1239.8180962312833</v>
      </c>
      <c r="F324" s="15" cm="1">
        <f t="array" ref="F324">SUMPRODUCT('Archetype Data'!AG$6:AG$687,'Archetype Data'!$S$6:$S$687,--('Archetype Data'!$C$6:$C$687="Industry"),--('Archetype Data'!$D$6:$D$687=$B324),--('Archetype Data'!$H$6:$H$687=$C324))</f>
        <v>51623.790857832311</v>
      </c>
      <c r="G324" s="15" cm="1">
        <f t="array" ref="G324">SUMPRODUCT('Archetype Data'!AH$6:AH$687,'Archetype Data'!$S$6:$S$687,--('Archetype Data'!$C$6:$C$687="Industry"),--('Archetype Data'!$D$6:$D$687=$B324),--('Archetype Data'!$H$6:$H$687=$C324))</f>
        <v>0</v>
      </c>
      <c r="H324" s="15" cm="1">
        <f t="array" ref="H324">SUMPRODUCT('Archetype Data'!AI$6:AI$687,'Archetype Data'!$S$6:$S$687,--('Archetype Data'!$C$6:$C$687="Industry"),--('Archetype Data'!$D$6:$D$687=$B324),--('Archetype Data'!$H$6:$H$687=$C324))</f>
        <v>0</v>
      </c>
      <c r="I324" s="15" cm="1">
        <f t="array" ref="I324">SUMPRODUCT('Archetype Data'!AJ$6:AJ$687,'Archetype Data'!$S$6:$S$687,--('Archetype Data'!$C$6:$C$687="Industry"),--('Archetype Data'!$D$6:$D$687=$B324),--('Archetype Data'!$H$6:$H$687=$C324))</f>
        <v>51623.790857832311</v>
      </c>
      <c r="J324" s="15" cm="1">
        <f t="array" ref="J324">SUMPRODUCT('Archetype Data'!AK$6:AK$687,'Archetype Data'!$S$6:$S$687,--('Archetype Data'!$C$6:$C$687="Industry"),--('Archetype Data'!$D$6:$D$687=$B324),--('Archetype Data'!$H$6:$H$687=$C324))</f>
        <v>0</v>
      </c>
    </row>
    <row r="325" spans="2:10" outlineLevel="1">
      <c r="B325" t="s">
        <v>66</v>
      </c>
      <c r="C325" t="s">
        <v>133</v>
      </c>
      <c r="D325" s="15">
        <f>SUMIFS('Archetype Data'!AF$6:AF$687,'Archetype Data'!$C$6:$C$687,"Industry",'Archetype Data'!$D$6:$D$687,$B325, 'Archetype Data'!$H$6:$H$687,$C325)</f>
        <v>61.990904811564164</v>
      </c>
      <c r="E325" s="15">
        <f>SUMIFS('Archetype Data'!S$6:S$687,'Archetype Data'!$C$6:$C$687,"Industry",'Archetype Data'!$D$6:$D$687,$B325, 'Archetype Data'!$H$6:$H$687,$C325)</f>
        <v>1239.8180962312833</v>
      </c>
      <c r="F325" s="15" cm="1">
        <f t="array" ref="F325">SUMPRODUCT('Archetype Data'!AG$6:AG$687,'Archetype Data'!$S$6:$S$687,--('Archetype Data'!$C$6:$C$687="Industry"),--('Archetype Data'!$D$6:$D$687=$B325),--('Archetype Data'!$H$6:$H$687=$C325))</f>
        <v>23847.946863672532</v>
      </c>
      <c r="G325" s="15" cm="1">
        <f t="array" ref="G325">SUMPRODUCT('Archetype Data'!AH$6:AH$687,'Archetype Data'!$S$6:$S$687,--('Archetype Data'!$C$6:$C$687="Industry"),--('Archetype Data'!$D$6:$D$687=$B325),--('Archetype Data'!$H$6:$H$687=$C325))</f>
        <v>23847.946863672532</v>
      </c>
      <c r="H325" s="15" cm="1">
        <f t="array" ref="H325">SUMPRODUCT('Archetype Data'!AI$6:AI$687,'Archetype Data'!$S$6:$S$687,--('Archetype Data'!$C$6:$C$687="Industry"),--('Archetype Data'!$D$6:$D$687=$B325),--('Archetype Data'!$H$6:$H$687=$C325))</f>
        <v>0</v>
      </c>
      <c r="I325" s="15" cm="1">
        <f t="array" ref="I325">SUMPRODUCT('Archetype Data'!AJ$6:AJ$687,'Archetype Data'!$S$6:$S$687,--('Archetype Data'!$C$6:$C$687="Industry"),--('Archetype Data'!$D$6:$D$687=$B325),--('Archetype Data'!$H$6:$H$687=$C325))</f>
        <v>0</v>
      </c>
      <c r="J325" s="15" cm="1">
        <f t="array" ref="J325">SUMPRODUCT('Archetype Data'!AK$6:AK$687,'Archetype Data'!$S$6:$S$687,--('Archetype Data'!$C$6:$C$687="Industry"),--('Archetype Data'!$D$6:$D$687=$B325),--('Archetype Data'!$H$6:$H$687=$C325))</f>
        <v>0</v>
      </c>
    </row>
    <row r="326" spans="2:10" outlineLevel="1">
      <c r="B326" t="s">
        <v>66</v>
      </c>
      <c r="C326" t="s">
        <v>135</v>
      </c>
      <c r="D326" s="15">
        <f>SUMIFS('Archetype Data'!AF$6:AF$687,'Archetype Data'!$C$6:$C$687,"Industry",'Archetype Data'!$D$6:$D$687,$B326, 'Archetype Data'!$H$6:$H$687,$C326)</f>
        <v>124.13145967397722</v>
      </c>
      <c r="E326" s="15">
        <f>SUMIFS('Archetype Data'!S$6:S$687,'Archetype Data'!$C$6:$C$687,"Industry",'Archetype Data'!$D$6:$D$687,$B326, 'Archetype Data'!$H$6:$H$687,$C326)</f>
        <v>1242.8110972482611</v>
      </c>
      <c r="F326" s="15" cm="1">
        <f t="array" ref="F326">SUMPRODUCT('Archetype Data'!AG$6:AG$687,'Archetype Data'!$S$6:$S$687,--('Archetype Data'!$C$6:$C$687="Industry"),--('Archetype Data'!$D$6:$D$687=$B326),--('Archetype Data'!$H$6:$H$687=$C326))</f>
        <v>71779.048084909955</v>
      </c>
      <c r="G326" s="15" cm="1">
        <f t="array" ref="G326">SUMPRODUCT('Archetype Data'!AH$6:AH$687,'Archetype Data'!$S$6:$S$687,--('Archetype Data'!$C$6:$C$687="Industry"),--('Archetype Data'!$D$6:$D$687=$B326),--('Archetype Data'!$H$6:$H$687=$C326))</f>
        <v>0</v>
      </c>
      <c r="H326" s="15" cm="1">
        <f t="array" ref="H326">SUMPRODUCT('Archetype Data'!AI$6:AI$687,'Archetype Data'!$S$6:$S$687,--('Archetype Data'!$C$6:$C$687="Industry"),--('Archetype Data'!$D$6:$D$687=$B326),--('Archetype Data'!$H$6:$H$687=$C326))</f>
        <v>0</v>
      </c>
      <c r="I326" s="15" cm="1">
        <f t="array" ref="I326">SUMPRODUCT('Archetype Data'!AJ$6:AJ$687,'Archetype Data'!$S$6:$S$687,--('Archetype Data'!$C$6:$C$687="Industry"),--('Archetype Data'!$D$6:$D$687=$B326),--('Archetype Data'!$H$6:$H$687=$C326))</f>
        <v>71779.048084909955</v>
      </c>
      <c r="J326" s="15" cm="1">
        <f t="array" ref="J326">SUMPRODUCT('Archetype Data'!AK$6:AK$687,'Archetype Data'!$S$6:$S$687,--('Archetype Data'!$C$6:$C$687="Industry"),--('Archetype Data'!$D$6:$D$687=$B326),--('Archetype Data'!$H$6:$H$687=$C326))</f>
        <v>0</v>
      </c>
    </row>
    <row r="327" spans="2:10" outlineLevel="1">
      <c r="B327" t="s">
        <v>67</v>
      </c>
      <c r="C327" t="s">
        <v>131</v>
      </c>
      <c r="D327" s="15">
        <f>SUMIFS('Archetype Data'!AF$6:AF$687,'Archetype Data'!$C$6:$C$687,"Industry",'Archetype Data'!$D$6:$D$687,$B327, 'Archetype Data'!$H$6:$H$687,$C327)</f>
        <v>107.47325868990666</v>
      </c>
      <c r="E327" s="15">
        <f>SUMIFS('Archetype Data'!S$6:S$687,'Archetype Data'!$C$6:$C$687,"Industry",'Archetype Data'!$D$6:$D$687,$B327, 'Archetype Data'!$H$6:$H$687,$C327)</f>
        <v>177.50590197769156</v>
      </c>
      <c r="F327" s="15" cm="1">
        <f t="array" ref="F327">SUMPRODUCT('Archetype Data'!AG$6:AG$687,'Archetype Data'!$S$6:$S$687,--('Archetype Data'!$C$6:$C$687="Industry"),--('Archetype Data'!$D$6:$D$687=$B327),--('Archetype Data'!$H$6:$H$687=$C327))</f>
        <v>920796.28943332564</v>
      </c>
      <c r="G327" s="15" cm="1">
        <f t="array" ref="G327">SUMPRODUCT('Archetype Data'!AH$6:AH$687,'Archetype Data'!$S$6:$S$687,--('Archetype Data'!$C$6:$C$687="Industry"),--('Archetype Data'!$D$6:$D$687=$B327),--('Archetype Data'!$H$6:$H$687=$C327))</f>
        <v>0</v>
      </c>
      <c r="H327" s="15" cm="1">
        <f t="array" ref="H327">SUMPRODUCT('Archetype Data'!AI$6:AI$687,'Archetype Data'!$S$6:$S$687,--('Archetype Data'!$C$6:$C$687="Industry"),--('Archetype Data'!$D$6:$D$687=$B327),--('Archetype Data'!$H$6:$H$687=$C327))</f>
        <v>92079.628943332587</v>
      </c>
      <c r="I327" s="15" cm="1">
        <f t="array" ref="I327">SUMPRODUCT('Archetype Data'!AJ$6:AJ$687,'Archetype Data'!$S$6:$S$687,--('Archetype Data'!$C$6:$C$687="Industry"),--('Archetype Data'!$D$6:$D$687=$B327),--('Archetype Data'!$H$6:$H$687=$C327))</f>
        <v>644557.402603328</v>
      </c>
      <c r="J327" s="15" cm="1">
        <f t="array" ref="J327">SUMPRODUCT('Archetype Data'!AK$6:AK$687,'Archetype Data'!$S$6:$S$687,--('Archetype Data'!$C$6:$C$687="Industry"),--('Archetype Data'!$D$6:$D$687=$B327),--('Archetype Data'!$H$6:$H$687=$C327))</f>
        <v>184159.25788666517</v>
      </c>
    </row>
    <row r="328" spans="2:10" outlineLevel="1">
      <c r="B328" t="s">
        <v>67</v>
      </c>
      <c r="C328" t="s">
        <v>132</v>
      </c>
      <c r="D328" s="15">
        <f>SUMIFS('Archetype Data'!AF$6:AF$687,'Archetype Data'!$C$6:$C$687,"Industry",'Archetype Data'!$D$6:$D$687,$B328, 'Archetype Data'!$H$6:$H$687,$C328)</f>
        <v>37.267588047588568</v>
      </c>
      <c r="E328" s="15">
        <f>SUMIFS('Archetype Data'!S$6:S$687,'Archetype Data'!$C$6:$C$687,"Industry",'Archetype Data'!$D$6:$D$687,$B328, 'Archetype Data'!$H$6:$H$687,$C328)</f>
        <v>159.841825457189</v>
      </c>
      <c r="F328" s="15" cm="1">
        <f t="array" ref="F328">SUMPRODUCT('Archetype Data'!AG$6:AG$687,'Archetype Data'!$S$6:$S$687,--('Archetype Data'!$C$6:$C$687="Industry"),--('Archetype Data'!$D$6:$D$687=$B328),--('Archetype Data'!$H$6:$H$687=$C328))</f>
        <v>325518.78624093952</v>
      </c>
      <c r="G328" s="15" cm="1">
        <f t="array" ref="G328">SUMPRODUCT('Archetype Data'!AH$6:AH$687,'Archetype Data'!$S$6:$S$687,--('Archetype Data'!$C$6:$C$687="Industry"),--('Archetype Data'!$D$6:$D$687=$B328),--('Archetype Data'!$H$6:$H$687=$C328))</f>
        <v>0</v>
      </c>
      <c r="H328" s="15" cm="1">
        <f t="array" ref="H328">SUMPRODUCT('Archetype Data'!AI$6:AI$687,'Archetype Data'!$S$6:$S$687,--('Archetype Data'!$C$6:$C$687="Industry"),--('Archetype Data'!$D$6:$D$687=$B328),--('Archetype Data'!$H$6:$H$687=$C328))</f>
        <v>325518.78624093952</v>
      </c>
      <c r="I328" s="15" cm="1">
        <f t="array" ref="I328">SUMPRODUCT('Archetype Data'!AJ$6:AJ$687,'Archetype Data'!$S$6:$S$687,--('Archetype Data'!$C$6:$C$687="Industry"),--('Archetype Data'!$D$6:$D$687=$B328),--('Archetype Data'!$H$6:$H$687=$C328))</f>
        <v>0</v>
      </c>
      <c r="J328" s="15" cm="1">
        <f t="array" ref="J328">SUMPRODUCT('Archetype Data'!AK$6:AK$687,'Archetype Data'!$S$6:$S$687,--('Archetype Data'!$C$6:$C$687="Industry"),--('Archetype Data'!$D$6:$D$687=$B328),--('Archetype Data'!$H$6:$H$687=$C328))</f>
        <v>0</v>
      </c>
    </row>
    <row r="329" spans="2:10" outlineLevel="1">
      <c r="B329" t="s">
        <v>67</v>
      </c>
      <c r="C329" t="s">
        <v>137</v>
      </c>
      <c r="D329" s="15">
        <f>SUMIFS('Archetype Data'!AF$6:AF$687,'Archetype Data'!$C$6:$C$687,"Industry",'Archetype Data'!$D$6:$D$687,$B329, 'Archetype Data'!$H$6:$H$687,$C329)</f>
        <v>7.99209127285945</v>
      </c>
      <c r="E329" s="15">
        <f>SUMIFS('Archetype Data'!S$6:S$687,'Archetype Data'!$C$6:$C$687,"Industry",'Archetype Data'!$D$6:$D$687,$B329, 'Archetype Data'!$H$6:$H$687,$C329)</f>
        <v>159.841825457189</v>
      </c>
      <c r="F329" s="15" cm="1">
        <f t="array" ref="F329">SUMPRODUCT('Archetype Data'!AG$6:AG$687,'Archetype Data'!$S$6:$S$687,--('Archetype Data'!$C$6:$C$687="Industry"),--('Archetype Data'!$D$6:$D$687=$B329),--('Archetype Data'!$H$6:$H$687=$C329))</f>
        <v>81918.755480928827</v>
      </c>
      <c r="G329" s="15" cm="1">
        <f t="array" ref="G329">SUMPRODUCT('Archetype Data'!AH$6:AH$687,'Archetype Data'!$S$6:$S$687,--('Archetype Data'!$C$6:$C$687="Industry"),--('Archetype Data'!$D$6:$D$687=$B329),--('Archetype Data'!$H$6:$H$687=$C329))</f>
        <v>0</v>
      </c>
      <c r="H329" s="15" cm="1">
        <f t="array" ref="H329">SUMPRODUCT('Archetype Data'!AI$6:AI$687,'Archetype Data'!$S$6:$S$687,--('Archetype Data'!$C$6:$C$687="Industry"),--('Archetype Data'!$D$6:$D$687=$B329),--('Archetype Data'!$H$6:$H$687=$C329))</f>
        <v>0</v>
      </c>
      <c r="I329" s="15" cm="1">
        <f t="array" ref="I329">SUMPRODUCT('Archetype Data'!AJ$6:AJ$687,'Archetype Data'!$S$6:$S$687,--('Archetype Data'!$C$6:$C$687="Industry"),--('Archetype Data'!$D$6:$D$687=$B329),--('Archetype Data'!$H$6:$H$687=$C329))</f>
        <v>81918.755480928827</v>
      </c>
      <c r="J329" s="15" cm="1">
        <f t="array" ref="J329">SUMPRODUCT('Archetype Data'!AK$6:AK$687,'Archetype Data'!$S$6:$S$687,--('Archetype Data'!$C$6:$C$687="Industry"),--('Archetype Data'!$D$6:$D$687=$B329),--('Archetype Data'!$H$6:$H$687=$C329))</f>
        <v>0</v>
      </c>
    </row>
    <row r="330" spans="2:10" outlineLevel="1">
      <c r="B330" t="s">
        <v>67</v>
      </c>
      <c r="C330" t="s">
        <v>133</v>
      </c>
      <c r="D330" s="15">
        <f>SUMIFS('Archetype Data'!AF$6:AF$687,'Archetype Data'!$C$6:$C$687,"Industry",'Archetype Data'!$D$6:$D$687,$B330, 'Archetype Data'!$H$6:$H$687,$C330)</f>
        <v>0</v>
      </c>
      <c r="E330" s="15">
        <f>SUMIFS('Archetype Data'!S$6:S$687,'Archetype Data'!$C$6:$C$687,"Industry",'Archetype Data'!$D$6:$D$687,$B330, 'Archetype Data'!$H$6:$H$687,$C330)</f>
        <v>0</v>
      </c>
      <c r="F330" s="15" cm="1">
        <f t="array" ref="F330">SUMPRODUCT('Archetype Data'!AG$6:AG$687,'Archetype Data'!$S$6:$S$687,--('Archetype Data'!$C$6:$C$687="Industry"),--('Archetype Data'!$D$6:$D$687=$B330),--('Archetype Data'!$H$6:$H$687=$C330))</f>
        <v>0</v>
      </c>
      <c r="G330" s="15" cm="1">
        <f t="array" ref="G330">SUMPRODUCT('Archetype Data'!AH$6:AH$687,'Archetype Data'!$S$6:$S$687,--('Archetype Data'!$C$6:$C$687="Industry"),--('Archetype Data'!$D$6:$D$687=$B330),--('Archetype Data'!$H$6:$H$687=$C330))</f>
        <v>0</v>
      </c>
      <c r="H330" s="15" cm="1">
        <f t="array" ref="H330">SUMPRODUCT('Archetype Data'!AI$6:AI$687,'Archetype Data'!$S$6:$S$687,--('Archetype Data'!$C$6:$C$687="Industry"),--('Archetype Data'!$D$6:$D$687=$B330),--('Archetype Data'!$H$6:$H$687=$C330))</f>
        <v>0</v>
      </c>
      <c r="I330" s="15" cm="1">
        <f t="array" ref="I330">SUMPRODUCT('Archetype Data'!AJ$6:AJ$687,'Archetype Data'!$S$6:$S$687,--('Archetype Data'!$C$6:$C$687="Industry"),--('Archetype Data'!$D$6:$D$687=$B330),--('Archetype Data'!$H$6:$H$687=$C330))</f>
        <v>0</v>
      </c>
      <c r="J330" s="15" cm="1">
        <f t="array" ref="J330">SUMPRODUCT('Archetype Data'!AK$6:AK$687,'Archetype Data'!$S$6:$S$687,--('Archetype Data'!$C$6:$C$687="Industry"),--('Archetype Data'!$D$6:$D$687=$B330),--('Archetype Data'!$H$6:$H$687=$C330))</f>
        <v>0</v>
      </c>
    </row>
    <row r="331" spans="2:10" outlineLevel="1">
      <c r="B331" t="s">
        <v>67</v>
      </c>
      <c r="C331" t="s">
        <v>135</v>
      </c>
      <c r="D331" s="15">
        <f>SUMIFS('Archetype Data'!AF$6:AF$687,'Archetype Data'!$C$6:$C$687,"Industry",'Archetype Data'!$D$6:$D$687,$B331, 'Archetype Data'!$H$6:$H$687,$C331)</f>
        <v>7.1088874468343217</v>
      </c>
      <c r="E331" s="15">
        <f>SUMIFS('Archetype Data'!S$6:S$687,'Archetype Data'!$C$6:$C$687,"Industry",'Archetype Data'!$D$6:$D$687,$B331, 'Archetype Data'!$H$6:$H$687,$C331)</f>
        <v>142.17774893668644</v>
      </c>
      <c r="F331" s="15" cm="1">
        <f t="array" ref="F331">SUMPRODUCT('Archetype Data'!AG$6:AG$687,'Archetype Data'!$S$6:$S$687,--('Archetype Data'!$C$6:$C$687="Industry"),--('Archetype Data'!$D$6:$D$687=$B331),--('Archetype Data'!$H$6:$H$687=$C331))</f>
        <v>36705.498020993255</v>
      </c>
      <c r="G331" s="15" cm="1">
        <f t="array" ref="G331">SUMPRODUCT('Archetype Data'!AH$6:AH$687,'Archetype Data'!$S$6:$S$687,--('Archetype Data'!$C$6:$C$687="Industry"),--('Archetype Data'!$D$6:$D$687=$B331),--('Archetype Data'!$H$6:$H$687=$C331))</f>
        <v>0</v>
      </c>
      <c r="H331" s="15" cm="1">
        <f t="array" ref="H331">SUMPRODUCT('Archetype Data'!AI$6:AI$687,'Archetype Data'!$S$6:$S$687,--('Archetype Data'!$C$6:$C$687="Industry"),--('Archetype Data'!$D$6:$D$687=$B331),--('Archetype Data'!$H$6:$H$687=$C331))</f>
        <v>0</v>
      </c>
      <c r="I331" s="15" cm="1">
        <f t="array" ref="I331">SUMPRODUCT('Archetype Data'!AJ$6:AJ$687,'Archetype Data'!$S$6:$S$687,--('Archetype Data'!$C$6:$C$687="Industry"),--('Archetype Data'!$D$6:$D$687=$B331),--('Archetype Data'!$H$6:$H$687=$C331))</f>
        <v>36705.498020993255</v>
      </c>
      <c r="J331" s="15" cm="1">
        <f t="array" ref="J331">SUMPRODUCT('Archetype Data'!AK$6:AK$687,'Archetype Data'!$S$6:$S$687,--('Archetype Data'!$C$6:$C$687="Industry"),--('Archetype Data'!$D$6:$D$687=$B331),--('Archetype Data'!$H$6:$H$687=$C331))</f>
        <v>0</v>
      </c>
    </row>
    <row r="332" spans="2:10" outlineLevel="1">
      <c r="D332" s="15"/>
      <c r="E332" s="15"/>
      <c r="F332" s="15"/>
      <c r="G332" s="15"/>
      <c r="H332" s="15"/>
      <c r="I332" s="15"/>
      <c r="J332" s="15"/>
    </row>
    <row r="333" spans="2:10" outlineLevel="1">
      <c r="B333" s="27" t="s">
        <v>68</v>
      </c>
      <c r="D333" s="15"/>
      <c r="E333" s="15"/>
      <c r="F333" s="15"/>
      <c r="G333" s="15"/>
      <c r="H333" s="15"/>
      <c r="I333" s="15"/>
      <c r="J333" s="15"/>
    </row>
    <row r="334" spans="2:10" outlineLevel="1"/>
    <row r="335" spans="2:10" ht="15.75" outlineLevel="1" thickBot="1">
      <c r="B335" s="38" t="s">
        <v>11</v>
      </c>
      <c r="C335" s="38" t="s">
        <v>88</v>
      </c>
      <c r="D335" s="38" t="s">
        <v>89</v>
      </c>
      <c r="E335" s="38" t="s">
        <v>90</v>
      </c>
      <c r="F335" s="38" t="s">
        <v>91</v>
      </c>
      <c r="G335" s="38" t="s">
        <v>92</v>
      </c>
      <c r="H335" s="38" t="s">
        <v>93</v>
      </c>
      <c r="I335" s="38" t="s">
        <v>94</v>
      </c>
      <c r="J335" s="38" t="s">
        <v>95</v>
      </c>
    </row>
    <row r="336" spans="2:10" outlineLevel="1">
      <c r="B336" t="s">
        <v>59</v>
      </c>
      <c r="C336" t="s">
        <v>32</v>
      </c>
      <c r="D336" s="15">
        <f>SUMIFS(D$134:D$331,$B$134:$B$331,$B336)</f>
        <v>781.99999999999989</v>
      </c>
      <c r="E336" s="15">
        <f>SUMIFS(E$134:E$331,$B$134:$B$331,$B336)</f>
        <v>1572</v>
      </c>
      <c r="F336" s="15">
        <f>SUMIFS(F$134:F$331,$B$134:$B$331,$B336)</f>
        <v>4600194.9908355679</v>
      </c>
      <c r="G336" s="15">
        <f t="shared" ref="G336:J344" si="11">SUMIFS(G$134:G$331,$B$134:$B$331,$B336)</f>
        <v>1171488.2070060743</v>
      </c>
      <c r="H336" s="15">
        <f t="shared" si="11"/>
        <v>3428706.7838294934</v>
      </c>
      <c r="I336" s="15">
        <f t="shared" si="11"/>
        <v>0</v>
      </c>
      <c r="J336" s="15">
        <f t="shared" si="11"/>
        <v>0</v>
      </c>
    </row>
    <row r="337" spans="2:10" outlineLevel="1">
      <c r="B337" t="s">
        <v>60</v>
      </c>
      <c r="C337" t="s">
        <v>32</v>
      </c>
      <c r="D337" s="15">
        <f t="shared" ref="D337:E344" si="12">SUMIFS(D$134:D$331,$B$134:$B$331,$B337)</f>
        <v>4</v>
      </c>
      <c r="E337" s="15">
        <f t="shared" si="12"/>
        <v>8</v>
      </c>
      <c r="F337" s="15">
        <f t="shared" ref="F337:F344" si="13">SUMIFS(F$134:F$331,$B$134:$B$331,$B337)</f>
        <v>2891829.8984803134</v>
      </c>
      <c r="G337" s="15">
        <f t="shared" si="11"/>
        <v>2803206.1973943077</v>
      </c>
      <c r="H337" s="15">
        <f t="shared" si="11"/>
        <v>88623.701086005618</v>
      </c>
      <c r="I337" s="15">
        <f t="shared" si="11"/>
        <v>0</v>
      </c>
      <c r="J337" s="15">
        <f t="shared" si="11"/>
        <v>0</v>
      </c>
    </row>
    <row r="338" spans="2:10" outlineLevel="1">
      <c r="B338" t="s">
        <v>61</v>
      </c>
      <c r="C338" t="s">
        <v>32</v>
      </c>
      <c r="D338" s="15">
        <f t="shared" si="12"/>
        <v>1</v>
      </c>
      <c r="E338" s="15">
        <f t="shared" si="12"/>
        <v>14</v>
      </c>
      <c r="F338" s="15">
        <f t="shared" si="13"/>
        <v>1135457.599612976</v>
      </c>
      <c r="G338" s="15">
        <f t="shared" si="11"/>
        <v>0</v>
      </c>
      <c r="H338" s="15">
        <f t="shared" si="11"/>
        <v>1135457.599612976</v>
      </c>
      <c r="I338" s="15">
        <f t="shared" si="11"/>
        <v>0</v>
      </c>
      <c r="J338" s="15">
        <f t="shared" si="11"/>
        <v>0</v>
      </c>
    </row>
    <row r="339" spans="2:10" outlineLevel="1">
      <c r="B339" t="s">
        <v>62</v>
      </c>
      <c r="C339" t="s">
        <v>32</v>
      </c>
      <c r="D339" s="15">
        <f t="shared" si="12"/>
        <v>253.99999999999997</v>
      </c>
      <c r="E339" s="15">
        <f t="shared" si="12"/>
        <v>513.99999999999989</v>
      </c>
      <c r="F339" s="15">
        <f t="shared" si="13"/>
        <v>1432105.3698204178</v>
      </c>
      <c r="G339" s="15">
        <f t="shared" si="11"/>
        <v>0</v>
      </c>
      <c r="H339" s="15">
        <f t="shared" si="11"/>
        <v>0</v>
      </c>
      <c r="I339" s="15">
        <f t="shared" si="11"/>
        <v>1432105.3698204178</v>
      </c>
      <c r="J339" s="15">
        <f t="shared" si="11"/>
        <v>0</v>
      </c>
    </row>
    <row r="340" spans="2:10" outlineLevel="1">
      <c r="B340" t="s">
        <v>63</v>
      </c>
      <c r="C340" t="s">
        <v>32</v>
      </c>
      <c r="D340" s="15">
        <f t="shared" si="12"/>
        <v>338</v>
      </c>
      <c r="E340" s="15">
        <f t="shared" si="12"/>
        <v>1020</v>
      </c>
      <c r="F340" s="15">
        <f t="shared" si="13"/>
        <v>680285.37481228705</v>
      </c>
      <c r="G340" s="15">
        <f t="shared" si="11"/>
        <v>115728.20967291694</v>
      </c>
      <c r="H340" s="15">
        <f t="shared" si="11"/>
        <v>291360.54216324427</v>
      </c>
      <c r="I340" s="15">
        <f t="shared" si="11"/>
        <v>273196.62297612586</v>
      </c>
      <c r="J340" s="15">
        <f t="shared" si="11"/>
        <v>0</v>
      </c>
    </row>
    <row r="341" spans="2:10" outlineLevel="1">
      <c r="B341" t="s">
        <v>64</v>
      </c>
      <c r="C341" t="s">
        <v>32</v>
      </c>
      <c r="D341" s="15">
        <f t="shared" si="12"/>
        <v>700.99999999999989</v>
      </c>
      <c r="E341" s="15">
        <f t="shared" si="12"/>
        <v>2804</v>
      </c>
      <c r="F341" s="15">
        <f t="shared" si="13"/>
        <v>3731129.8840982602</v>
      </c>
      <c r="G341" s="15">
        <f t="shared" si="11"/>
        <v>0</v>
      </c>
      <c r="H341" s="15">
        <f t="shared" si="11"/>
        <v>661895.6708039653</v>
      </c>
      <c r="I341" s="15">
        <f t="shared" si="11"/>
        <v>2224592.0889833514</v>
      </c>
      <c r="J341" s="15">
        <f t="shared" si="11"/>
        <v>844642.12431094318</v>
      </c>
    </row>
    <row r="342" spans="2:10" outlineLevel="1">
      <c r="B342" t="s">
        <v>65</v>
      </c>
      <c r="C342" t="s">
        <v>32</v>
      </c>
      <c r="D342" s="15">
        <f t="shared" si="12"/>
        <v>3.0000000000000004</v>
      </c>
      <c r="E342" s="15">
        <f t="shared" si="12"/>
        <v>9</v>
      </c>
      <c r="F342" s="15">
        <f t="shared" si="13"/>
        <v>362984.35908090899</v>
      </c>
      <c r="G342" s="15">
        <f t="shared" si="11"/>
        <v>362984.35908090899</v>
      </c>
      <c r="H342" s="15">
        <f t="shared" si="11"/>
        <v>0</v>
      </c>
      <c r="I342" s="15">
        <f t="shared" si="11"/>
        <v>0</v>
      </c>
      <c r="J342" s="15">
        <f t="shared" si="11"/>
        <v>0</v>
      </c>
    </row>
    <row r="343" spans="2:10" outlineLevel="1">
      <c r="B343" t="s">
        <v>66</v>
      </c>
      <c r="C343" t="s">
        <v>32</v>
      </c>
      <c r="D343" s="15">
        <f t="shared" si="12"/>
        <v>1921</v>
      </c>
      <c r="E343" s="15">
        <f t="shared" si="12"/>
        <v>9599</v>
      </c>
      <c r="F343" s="15">
        <f t="shared" si="13"/>
        <v>1061936.5638851475</v>
      </c>
      <c r="G343" s="15">
        <f t="shared" si="11"/>
        <v>36892.800825832783</v>
      </c>
      <c r="H343" s="15">
        <f t="shared" si="11"/>
        <v>0</v>
      </c>
      <c r="I343" s="15">
        <f t="shared" si="11"/>
        <v>752565.25479752501</v>
      </c>
      <c r="J343" s="15">
        <f t="shared" si="11"/>
        <v>272478.50826178945</v>
      </c>
    </row>
    <row r="344" spans="2:10" outlineLevel="1">
      <c r="B344" t="s">
        <v>67</v>
      </c>
      <c r="C344" t="s">
        <v>32</v>
      </c>
      <c r="D344" s="15">
        <f t="shared" si="12"/>
        <v>197.99999999999997</v>
      </c>
      <c r="E344" s="15">
        <f t="shared" si="12"/>
        <v>791.99999999999977</v>
      </c>
      <c r="F344" s="15">
        <f t="shared" si="13"/>
        <v>1590483.8148573681</v>
      </c>
      <c r="G344" s="15">
        <f t="shared" si="11"/>
        <v>0</v>
      </c>
      <c r="H344" s="15">
        <f t="shared" si="11"/>
        <v>473234.45388016774</v>
      </c>
      <c r="I344" s="15">
        <f t="shared" si="11"/>
        <v>900317.55427370034</v>
      </c>
      <c r="J344" s="15">
        <f t="shared" si="11"/>
        <v>216931.80670350001</v>
      </c>
    </row>
    <row r="345" spans="2:10" outlineLevel="1">
      <c r="D345" s="15"/>
      <c r="E345" s="15"/>
      <c r="F345" s="15"/>
      <c r="G345" s="15"/>
      <c r="H345" s="15"/>
      <c r="I345" s="15"/>
      <c r="J345" s="15"/>
    </row>
    <row r="346" spans="2:10" outlineLevel="1">
      <c r="B346" s="27" t="s">
        <v>68</v>
      </c>
      <c r="D346" s="15"/>
      <c r="E346" s="15"/>
      <c r="F346" s="15"/>
      <c r="G346" s="15"/>
      <c r="H346" s="15"/>
      <c r="I346" s="15"/>
      <c r="J346" s="15"/>
    </row>
    <row r="348" spans="2:10" ht="18" thickBot="1">
      <c r="B348" s="8" t="s">
        <v>138</v>
      </c>
      <c r="C348" s="8"/>
      <c r="D348" s="8"/>
      <c r="E348" s="8"/>
      <c r="F348" s="8"/>
      <c r="G348" s="8"/>
      <c r="H348" s="8"/>
      <c r="I348" s="30"/>
      <c r="J348" s="30"/>
    </row>
    <row r="349" spans="2:10" ht="15.75" thickTop="1"/>
    <row r="350" spans="2:10" ht="15.75" outlineLevel="1" thickBot="1">
      <c r="B350" s="9" t="s">
        <v>11</v>
      </c>
      <c r="C350" s="9" t="s">
        <v>139</v>
      </c>
      <c r="D350" s="9" t="s">
        <v>71</v>
      </c>
      <c r="E350" s="9" t="s">
        <v>43</v>
      </c>
      <c r="F350" s="9" t="s">
        <v>140</v>
      </c>
      <c r="G350" s="9" t="s">
        <v>141</v>
      </c>
      <c r="H350" s="9" t="s">
        <v>142</v>
      </c>
    </row>
    <row r="351" spans="2:10" outlineLevel="1">
      <c r="B351" t="s">
        <v>17</v>
      </c>
      <c r="D351" t="s">
        <v>75</v>
      </c>
      <c r="E351" s="15">
        <f>SUMIFS(Table2[Stock],Table2[Subsector],$B351,Table2[Building structure],$D351)</f>
        <v>307902.07974659046</v>
      </c>
      <c r="F351" s="15" cm="1">
        <f t="array" ref="F351">SUMPRODUCT(Table2[Average floor area (m^2)],Table2[Stock],--(Table2[Subsector]=$B351),--(Table2[Building structure]=$D351))/$E351</f>
        <v>90.384327353497824</v>
      </c>
      <c r="G351" s="15">
        <f>_xlfn.MINIFS(Table2[Average floor area (m^2)],Table2[Subsector],$B351,Table2[Building structure],$D351)</f>
        <v>72.686591026302153</v>
      </c>
      <c r="H351" s="15">
        <f>_xlfn.MAXIFS(Table2[Average floor area (m^2)],Table2[Subsector],$B351,Table2[Building structure],$D351)</f>
        <v>117.33054638494465</v>
      </c>
    </row>
    <row r="352" spans="2:10" outlineLevel="1">
      <c r="B352" t="s">
        <v>17</v>
      </c>
      <c r="D352" t="s">
        <v>74</v>
      </c>
      <c r="E352" s="15">
        <f>SUMIFS(Table2[Stock],Table2[Subsector],$B352,Table2[Building structure],$D352)</f>
        <v>515575.38732204761</v>
      </c>
      <c r="F352" s="15" cm="1">
        <f t="array" ref="F352">SUMPRODUCT(Table2[Average floor area (m^2)],Table2[Stock],--(Table2[Subsector]=$B352),--(Table2[Building structure]=$D352))/$E352</f>
        <v>106.62489981608412</v>
      </c>
      <c r="G352" s="15">
        <f>_xlfn.MINIFS(Table2[Average floor area (m^2)],Table2[Subsector],$B352,Table2[Building structure],$D352)</f>
        <v>70.447642034905314</v>
      </c>
      <c r="H352" s="15">
        <f>_xlfn.MAXIFS(Table2[Average floor area (m^2)],Table2[Subsector],$B352,Table2[Building structure],$D352)</f>
        <v>225.96666666666667</v>
      </c>
    </row>
    <row r="353" spans="2:8" outlineLevel="1">
      <c r="B353" t="s">
        <v>17</v>
      </c>
      <c r="D353" t="s">
        <v>73</v>
      </c>
      <c r="E353" s="15">
        <f>SUMIFS(Table2[Stock],Table2[Subsector],$B353,Table2[Building structure],$D353)</f>
        <v>745289.29288404807</v>
      </c>
      <c r="F353" s="15" cm="1">
        <f t="array" ref="F353">SUMPRODUCT(Table2[Average floor area (m^2)],Table2[Stock],--(Table2[Subsector]=$B353),--(Table2[Building structure]=$D353))/$E353</f>
        <v>149.95746120071641</v>
      </c>
      <c r="G353" s="15">
        <f>_xlfn.MINIFS(Table2[Average floor area (m^2)],Table2[Subsector],$B353,Table2[Building structure],$D353)</f>
        <v>90.701942042178644</v>
      </c>
      <c r="H353" s="15">
        <f>_xlfn.MAXIFS(Table2[Average floor area (m^2)],Table2[Subsector],$B353,Table2[Building structure],$D353)</f>
        <v>255.92370370370364</v>
      </c>
    </row>
    <row r="354" spans="2:8" outlineLevel="1">
      <c r="B354" t="s">
        <v>17</v>
      </c>
      <c r="D354" t="s">
        <v>76</v>
      </c>
      <c r="E354" s="15">
        <f>SUMIFS(Table2[Stock],Table2[Subsector],$B354,Table2[Building structure],$D354)</f>
        <v>204791.75564731372</v>
      </c>
      <c r="F354" s="15" cm="1">
        <f t="array" ref="F354">SUMPRODUCT(Table2[Average floor area (m^2)],Table2[Stock],--(Table2[Subsector]=$B354),--(Table2[Building structure]=$D354))/$E354</f>
        <v>69.307933683061023</v>
      </c>
      <c r="G354" s="15">
        <f>_xlfn.MINIFS(Table2[Average floor area (m^2)],Table2[Subsector],$B354,Table2[Building structure],$D354)</f>
        <v>44.489695995323025</v>
      </c>
      <c r="H354" s="15">
        <f>_xlfn.MAXIFS(Table2[Average floor area (m^2)],Table2[Subsector],$B354,Table2[Building structure],$D354)</f>
        <v>124.87464788732392</v>
      </c>
    </row>
    <row r="355" spans="2:8" outlineLevel="1">
      <c r="B355" t="s">
        <v>23</v>
      </c>
      <c r="C355" t="s">
        <v>53</v>
      </c>
      <c r="D355" s="15"/>
      <c r="E355" s="15">
        <f>SUMIFS(Table2[Stock],Table2[Subsector],$B355,Table2[Building type],$C355)</f>
        <v>7766.4633256928528</v>
      </c>
      <c r="F355" s="15" cm="1">
        <f t="array" ref="F355">SUMPRODUCT(Table2[Average floor area (m^2)],Table2[Stock],--(Table2[Subsector]=$B355),--(Table2[Building type]=$C355))/$E355</f>
        <v>1846.7265364627285</v>
      </c>
      <c r="G355" s="15">
        <f>_xlfn.MINIFS(Table2[Average floor area (m^2)],Table2[Subsector],$B355,Table2[Building type],$C355)</f>
        <v>350.42857142857144</v>
      </c>
      <c r="H355" s="15">
        <f>_xlfn.MAXIFS(Table2[Average floor area (m^2)],Table2[Subsector],$B355,Table2[Building type],$C355)</f>
        <v>8082.95</v>
      </c>
    </row>
    <row r="356" spans="2:8" outlineLevel="1">
      <c r="B356" t="s">
        <v>23</v>
      </c>
      <c r="C356" t="s">
        <v>49</v>
      </c>
      <c r="D356" s="15"/>
      <c r="E356" s="15">
        <f>SUMIFS(Table2[Stock],Table2[Subsector],$B356,Table2[Building type],$C356)</f>
        <v>37728.138935194838</v>
      </c>
      <c r="F356" s="15" cm="1">
        <f t="array" ref="F356">SUMPRODUCT(Table2[Average floor area (m^2)],Table2[Stock],--(Table2[Subsector]=$B356),--(Table2[Building type]=$C356))/$E356</f>
        <v>389.99688569919897</v>
      </c>
      <c r="G356" s="15">
        <f>_xlfn.MINIFS(Table2[Average floor area (m^2)],Table2[Subsector],$B356,Table2[Building type],$C356)</f>
        <v>169.63084112149534</v>
      </c>
      <c r="H356" s="15">
        <f>_xlfn.MAXIFS(Table2[Average floor area (m^2)],Table2[Subsector],$B356,Table2[Building type],$C356)</f>
        <v>6501.4066496163687</v>
      </c>
    </row>
    <row r="357" spans="2:8" outlineLevel="1">
      <c r="B357" t="s">
        <v>23</v>
      </c>
      <c r="C357" t="s">
        <v>51</v>
      </c>
      <c r="D357" s="15"/>
      <c r="E357" s="15">
        <f>SUMIFS(Table2[Stock],Table2[Subsector],$B357,Table2[Building type],$C357)</f>
        <v>22297.221209279709</v>
      </c>
      <c r="F357" s="15" cm="1">
        <f t="array" ref="F357">SUMPRODUCT(Table2[Average floor area (m^2)],Table2[Stock],--(Table2[Subsector]=$B357),--(Table2[Building type]=$C357))/$E357</f>
        <v>299.59725923106214</v>
      </c>
      <c r="G357" s="15">
        <f>_xlfn.MINIFS(Table2[Average floor area (m^2)],Table2[Subsector],$B357,Table2[Building type],$C357)</f>
        <v>106.0625</v>
      </c>
      <c r="H357" s="15">
        <f>_xlfn.MAXIFS(Table2[Average floor area (m^2)],Table2[Subsector],$B357,Table2[Building type],$C357)</f>
        <v>485.66806722689074</v>
      </c>
    </row>
    <row r="358" spans="2:8" outlineLevel="1">
      <c r="B358" t="s">
        <v>23</v>
      </c>
      <c r="C358" t="s">
        <v>50</v>
      </c>
      <c r="E358" s="15">
        <f>SUMIFS(Table2[Stock],Table2[Subsector],$B358,Table2[Building type],$C358)</f>
        <v>60804.212075432384</v>
      </c>
      <c r="F358" s="15" cm="1">
        <f t="array" ref="F358">SUMPRODUCT(Table2[Average floor area (m^2)],Table2[Stock],--(Table2[Subsector]=$B358),--(Table2[Building type]=$C358))/$E358</f>
        <v>365.72899240980837</v>
      </c>
      <c r="G358" s="15">
        <f>_xlfn.MINIFS(Table2[Average floor area (m^2)],Table2[Subsector],$B358,Table2[Building type],$C358)</f>
        <v>121.79818594104309</v>
      </c>
      <c r="H358" s="15">
        <f>_xlfn.MAXIFS(Table2[Average floor area (m^2)],Table2[Subsector],$B358,Table2[Building type],$C358)</f>
        <v>4490.1875</v>
      </c>
    </row>
    <row r="359" spans="2:8" outlineLevel="1">
      <c r="B359" t="s">
        <v>23</v>
      </c>
      <c r="C359" t="s">
        <v>52</v>
      </c>
      <c r="E359" s="15">
        <f>SUMIFS(Table2[Stock],Table2[Subsector],$B359,Table2[Building type],$C359)</f>
        <v>5764.8827880808503</v>
      </c>
      <c r="F359" s="15" cm="1">
        <f t="array" ref="F359">SUMPRODUCT(Table2[Average floor area (m^2)],Table2[Stock],--(Table2[Subsector]=$B359),--(Table2[Building type]=$C359))/$E359</f>
        <v>765.39996295593016</v>
      </c>
      <c r="G359" s="15">
        <f>_xlfn.MINIFS(Table2[Average floor area (m^2)],Table2[Subsector],$B359,Table2[Building type],$C359)</f>
        <v>389.53663466397171</v>
      </c>
      <c r="H359" s="15">
        <f>_xlfn.MAXIFS(Table2[Average floor area (m^2)],Table2[Subsector],$B359,Table2[Building type],$C359)</f>
        <v>5460.7111111111108</v>
      </c>
    </row>
    <row r="360" spans="2:8" outlineLevel="1">
      <c r="B360" t="s">
        <v>24</v>
      </c>
      <c r="C360" t="s">
        <v>54</v>
      </c>
      <c r="E360" s="15">
        <f>SUMIFS(Table2[Stock],Table2[Subsector],$B360,Table2[Building type],$C360)</f>
        <v>7086.863322219906</v>
      </c>
      <c r="F360" s="15" cm="1">
        <f t="array" ref="F360">SUMPRODUCT(Table2[Average floor area (m^2)],Table2[Stock],--(Table2[Subsector]=$B360),--(Table2[Building type]=$C360))/$E360</f>
        <v>2051.6519976252894</v>
      </c>
      <c r="G360" s="15">
        <f>_xlfn.MINIFS(Table2[Average floor area (m^2)],Table2[Subsector],$B360,Table2[Building type],$C360)</f>
        <v>371.23913043478262</v>
      </c>
      <c r="H360" s="15">
        <f>_xlfn.MAXIFS(Table2[Average floor area (m^2)],Table2[Subsector],$B360,Table2[Building type],$C360)</f>
        <v>12608.4</v>
      </c>
    </row>
    <row r="361" spans="2:8" outlineLevel="1">
      <c r="B361" t="s">
        <v>24</v>
      </c>
      <c r="C361" t="s">
        <v>55</v>
      </c>
      <c r="E361" s="15">
        <f>SUMIFS(Table2[Stock],Table2[Subsector],$B361,Table2[Building type],$C361)</f>
        <v>13540.995606723623</v>
      </c>
      <c r="F361" s="15" cm="1">
        <f t="array" ref="F361">SUMPRODUCT(Table2[Average floor area (m^2)],Table2[Stock],--(Table2[Subsector]=$B361),--(Table2[Building type]=$C361))/$E361</f>
        <v>1035.6555137313212</v>
      </c>
      <c r="G361" s="15">
        <f>_xlfn.MINIFS(Table2[Average floor area (m^2)],Table2[Subsector],$B361,Table2[Building type],$C361)</f>
        <v>125.253125</v>
      </c>
      <c r="H361" s="15">
        <f>_xlfn.MAXIFS(Table2[Average floor area (m^2)],Table2[Subsector],$B361,Table2[Building type],$C361)</f>
        <v>7784.666666666667</v>
      </c>
    </row>
    <row r="362" spans="2:8" outlineLevel="1">
      <c r="B362" t="s">
        <v>24</v>
      </c>
      <c r="C362" t="s">
        <v>49</v>
      </c>
      <c r="E362" s="15">
        <f>SUMIFS(Table2[Stock],Table2[Subsector],$B362,Table2[Building type],$C362)</f>
        <v>3781.2227373758428</v>
      </c>
      <c r="F362" s="15" cm="1">
        <f t="array" ref="F362">SUMPRODUCT(Table2[Average floor area (m^2)],Table2[Stock],--(Table2[Subsector]=$B362),--(Table2[Building type]=$C362))/$E362</f>
        <v>955.92393705918801</v>
      </c>
      <c r="G362" s="15">
        <f>_xlfn.MINIFS(Table2[Average floor area (m^2)],Table2[Subsector],$B362,Table2[Building type],$C362)</f>
        <v>161.17102137767222</v>
      </c>
      <c r="H362" s="15">
        <f>_xlfn.MAXIFS(Table2[Average floor area (m^2)],Table2[Subsector],$B362,Table2[Building type],$C362)</f>
        <v>6501.4066496163687</v>
      </c>
    </row>
    <row r="364" spans="2:8" ht="18" thickBot="1">
      <c r="B364" s="8" t="s">
        <v>143</v>
      </c>
      <c r="C364" s="8"/>
      <c r="D364" s="8"/>
      <c r="E364" s="8"/>
      <c r="F364" s="8"/>
      <c r="G364" s="8"/>
      <c r="H364" s="8"/>
    </row>
    <row r="365" spans="2:8" ht="15.75" thickTop="1"/>
    <row r="366" spans="2:8" ht="15.75" outlineLevel="1" thickBot="1">
      <c r="B366" s="9" t="s">
        <v>11</v>
      </c>
      <c r="C366" s="9" t="s">
        <v>139</v>
      </c>
      <c r="D366" s="9" t="s">
        <v>71</v>
      </c>
      <c r="E366" s="9" t="s">
        <v>43</v>
      </c>
      <c r="F366" s="9" t="s">
        <v>144</v>
      </c>
      <c r="G366" s="9" t="s">
        <v>145</v>
      </c>
      <c r="H366" s="9" t="s">
        <v>146</v>
      </c>
    </row>
    <row r="367" spans="2:8" outlineLevel="1">
      <c r="B367" t="s">
        <v>17</v>
      </c>
      <c r="D367" t="s">
        <v>75</v>
      </c>
      <c r="E367" s="15">
        <f>SUMIFS(Table2[Stock],Table2[Subsector],$B367,Table2[Building structure],$D367)</f>
        <v>307902.07974659046</v>
      </c>
      <c r="F367" s="15" cm="1">
        <f t="array" ref="F367">SUMPRODUCT(Table2[Space heating demand (MWh)],Table2[Stock],--(Table2[Subsector]=$B367),--(Table2[Building structure]=$D367))/$E367</f>
        <v>5.2508171881802941</v>
      </c>
      <c r="G367" s="15">
        <f>_xlfn.MINIFS(Table2[Space heating demand (MWh)],Table2[Subsector],$B367,Table2[Building structure],$D367)</f>
        <v>1.5044264507614122</v>
      </c>
      <c r="H367" s="15">
        <f>_xlfn.MAXIFS(Table2[Space heating demand (MWh)],Table2[Subsector],$B367,Table2[Building structure],$D367)</f>
        <v>12.857941128298956</v>
      </c>
    </row>
    <row r="368" spans="2:8" outlineLevel="1">
      <c r="B368" t="s">
        <v>17</v>
      </c>
      <c r="D368" t="s">
        <v>74</v>
      </c>
      <c r="E368" s="15">
        <f>SUMIFS(Table2[Stock],Table2[Subsector],$B368,Table2[Building structure],$D368)</f>
        <v>515575.38732204761</v>
      </c>
      <c r="F368" s="15" cm="1">
        <f t="array" ref="F368">SUMPRODUCT(Table2[Space heating demand (MWh)],Table2[Stock],--(Table2[Subsector]=$B368),--(Table2[Building structure]=$D368))/$E368</f>
        <v>6.4429925389405849</v>
      </c>
      <c r="G368" s="15">
        <f>_xlfn.MINIFS(Table2[Space heating demand (MWh)],Table2[Subsector],$B368,Table2[Building structure],$D368)</f>
        <v>1.685149298907884</v>
      </c>
      <c r="H368" s="15">
        <f>_xlfn.MAXIFS(Table2[Space heating demand (MWh)],Table2[Subsector],$B368,Table2[Building structure],$D368)</f>
        <v>14.265623181154657</v>
      </c>
    </row>
    <row r="369" spans="2:8" outlineLevel="1">
      <c r="B369" t="s">
        <v>17</v>
      </c>
      <c r="D369" t="s">
        <v>73</v>
      </c>
      <c r="E369" s="15">
        <f>SUMIFS(Table2[Stock],Table2[Subsector],$B369,Table2[Building structure],$D369)</f>
        <v>745289.29288404807</v>
      </c>
      <c r="F369" s="15" cm="1">
        <f t="array" ref="F369">SUMPRODUCT(Table2[Space heating demand (MWh)],Table2[Stock],--(Table2[Subsector]=$B369),--(Table2[Building structure]=$D369))/$E369</f>
        <v>10.563842453046089</v>
      </c>
      <c r="G369" s="15">
        <f>_xlfn.MINIFS(Table2[Space heating demand (MWh)],Table2[Subsector],$B369,Table2[Building structure],$D369)</f>
        <v>2.8277162654064818</v>
      </c>
      <c r="H369" s="15">
        <f>_xlfn.MAXIFS(Table2[Space heating demand (MWh)],Table2[Subsector],$B369,Table2[Building structure],$D369)</f>
        <v>17.215016075091579</v>
      </c>
    </row>
    <row r="370" spans="2:8" outlineLevel="1">
      <c r="B370" t="s">
        <v>17</v>
      </c>
      <c r="D370" t="s">
        <v>76</v>
      </c>
      <c r="E370" s="15">
        <f>SUMIFS(Table2[Stock],Table2[Subsector],$B370,Table2[Building structure],$D370)</f>
        <v>204791.75564731372</v>
      </c>
      <c r="F370" s="15" cm="1">
        <f t="array" ref="F370">SUMPRODUCT(Table2[Space heating demand (MWh)],Table2[Stock],--(Table2[Subsector]=$B370),--(Table2[Building structure]=$D370))/$E370</f>
        <v>3.4340440656018365</v>
      </c>
      <c r="G370" s="15">
        <f>_xlfn.MINIFS(Table2[Space heating demand (MWh)],Table2[Subsector],$B370,Table2[Building structure],$D370)</f>
        <v>0.77814066656443481</v>
      </c>
      <c r="H370" s="15">
        <f>_xlfn.MAXIFS(Table2[Space heating demand (MWh)],Table2[Subsector],$B370,Table2[Building structure],$D370)</f>
        <v>11.913302220280718</v>
      </c>
    </row>
    <row r="371" spans="2:8" outlineLevel="1">
      <c r="B371" t="s">
        <v>23</v>
      </c>
      <c r="C371" t="s">
        <v>53</v>
      </c>
      <c r="D371" s="15"/>
      <c r="E371" s="15">
        <f>SUMIFS(Table2[Stock],Table2[Subsector],$B371,Table2[Building type],$C371)</f>
        <v>7766.4633256928528</v>
      </c>
      <c r="F371" s="15" cm="1">
        <f t="array" ref="F371">SUMPRODUCT(Table2[Space heating demand (MWh)],Table2[Stock],--(Table2[Subsector]=$B371),--(Table2[Building type]=$C371))/$E371</f>
        <v>97.576808109444741</v>
      </c>
      <c r="G371" s="15">
        <f>_xlfn.MINIFS(Table2[Space heating demand (MWh)],Table2[Subsector],$B371,Table2[Building type],$C371)</f>
        <v>13.701745282747295</v>
      </c>
      <c r="H371" s="15">
        <f>_xlfn.MAXIFS(Table2[Space heating demand (MWh)],Table2[Subsector],$B371,Table2[Building type],$C371)</f>
        <v>323.38004469743788</v>
      </c>
    </row>
    <row r="372" spans="2:8" outlineLevel="1">
      <c r="B372" t="s">
        <v>23</v>
      </c>
      <c r="C372" t="s">
        <v>49</v>
      </c>
      <c r="D372" s="15"/>
      <c r="E372" s="15">
        <f>SUMIFS(Table2[Stock],Table2[Subsector],$B372,Table2[Building type],$C372)</f>
        <v>37728.138935194838</v>
      </c>
      <c r="F372" s="15" cm="1">
        <f t="array" ref="F372">SUMPRODUCT(Table2[Space heating demand (MWh)],Table2[Stock],--(Table2[Subsector]=$B372),--(Table2[Building type]=$C372))/$E372</f>
        <v>28.794536454533386</v>
      </c>
      <c r="G372" s="15">
        <f>_xlfn.MINIFS(Table2[Space heating demand (MWh)],Table2[Subsector],$B372,Table2[Building type],$C372)</f>
        <v>10.526176566195176</v>
      </c>
      <c r="H372" s="15">
        <f>_xlfn.MAXIFS(Table2[Space heating demand (MWh)],Table2[Subsector],$B372,Table2[Building type],$C372)</f>
        <v>390.26173684278467</v>
      </c>
    </row>
    <row r="373" spans="2:8" outlineLevel="1">
      <c r="B373" t="s">
        <v>23</v>
      </c>
      <c r="C373" t="s">
        <v>51</v>
      </c>
      <c r="D373" s="15"/>
      <c r="E373" s="15">
        <f>SUMIFS(Table2[Stock],Table2[Subsector],$B373,Table2[Building type],$C373)</f>
        <v>22297.221209279709</v>
      </c>
      <c r="F373" s="15" cm="1">
        <f t="array" ref="F373">SUMPRODUCT(Table2[Space heating demand (MWh)],Table2[Stock],--(Table2[Subsector]=$B373),--(Table2[Building type]=$C373))/$E373</f>
        <v>29.633982463175702</v>
      </c>
      <c r="G373" s="15">
        <f>_xlfn.MINIFS(Table2[Space heating demand (MWh)],Table2[Subsector],$B373,Table2[Building type],$C373)</f>
        <v>5.6166055733937776</v>
      </c>
      <c r="H373" s="15">
        <f>_xlfn.MAXIFS(Table2[Space heating demand (MWh)],Table2[Subsector],$B373,Table2[Building type],$C373)</f>
        <v>58.262498867521174</v>
      </c>
    </row>
    <row r="374" spans="2:8" outlineLevel="1">
      <c r="B374" t="s">
        <v>23</v>
      </c>
      <c r="C374" t="s">
        <v>50</v>
      </c>
      <c r="E374" s="15">
        <f>SUMIFS(Table2[Stock],Table2[Subsector],$B374,Table2[Building type],$C374)</f>
        <v>60804.212075432384</v>
      </c>
      <c r="F374" s="15" cm="1">
        <f t="array" ref="F374">SUMPRODUCT(Table2[Space heating demand (MWh)],Table2[Stock],--(Table2[Subsector]=$B374),--(Table2[Building type]=$C374))/$E374</f>
        <v>19.029864381608306</v>
      </c>
      <c r="G374" s="15">
        <f>_xlfn.MINIFS(Table2[Space heating demand (MWh)],Table2[Subsector],$B374,Table2[Building type],$C374)</f>
        <v>4.8213208104587402</v>
      </c>
      <c r="H374" s="15">
        <f>_xlfn.MAXIFS(Table2[Space heating demand (MWh)],Table2[Subsector],$B374,Table2[Building type],$C374)</f>
        <v>245.10214772770661</v>
      </c>
    </row>
    <row r="375" spans="2:8" outlineLevel="1">
      <c r="B375" t="s">
        <v>23</v>
      </c>
      <c r="C375" t="s">
        <v>52</v>
      </c>
      <c r="E375" s="15">
        <f>SUMIFS(Table2[Stock],Table2[Subsector],$B375,Table2[Building type],$C375)</f>
        <v>5764.8827880808503</v>
      </c>
      <c r="F375" s="15" cm="1">
        <f t="array" ref="F375">SUMPRODUCT(Table2[Space heating demand (MWh)],Table2[Stock],--(Table2[Subsector]=$B375),--(Table2[Building type]=$C375))/$E375</f>
        <v>41.037210130773069</v>
      </c>
      <c r="G375" s="15">
        <f>_xlfn.MINIFS(Table2[Space heating demand (MWh)],Table2[Subsector],$B375,Table2[Building type],$C375)</f>
        <v>25.152108041262558</v>
      </c>
      <c r="H375" s="15">
        <f>_xlfn.MAXIFS(Table2[Space heating demand (MWh)],Table2[Subsector],$B375,Table2[Building type],$C375)</f>
        <v>149.57356408114669</v>
      </c>
    </row>
    <row r="376" spans="2:8" outlineLevel="1">
      <c r="B376" t="s">
        <v>24</v>
      </c>
      <c r="C376" t="s">
        <v>54</v>
      </c>
      <c r="E376" s="15">
        <f>SUMIFS(Table2[Stock],Table2[Subsector],$B376,Table2[Building type],$C376)</f>
        <v>7086.863322219906</v>
      </c>
      <c r="F376" s="15" cm="1">
        <f t="array" ref="F376">SUMPRODUCT(Table2[Space heating demand (MWh)],Table2[Stock],--(Table2[Subsector]=$B376),--(Table2[Building type]=$C376))/$E376</f>
        <v>148.06207813546342</v>
      </c>
      <c r="G376" s="15">
        <f>_xlfn.MINIFS(Table2[Space heating demand (MWh)],Table2[Subsector],$B376,Table2[Building type],$C376)</f>
        <v>19.180836606425597</v>
      </c>
      <c r="H376" s="15">
        <f>_xlfn.MAXIFS(Table2[Space heating demand (MWh)],Table2[Subsector],$B376,Table2[Building type],$C376)</f>
        <v>729.59846416330811</v>
      </c>
    </row>
    <row r="377" spans="2:8" outlineLevel="1">
      <c r="B377" t="s">
        <v>24</v>
      </c>
      <c r="C377" t="s">
        <v>55</v>
      </c>
      <c r="E377" s="15">
        <f>SUMIFS(Table2[Stock],Table2[Subsector],$B377,Table2[Building type],$C377)</f>
        <v>13540.995606723623</v>
      </c>
      <c r="F377" s="15" cm="1">
        <f t="array" ref="F377">SUMPRODUCT(Table2[Space heating demand (MWh)],Table2[Stock],--(Table2[Subsector]=$B377),--(Table2[Building type]=$C377))/$E377</f>
        <v>85.186921040345268</v>
      </c>
      <c r="G377" s="15">
        <f>_xlfn.MINIFS(Table2[Space heating demand (MWh)],Table2[Subsector],$B377,Table2[Building type],$C377)</f>
        <v>17.651283958830039</v>
      </c>
      <c r="H377" s="15">
        <f>_xlfn.MAXIFS(Table2[Space heating demand (MWh)],Table2[Subsector],$B377,Table2[Building type],$C377)</f>
        <v>569.35477632166896</v>
      </c>
    </row>
    <row r="378" spans="2:8" outlineLevel="1">
      <c r="B378" t="s">
        <v>24</v>
      </c>
      <c r="C378" t="s">
        <v>49</v>
      </c>
      <c r="E378" s="15">
        <f>SUMIFS(Table2[Stock],Table2[Subsector],$B378,Table2[Building type],$C378)</f>
        <v>3781.2227373758428</v>
      </c>
      <c r="F378" s="15" cm="1">
        <f t="array" ref="F378">SUMPRODUCT(Table2[Space heating demand (MWh)],Table2[Stock],--(Table2[Subsector]=$B378),--(Table2[Building type]=$C378))/$E378</f>
        <v>85.162625059855159</v>
      </c>
      <c r="G378" s="15">
        <f>_xlfn.MINIFS(Table2[Space heating demand (MWh)],Table2[Subsector],$B378,Table2[Building type],$C378)</f>
        <v>16.343389509212766</v>
      </c>
      <c r="H378" s="15">
        <f>_xlfn.MAXIFS(Table2[Space heating demand (MWh)],Table2[Subsector],$B378,Table2[Building type],$C378)</f>
        <v>479.3361588298352</v>
      </c>
    </row>
    <row r="380" spans="2:8" ht="18" thickBot="1">
      <c r="B380" s="8" t="s">
        <v>147</v>
      </c>
      <c r="C380" s="8"/>
      <c r="D380" s="8"/>
      <c r="E380" s="8"/>
      <c r="F380" s="8"/>
      <c r="G380" s="8"/>
      <c r="H380" s="8"/>
    </row>
    <row r="381" spans="2:8" ht="15.75" thickTop="1"/>
    <row r="382" spans="2:8" ht="15.75" outlineLevel="1" thickBot="1">
      <c r="B382" s="9" t="s">
        <v>11</v>
      </c>
      <c r="C382" s="9" t="s">
        <v>139</v>
      </c>
      <c r="D382" s="9" t="s">
        <v>71</v>
      </c>
      <c r="E382" s="9" t="s">
        <v>43</v>
      </c>
      <c r="F382" s="9" t="s">
        <v>148</v>
      </c>
      <c r="G382" s="9" t="s">
        <v>149</v>
      </c>
      <c r="H382" s="9" t="s">
        <v>150</v>
      </c>
    </row>
    <row r="383" spans="2:8" outlineLevel="1">
      <c r="B383" t="s">
        <v>17</v>
      </c>
      <c r="D383" t="s">
        <v>75</v>
      </c>
      <c r="E383" s="15">
        <f>SUMIFS(Table2[Stock],Table2[Subsector],$B383,Table2[Building structure],$D383)</f>
        <v>307902.07974659046</v>
      </c>
      <c r="F383" s="15" cm="1">
        <f t="array" ref="F383">SUMPRODUCT(Table2[Hot water demand (MWh)],Table2[Stock],--(Table2[Subsector]=$B383),--(Table2[Building structure]=$D383))/$E383</f>
        <v>2.4391667268268584</v>
      </c>
      <c r="G383" s="15">
        <f>_xlfn.MINIFS(Table2[Hot water demand (MWh)],Table2[Subsector],$B383,Table2[Building structure],$D383)</f>
        <v>1.2837170637034012</v>
      </c>
      <c r="H383" s="15">
        <f>_xlfn.MAXIFS(Table2[Hot water demand (MWh)],Table2[Subsector],$B383,Table2[Building structure],$D383)</f>
        <v>3.4799295496501004</v>
      </c>
    </row>
    <row r="384" spans="2:8" outlineLevel="1">
      <c r="B384" t="s">
        <v>17</v>
      </c>
      <c r="D384" t="s">
        <v>74</v>
      </c>
      <c r="E384" s="15">
        <f>SUMIFS(Table2[Stock],Table2[Subsector],$B384,Table2[Building structure],$D384)</f>
        <v>515575.38732204761</v>
      </c>
      <c r="F384" s="15" cm="1">
        <f t="array" ref="F384">SUMPRODUCT(Table2[Hot water demand (MWh)],Table2[Stock],--(Table2[Subsector]=$B384),--(Table2[Building structure]=$D384))/$E384</f>
        <v>2.6456804172192534</v>
      </c>
      <c r="G384" s="15">
        <f>_xlfn.MINIFS(Table2[Hot water demand (MWh)],Table2[Subsector],$B384,Table2[Building structure],$D384)</f>
        <v>1.7732671138987557</v>
      </c>
      <c r="H384" s="15">
        <f>_xlfn.MAXIFS(Table2[Hot water demand (MWh)],Table2[Subsector],$B384,Table2[Building structure],$D384)</f>
        <v>3.4204517125678056</v>
      </c>
    </row>
    <row r="385" spans="2:8" outlineLevel="1">
      <c r="B385" t="s">
        <v>17</v>
      </c>
      <c r="D385" t="s">
        <v>73</v>
      </c>
      <c r="E385" s="15">
        <f>SUMIFS(Table2[Stock],Table2[Subsector],$B385,Table2[Building structure],$D385)</f>
        <v>745289.29288404807</v>
      </c>
      <c r="F385" s="15" cm="1">
        <f t="array" ref="F385">SUMPRODUCT(Table2[Hot water demand (MWh)],Table2[Stock],--(Table2[Subsector]=$B385),--(Table2[Building structure]=$D385))/$E385</f>
        <v>3.1213620579031685</v>
      </c>
      <c r="G385" s="15">
        <f>_xlfn.MINIFS(Table2[Hot water demand (MWh)],Table2[Subsector],$B385,Table2[Building structure],$D385)</f>
        <v>1.8780844649688766</v>
      </c>
      <c r="H385" s="15">
        <f>_xlfn.MAXIFS(Table2[Hot water demand (MWh)],Table2[Subsector],$B385,Table2[Building structure],$D385)</f>
        <v>3.7345267626012792</v>
      </c>
    </row>
    <row r="386" spans="2:8" outlineLevel="1">
      <c r="B386" t="s">
        <v>17</v>
      </c>
      <c r="D386" t="s">
        <v>76</v>
      </c>
      <c r="E386" s="15">
        <f>SUMIFS(Table2[Stock],Table2[Subsector],$B386,Table2[Building structure],$D386)</f>
        <v>204791.75564731372</v>
      </c>
      <c r="F386" s="15" cm="1">
        <f t="array" ref="F386">SUMPRODUCT(Table2[Hot water demand (MWh)],Table2[Stock],--(Table2[Subsector]=$B386),--(Table2[Building structure]=$D386))/$E386</f>
        <v>1.9301223962287748</v>
      </c>
      <c r="G386" s="15">
        <f>_xlfn.MINIFS(Table2[Hot water demand (MWh)],Table2[Subsector],$B386,Table2[Building structure],$D386)</f>
        <v>1.3750061963261382</v>
      </c>
      <c r="H386" s="15">
        <f>_xlfn.MAXIFS(Table2[Hot water demand (MWh)],Table2[Subsector],$B386,Table2[Building structure],$D386)</f>
        <v>3.0902678282590914</v>
      </c>
    </row>
    <row r="387" spans="2:8" outlineLevel="1">
      <c r="B387" t="s">
        <v>23</v>
      </c>
      <c r="C387" t="s">
        <v>53</v>
      </c>
      <c r="D387" s="15"/>
      <c r="E387" s="15">
        <f>SUMIFS(Table2[Stock],Table2[Subsector],$B387,Table2[Building type],$C387)</f>
        <v>7766.4633256928528</v>
      </c>
      <c r="F387" s="15" cm="1">
        <f t="array" ref="F387">SUMPRODUCT(Table2[Hot water demand (MWh)],Table2[Stock],--(Table2[Subsector]=$B387),--(Table2[Building type]=$C387))/$E387</f>
        <v>138.03455393501486</v>
      </c>
      <c r="G387" s="15">
        <f>_xlfn.MINIFS(Table2[Hot water demand (MWh)],Table2[Subsector],$B387,Table2[Building type],$C387)</f>
        <v>21.615764287379079</v>
      </c>
      <c r="H387" s="15">
        <f>_xlfn.MAXIFS(Table2[Hot water demand (MWh)],Table2[Subsector],$B387,Table2[Building type],$C387)</f>
        <v>604.14702937747199</v>
      </c>
    </row>
    <row r="388" spans="2:8" outlineLevel="1">
      <c r="B388" t="s">
        <v>23</v>
      </c>
      <c r="C388" t="s">
        <v>49</v>
      </c>
      <c r="D388" s="15"/>
      <c r="E388" s="15">
        <f>SUMIFS(Table2[Stock],Table2[Subsector],$B388,Table2[Building type],$C388)</f>
        <v>37728.138935194838</v>
      </c>
      <c r="F388" s="15" cm="1">
        <f t="array" ref="F388">SUMPRODUCT(Table2[Hot water demand (MWh)],Table2[Stock],--(Table2[Subsector]=$B388),--(Table2[Building type]=$C388))/$E388</f>
        <v>2.3862960234024588</v>
      </c>
      <c r="G388" s="15">
        <f>_xlfn.MINIFS(Table2[Hot water demand (MWh)],Table2[Subsector],$B388,Table2[Building type],$C388)</f>
        <v>0.60993116089101451</v>
      </c>
      <c r="H388" s="15">
        <f>_xlfn.MAXIFS(Table2[Hot water demand (MWh)],Table2[Subsector],$B388,Table2[Building type],$C388)</f>
        <v>34.915551077021682</v>
      </c>
    </row>
    <row r="389" spans="2:8" outlineLevel="1">
      <c r="B389" t="s">
        <v>23</v>
      </c>
      <c r="C389" t="s">
        <v>51</v>
      </c>
      <c r="D389" s="15"/>
      <c r="E389" s="15">
        <f>SUMIFS(Table2[Stock],Table2[Subsector],$B389,Table2[Building type],$C389)</f>
        <v>22297.221209279709</v>
      </c>
      <c r="F389" s="15" cm="1">
        <f t="array" ref="F389">SUMPRODUCT(Table2[Hot water demand (MWh)],Table2[Stock],--(Table2[Subsector]=$B389),--(Table2[Building type]=$C389))/$E389</f>
        <v>17.533846038981853</v>
      </c>
      <c r="G389" s="15">
        <f>_xlfn.MINIFS(Table2[Hot water demand (MWh)],Table2[Subsector],$B389,Table2[Building type],$C389)</f>
        <v>4.7812247577639111</v>
      </c>
      <c r="H389" s="15">
        <f>_xlfn.MAXIFS(Table2[Hot water demand (MWh)],Table2[Subsector],$B389,Table2[Building type],$C389)</f>
        <v>31.833013583690271</v>
      </c>
    </row>
    <row r="390" spans="2:8" outlineLevel="1">
      <c r="B390" t="s">
        <v>23</v>
      </c>
      <c r="C390" t="s">
        <v>50</v>
      </c>
      <c r="E390" s="15">
        <f>SUMIFS(Table2[Stock],Table2[Subsector],$B390,Table2[Building type],$C390)</f>
        <v>60804.212075432384</v>
      </c>
      <c r="F390" s="15" cm="1">
        <f t="array" ref="F390">SUMPRODUCT(Table2[Hot water demand (MWh)],Table2[Stock],--(Table2[Subsector]=$B390),--(Table2[Building type]=$C390))/$E390</f>
        <v>3.5024566507794792</v>
      </c>
      <c r="G390" s="15">
        <f>_xlfn.MINIFS(Table2[Hot water demand (MWh)],Table2[Subsector],$B390,Table2[Building type],$C390)</f>
        <v>0.48691713721857854</v>
      </c>
      <c r="H390" s="15">
        <f>_xlfn.MAXIFS(Table2[Hot water demand (MWh)],Table2[Subsector],$B390,Table2[Building type],$C390)</f>
        <v>408.41727940534292</v>
      </c>
    </row>
    <row r="391" spans="2:8" outlineLevel="1">
      <c r="B391" t="s">
        <v>23</v>
      </c>
      <c r="C391" t="s">
        <v>52</v>
      </c>
      <c r="E391" s="15">
        <f>SUMIFS(Table2[Stock],Table2[Subsector],$B391,Table2[Building type],$C391)</f>
        <v>5764.8827880808503</v>
      </c>
      <c r="F391" s="15" cm="1">
        <f t="array" ref="F391">SUMPRODUCT(Table2[Hot water demand (MWh)],Table2[Stock],--(Table2[Subsector]=$B391),--(Table2[Building type]=$C391))/$E391</f>
        <v>2.20071555738267</v>
      </c>
      <c r="G391" s="15">
        <f>_xlfn.MINIFS(Table2[Hot water demand (MWh)],Table2[Subsector],$B391,Table2[Building type],$C391)</f>
        <v>0.84619500796970337</v>
      </c>
      <c r="H391" s="15">
        <f>_xlfn.MAXIFS(Table2[Hot water demand (MWh)],Table2[Subsector],$B391,Table2[Building type],$C391)</f>
        <v>27.939229630849876</v>
      </c>
    </row>
    <row r="392" spans="2:8" outlineLevel="1">
      <c r="B392" t="s">
        <v>24</v>
      </c>
      <c r="C392" t="s">
        <v>54</v>
      </c>
      <c r="E392" s="15">
        <f>SUMIFS(Table2[Stock],Table2[Subsector],$B392,Table2[Building type],$C392)</f>
        <v>7086.863322219906</v>
      </c>
      <c r="F392" s="15" cm="1">
        <f t="array" ref="F392">SUMPRODUCT(Table2[Hot water demand (MWh)],Table2[Stock],--(Table2[Subsector]=$B392),--(Table2[Building type]=$C392))/$E392</f>
        <v>40.7050747254874</v>
      </c>
      <c r="G392" s="15">
        <f>_xlfn.MINIFS(Table2[Hot water demand (MWh)],Table2[Subsector],$B392,Table2[Building type],$C392)</f>
        <v>2.6329540887229346</v>
      </c>
      <c r="H392" s="15">
        <f>_xlfn.MAXIFS(Table2[Hot water demand (MWh)],Table2[Subsector],$B392,Table2[Building type],$C392)</f>
        <v>127.58828330477748</v>
      </c>
    </row>
    <row r="393" spans="2:8" outlineLevel="1">
      <c r="B393" t="s">
        <v>24</v>
      </c>
      <c r="C393" t="s">
        <v>55</v>
      </c>
      <c r="E393" s="15">
        <f>SUMIFS(Table2[Stock],Table2[Subsector],$B393,Table2[Building type],$C393)</f>
        <v>13540.995606723623</v>
      </c>
      <c r="F393" s="15" cm="1">
        <f t="array" ref="F393">SUMPRODUCT(Table2[Hot water demand (MWh)],Table2[Stock],--(Table2[Subsector]=$B393),--(Table2[Building type]=$C393))/$E393</f>
        <v>51.569939981139726</v>
      </c>
      <c r="G393" s="15">
        <f>_xlfn.MINIFS(Table2[Hot water demand (MWh)],Table2[Subsector],$B393,Table2[Building type],$C393)</f>
        <v>2.3922806626481505</v>
      </c>
      <c r="H393" s="15">
        <f>_xlfn.MAXIFS(Table2[Hot water demand (MWh)],Table2[Subsector],$B393,Table2[Building type],$C393)</f>
        <v>533.0611538387659</v>
      </c>
    </row>
    <row r="394" spans="2:8" outlineLevel="1">
      <c r="B394" t="s">
        <v>24</v>
      </c>
      <c r="C394" t="s">
        <v>49</v>
      </c>
      <c r="E394" s="15">
        <f>SUMIFS(Table2[Stock],Table2[Subsector],$B394,Table2[Building type],$C394)</f>
        <v>3781.2227373758428</v>
      </c>
      <c r="F394" s="15" cm="1">
        <f t="array" ref="F394">SUMPRODUCT(Table2[Hot water demand (MWh)],Table2[Stock],--(Table2[Subsector]=$B394),--(Table2[Building type]=$C394))/$E394</f>
        <v>8.312364702340675</v>
      </c>
      <c r="G394" s="15">
        <f>_xlfn.MINIFS(Table2[Hot water demand (MWh)],Table2[Subsector],$B394,Table2[Building type],$C394)</f>
        <v>0.99115457029639231</v>
      </c>
      <c r="H394" s="15">
        <f>_xlfn.MAXIFS(Table2[Hot water demand (MWh)],Table2[Subsector],$B394,Table2[Building type],$C394)</f>
        <v>49.187417851442959</v>
      </c>
    </row>
    <row r="396" spans="2:8" ht="18" thickBot="1">
      <c r="B396" s="8" t="s">
        <v>151</v>
      </c>
      <c r="C396" s="8"/>
      <c r="D396" s="8"/>
      <c r="E396" s="8"/>
      <c r="F396" s="8"/>
      <c r="G396" s="8"/>
      <c r="H396" s="8"/>
    </row>
    <row r="397" spans="2:8" ht="15.75" thickTop="1"/>
    <row r="398" spans="2:8" ht="15.75" outlineLevel="1" thickBot="1">
      <c r="B398" s="9" t="s">
        <v>11</v>
      </c>
      <c r="C398" s="9" t="s">
        <v>139</v>
      </c>
      <c r="D398" s="9" t="s">
        <v>71</v>
      </c>
      <c r="E398" s="9" t="s">
        <v>43</v>
      </c>
      <c r="F398" s="9" t="s">
        <v>152</v>
      </c>
      <c r="G398" s="9" t="s">
        <v>153</v>
      </c>
      <c r="H398" s="9" t="s">
        <v>154</v>
      </c>
    </row>
    <row r="399" spans="2:8" outlineLevel="1">
      <c r="B399" t="s">
        <v>17</v>
      </c>
      <c r="D399" t="s">
        <v>75</v>
      </c>
      <c r="E399" s="15">
        <f>SUMIFS(Table2[Stock],Table2[Subsector],$B399,Table2[Building structure],$D399)</f>
        <v>307902.07974659046</v>
      </c>
      <c r="F399" s="15" cm="1">
        <f t="array" ref="F399">SUMPRODUCT(Table2[Electricity consumption (MWh)],Table2[Stock],--(Table2[Subsector]=$B399),--(Table2[Building structure]=$D399))/$E399</f>
        <v>3.8659748347401393</v>
      </c>
      <c r="G399" s="15">
        <f>_xlfn.MINIFS(Table2[Electricity consumption (MWh)],Table2[Subsector],$B399,Table2[Building structure],$D399)</f>
        <v>3.6460979565001677</v>
      </c>
      <c r="H399" s="15">
        <f>_xlfn.MAXIFS(Table2[Electricity consumption (MWh)],Table2[Subsector],$B399,Table2[Building structure],$D399)</f>
        <v>4.0838242520732759</v>
      </c>
    </row>
    <row r="400" spans="2:8" outlineLevel="1">
      <c r="B400" t="s">
        <v>17</v>
      </c>
      <c r="D400" t="s">
        <v>74</v>
      </c>
      <c r="E400" s="15">
        <f>SUMIFS(Table2[Stock],Table2[Subsector],$B400,Table2[Building structure],$D400)</f>
        <v>515575.38732204761</v>
      </c>
      <c r="F400" s="15" cm="1">
        <f t="array" ref="F400">SUMPRODUCT(Table2[Electricity consumption (MWh)],Table2[Stock],--(Table2[Subsector]=$B400),--(Table2[Building structure]=$D400))/$E400</f>
        <v>3.9731218375462563</v>
      </c>
      <c r="G400" s="15">
        <f>_xlfn.MINIFS(Table2[Electricity consumption (MWh)],Table2[Subsector],$B400,Table2[Building structure],$D400)</f>
        <v>3.5941574319080338</v>
      </c>
      <c r="H400" s="15">
        <f>_xlfn.MAXIFS(Table2[Electricity consumption (MWh)],Table2[Subsector],$B400,Table2[Building structure],$D400)</f>
        <v>4.1236477415424861</v>
      </c>
    </row>
    <row r="401" spans="2:8" outlineLevel="1">
      <c r="B401" t="s">
        <v>17</v>
      </c>
      <c r="D401" t="s">
        <v>73</v>
      </c>
      <c r="E401" s="15">
        <f>SUMIFS(Table2[Stock],Table2[Subsector],$B401,Table2[Building structure],$D401)</f>
        <v>745289.29288404807</v>
      </c>
      <c r="F401" s="15" cm="1">
        <f t="array" ref="F401">SUMPRODUCT(Table2[Electricity consumption (MWh)],Table2[Stock],--(Table2[Subsector]=$B401),--(Table2[Building structure]=$D401))/$E401</f>
        <v>4.3563157111598771</v>
      </c>
      <c r="G401" s="15">
        <f>_xlfn.MINIFS(Table2[Electricity consumption (MWh)],Table2[Subsector],$B401,Table2[Building structure],$D401)</f>
        <v>3.8288035698263756</v>
      </c>
      <c r="H401" s="15">
        <f>_xlfn.MAXIFS(Table2[Electricity consumption (MWh)],Table2[Subsector],$B401,Table2[Building structure],$D401)</f>
        <v>5.0564807977724904</v>
      </c>
    </row>
    <row r="402" spans="2:8" outlineLevel="1">
      <c r="B402" t="s">
        <v>17</v>
      </c>
      <c r="D402" t="s">
        <v>76</v>
      </c>
      <c r="E402" s="15">
        <f>SUMIFS(Table2[Stock],Table2[Subsector],$B402,Table2[Building structure],$D402)</f>
        <v>204791.75564731372</v>
      </c>
      <c r="F402" s="15" cm="1">
        <f t="array" ref="F402">SUMPRODUCT(Table2[Electricity consumption (MWh)],Table2[Stock],--(Table2[Subsector]=$B402),--(Table2[Building structure]=$D402))/$E402</f>
        <v>3.621921824542766</v>
      </c>
      <c r="G402" s="15">
        <f>_xlfn.MINIFS(Table2[Electricity consumption (MWh)],Table2[Subsector],$B402,Table2[Building structure],$D402)</f>
        <v>3.3762104768703107</v>
      </c>
      <c r="H402" s="15">
        <f>_xlfn.MAXIFS(Table2[Electricity consumption (MWh)],Table2[Subsector],$B402,Table2[Building structure],$D402)</f>
        <v>4.1348165506521299</v>
      </c>
    </row>
    <row r="403" spans="2:8" outlineLevel="1">
      <c r="B403" t="s">
        <v>23</v>
      </c>
      <c r="C403" t="s">
        <v>53</v>
      </c>
      <c r="D403" s="15"/>
      <c r="E403" s="15">
        <f>SUMIFS(Table2[Stock],Table2[Subsector],$B403,Table2[Building type],$C403)</f>
        <v>7766.4633256928528</v>
      </c>
      <c r="F403" s="15" cm="1">
        <f t="array" ref="F403">SUMPRODUCT(Table2[Electricity consumption (MWh)],Table2[Stock],--(Table2[Subsector]=$B403),--(Table2[Building type]=$C403))/$E403</f>
        <v>34.307098491817108</v>
      </c>
      <c r="G403" s="15">
        <f>_xlfn.MINIFS(Table2[Electricity consumption (MWh)],Table2[Subsector],$B403,Table2[Building type],$C403)</f>
        <v>6.4383847214278305</v>
      </c>
      <c r="H403" s="15">
        <f>_xlfn.MAXIFS(Table2[Electricity consumption (MWh)],Table2[Subsector],$B403,Table2[Building type],$C403)</f>
        <v>305.87893699849519</v>
      </c>
    </row>
    <row r="404" spans="2:8" outlineLevel="1">
      <c r="B404" t="s">
        <v>23</v>
      </c>
      <c r="C404" t="s">
        <v>49</v>
      </c>
      <c r="D404" s="15"/>
      <c r="E404" s="15">
        <f>SUMIFS(Table2[Stock],Table2[Subsector],$B404,Table2[Building type],$C404)</f>
        <v>37728.138935194838</v>
      </c>
      <c r="F404" s="15" cm="1">
        <f t="array" ref="F404">SUMPRODUCT(Table2[Electricity consumption (MWh)],Table2[Stock],--(Table2[Subsector]=$B404),--(Table2[Building type]=$C404))/$E404</f>
        <v>6.0702312562894996</v>
      </c>
      <c r="G404" s="15">
        <f>_xlfn.MINIFS(Table2[Electricity consumption (MWh)],Table2[Subsector],$B404,Table2[Building type],$C404)</f>
        <v>2.7112963360272873</v>
      </c>
      <c r="H404" s="15">
        <f>_xlfn.MAXIFS(Table2[Electricity consumption (MWh)],Table2[Subsector],$B404,Table2[Building type],$C404)</f>
        <v>89.145821979729675</v>
      </c>
    </row>
    <row r="405" spans="2:8" outlineLevel="1">
      <c r="B405" t="s">
        <v>23</v>
      </c>
      <c r="C405" t="s">
        <v>51</v>
      </c>
      <c r="D405" s="15"/>
      <c r="E405" s="15">
        <f>SUMIFS(Table2[Stock],Table2[Subsector],$B405,Table2[Building type],$C405)</f>
        <v>22297.221209279709</v>
      </c>
      <c r="F405" s="15" cm="1">
        <f t="array" ref="F405">SUMPRODUCT(Table2[Electricity consumption (MWh)],Table2[Stock],--(Table2[Subsector]=$B405),--(Table2[Building type]=$C405))/$E405</f>
        <v>10.433849972304385</v>
      </c>
      <c r="G405" s="15">
        <f>_xlfn.MINIFS(Table2[Electricity consumption (MWh)],Table2[Subsector],$B405,Table2[Building type],$C405)</f>
        <v>3.513119669380206</v>
      </c>
      <c r="H405" s="15">
        <f>_xlfn.MAXIFS(Table2[Electricity consumption (MWh)],Table2[Subsector],$B405,Table2[Building type],$C405)</f>
        <v>20.23561137987636</v>
      </c>
    </row>
    <row r="406" spans="2:8" outlineLevel="1">
      <c r="B406" t="s">
        <v>23</v>
      </c>
      <c r="C406" t="s">
        <v>50</v>
      </c>
      <c r="E406" s="15">
        <f>SUMIFS(Table2[Stock],Table2[Subsector],$B406,Table2[Building type],$C406)</f>
        <v>60804.212075432384</v>
      </c>
      <c r="F406" s="15" cm="1">
        <f t="array" ref="F406">SUMPRODUCT(Table2[Electricity consumption (MWh)],Table2[Stock],--(Table2[Subsector]=$B406),--(Table2[Building type]=$C406))/$E406</f>
        <v>13.427270147923952</v>
      </c>
      <c r="G406" s="15">
        <f>_xlfn.MINIFS(Table2[Electricity consumption (MWh)],Table2[Subsector],$B406,Table2[Building type],$C406)</f>
        <v>3.7696051302038214</v>
      </c>
      <c r="H406" s="15">
        <f>_xlfn.MAXIFS(Table2[Electricity consumption (MWh)],Table2[Subsector],$B406,Table2[Building type],$C406)</f>
        <v>213.85986845769969</v>
      </c>
    </row>
    <row r="407" spans="2:8" outlineLevel="1">
      <c r="B407" t="s">
        <v>23</v>
      </c>
      <c r="C407" t="s">
        <v>52</v>
      </c>
      <c r="E407" s="15">
        <f>SUMIFS(Table2[Stock],Table2[Subsector],$B407,Table2[Building type],$C407)</f>
        <v>5764.8827880808503</v>
      </c>
      <c r="F407" s="15" cm="1">
        <f t="array" ref="F407">SUMPRODUCT(Table2[Electricity consumption (MWh)],Table2[Stock],--(Table2[Subsector]=$B407),--(Table2[Building type]=$C407))/$E407</f>
        <v>11.462462858106942</v>
      </c>
      <c r="G407" s="15">
        <f>_xlfn.MINIFS(Table2[Electricity consumption (MWh)],Table2[Subsector],$B407,Table2[Building type],$C407)</f>
        <v>5.529281229399027</v>
      </c>
      <c r="H407" s="15">
        <f>_xlfn.MAXIFS(Table2[Electricity consumption (MWh)],Table2[Subsector],$B407,Table2[Building type],$C407)</f>
        <v>104.1105220885312</v>
      </c>
    </row>
    <row r="408" spans="2:8" outlineLevel="1">
      <c r="B408" t="s">
        <v>24</v>
      </c>
      <c r="C408" t="s">
        <v>54</v>
      </c>
      <c r="E408" s="15">
        <f>SUMIFS(Table2[Stock],Table2[Subsector],$B408,Table2[Building type],$C408)</f>
        <v>7086.863322219906</v>
      </c>
      <c r="F408" s="15" cm="1">
        <f t="array" ref="F408">SUMPRODUCT(Table2[Electricity consumption (MWh)],Table2[Stock],--(Table2[Subsector]=$B408),--(Table2[Building type]=$C408))/$E408</f>
        <v>125.85500373588957</v>
      </c>
      <c r="G408" s="15">
        <f>_xlfn.MINIFS(Table2[Electricity consumption (MWh)],Table2[Subsector],$B408,Table2[Building type],$C408)</f>
        <v>21.285982500617258</v>
      </c>
      <c r="H408" s="15">
        <f>_xlfn.MAXIFS(Table2[Electricity consumption (MWh)],Table2[Subsector],$B408,Table2[Building type],$C408)</f>
        <v>1719.1015174228201</v>
      </c>
    </row>
    <row r="409" spans="2:8" outlineLevel="1">
      <c r="B409" t="s">
        <v>24</v>
      </c>
      <c r="C409" t="s">
        <v>55</v>
      </c>
      <c r="E409" s="15">
        <f>SUMIFS(Table2[Stock],Table2[Subsector],$B409,Table2[Building type],$C409)</f>
        <v>13540.995606723623</v>
      </c>
      <c r="F409" s="15" cm="1">
        <f t="array" ref="F409">SUMPRODUCT(Table2[Electricity consumption (MWh)],Table2[Stock],--(Table2[Subsector]=$B409),--(Table2[Building type]=$C409))/$E409</f>
        <v>161.13456914663828</v>
      </c>
      <c r="G409" s="15">
        <f>_xlfn.MINIFS(Table2[Electricity consumption (MWh)],Table2[Subsector],$B409,Table2[Building type],$C409)</f>
        <v>21.198853911852577</v>
      </c>
      <c r="H409" s="15">
        <f>_xlfn.MAXIFS(Table2[Electricity consumption (MWh)],Table2[Subsector],$B409,Table2[Building type],$C409)</f>
        <v>3294.0198565554538</v>
      </c>
    </row>
    <row r="410" spans="2:8" outlineLevel="1">
      <c r="B410" t="s">
        <v>24</v>
      </c>
      <c r="C410" t="s">
        <v>49</v>
      </c>
      <c r="E410" s="15">
        <f>SUMIFS(Table2[Stock],Table2[Subsector],$B410,Table2[Building type],$C410)</f>
        <v>3781.2227373758428</v>
      </c>
      <c r="F410" s="15" cm="1">
        <f t="array" ref="F410">SUMPRODUCT(Table2[Electricity consumption (MWh)],Table2[Stock],--(Table2[Subsector]=$B410),--(Table2[Building type]=$C410))/$E410</f>
        <v>166.39693258964942</v>
      </c>
      <c r="G410" s="15">
        <f>_xlfn.MINIFS(Table2[Electricity consumption (MWh)],Table2[Subsector],$B410,Table2[Building type],$C410)</f>
        <v>31.037501471493218</v>
      </c>
      <c r="H410" s="15">
        <f>_xlfn.MAXIFS(Table2[Electricity consumption (MWh)],Table2[Subsector],$B410,Table2[Building type],$C410)</f>
        <v>1020.4947146896768</v>
      </c>
    </row>
    <row r="411" spans="2:8" outlineLevel="1"/>
    <row r="412" spans="2:8" ht="18" thickBot="1">
      <c r="B412" s="8" t="s">
        <v>155</v>
      </c>
      <c r="C412" s="8"/>
      <c r="D412" s="8"/>
      <c r="E412" s="8"/>
      <c r="F412" s="8"/>
      <c r="G412" s="8"/>
      <c r="H412" s="8"/>
    </row>
    <row r="413" spans="2:8" ht="15.75" thickTop="1"/>
    <row r="414" spans="2:8" ht="15.75" outlineLevel="1" thickBot="1">
      <c r="B414" s="9" t="s">
        <v>11</v>
      </c>
      <c r="C414" s="9" t="s">
        <v>139</v>
      </c>
      <c r="D414" s="9" t="s">
        <v>71</v>
      </c>
      <c r="E414" s="9" t="s">
        <v>156</v>
      </c>
      <c r="F414" s="9" t="s">
        <v>157</v>
      </c>
      <c r="G414" s="9" t="s">
        <v>158</v>
      </c>
      <c r="H414" s="9" t="s">
        <v>159</v>
      </c>
    </row>
    <row r="415" spans="2:8" outlineLevel="1">
      <c r="B415" t="s">
        <v>17</v>
      </c>
      <c r="D415" t="s">
        <v>75</v>
      </c>
      <c r="E415" s="15">
        <f>SUMIFS(Table2[Stock],Table2[Subsector],$B415,Table2[Building structure],$D415,Table2[Cooling consumption (MWh)],"&lt;&gt;0")</f>
        <v>0</v>
      </c>
      <c r="F415" s="15" cm="1">
        <f t="array" ref="F415">IF($E415=0,0,SUMPRODUCT(Table2[Cooling consumption (MWh)],Table2[Stock],--(Table2[Subsector]=$B415),--(Table2[Building structure]=$D415))/$E415)</f>
        <v>0</v>
      </c>
      <c r="G415" s="15">
        <f>_xlfn.MINIFS(Table2[Cooling consumption (MWh)],Table2[Subsector],$B415,Table2[Building structure],$D415,Table2[Cooling consumption (MWh)],"&lt;&gt;0")</f>
        <v>0</v>
      </c>
      <c r="H415" s="15">
        <f>_xlfn.MAXIFS(Table2[Cooling consumption (MWh)],Table2[Subsector],$B415,Table2[Building structure],$D415,Table2[Cooling consumption (MWh)],"&lt;&gt;0")</f>
        <v>0</v>
      </c>
    </row>
    <row r="416" spans="2:8" outlineLevel="1">
      <c r="B416" t="s">
        <v>17</v>
      </c>
      <c r="D416" t="s">
        <v>74</v>
      </c>
      <c r="E416" s="15">
        <f>SUMIFS(Table2[Stock],Table2[Subsector],$B416,Table2[Building structure],$D416,Table2[Cooling consumption (MWh)],"&lt;&gt;0")</f>
        <v>0</v>
      </c>
      <c r="F416" s="15" cm="1">
        <f t="array" ref="F416">IF($E416=0,0,SUMPRODUCT(Table2[Cooling consumption (MWh)],Table2[Stock],--(Table2[Subsector]=$B416),--(Table2[Building structure]=$D416))/$E416)</f>
        <v>0</v>
      </c>
      <c r="G416" s="15">
        <f>_xlfn.MINIFS(Table2[Cooling consumption (MWh)],Table2[Subsector],$B416,Table2[Building structure],$D416,Table2[Cooling consumption (MWh)],"&lt;&gt;0")</f>
        <v>0</v>
      </c>
      <c r="H416" s="15">
        <f>_xlfn.MAXIFS(Table2[Cooling consumption (MWh)],Table2[Subsector],$B416,Table2[Building structure],$D416,Table2[Cooling consumption (MWh)],"&lt;&gt;0")</f>
        <v>0</v>
      </c>
    </row>
    <row r="417" spans="2:8" outlineLevel="1">
      <c r="B417" t="s">
        <v>17</v>
      </c>
      <c r="D417" t="s">
        <v>73</v>
      </c>
      <c r="E417" s="15">
        <f>SUMIFS(Table2[Stock],Table2[Subsector],$B417,Table2[Building structure],$D417,Table2[Cooling consumption (MWh)],"&lt;&gt;0")</f>
        <v>0</v>
      </c>
      <c r="F417" s="15" cm="1">
        <f t="array" ref="F417">IF($E417=0,0,SUMPRODUCT(Table2[Cooling consumption (MWh)],Table2[Stock],--(Table2[Subsector]=$B417),--(Table2[Building structure]=$D417))/$E417)</f>
        <v>0</v>
      </c>
      <c r="G417" s="15">
        <f>_xlfn.MINIFS(Table2[Cooling consumption (MWh)],Table2[Subsector],$B417,Table2[Building structure],$D417,Table2[Cooling consumption (MWh)],"&lt;&gt;0")</f>
        <v>0</v>
      </c>
      <c r="H417" s="15">
        <f>_xlfn.MAXIFS(Table2[Cooling consumption (MWh)],Table2[Subsector],$B417,Table2[Building structure],$D417,Table2[Cooling consumption (MWh)],"&lt;&gt;0")</f>
        <v>0</v>
      </c>
    </row>
    <row r="418" spans="2:8" outlineLevel="1">
      <c r="B418" t="s">
        <v>17</v>
      </c>
      <c r="D418" t="s">
        <v>76</v>
      </c>
      <c r="E418" s="15">
        <f>SUMIFS(Table2[Stock],Table2[Subsector],$B418,Table2[Building structure],$D418,Table2[Cooling consumption (MWh)],"&lt;&gt;0")</f>
        <v>0</v>
      </c>
      <c r="F418" s="15" cm="1">
        <f t="array" ref="F418">IF($E418=0,0,SUMPRODUCT(Table2[Cooling consumption (MWh)],Table2[Stock],--(Table2[Subsector]=$B418),--(Table2[Building structure]=$D418))/$E418)</f>
        <v>0</v>
      </c>
      <c r="G418" s="15">
        <f>_xlfn.MINIFS(Table2[Cooling consumption (MWh)],Table2[Subsector],$B418,Table2[Building structure],$D418,Table2[Cooling consumption (MWh)],"&lt;&gt;0")</f>
        <v>0</v>
      </c>
      <c r="H418" s="15">
        <f>_xlfn.MAXIFS(Table2[Cooling consumption (MWh)],Table2[Subsector],$B418,Table2[Building structure],$D418,Table2[Cooling consumption (MWh)],"&lt;&gt;0")</f>
        <v>0</v>
      </c>
    </row>
    <row r="419" spans="2:8" outlineLevel="1">
      <c r="B419" t="s">
        <v>23</v>
      </c>
      <c r="C419" t="s">
        <v>53</v>
      </c>
      <c r="D419" s="15"/>
      <c r="E419" s="15">
        <f>SUMIFS(Table2[Stock],Table2[Subsector],$B419,Table2[Building type],$C419,Table2[Cooling consumption (MWh)],"&lt;&gt;0")</f>
        <v>999.26780289628971</v>
      </c>
      <c r="F419" s="15" cm="1">
        <f t="array" ref="F419">SUMPRODUCT(Table2[Cooling consumption (MWh)],Table2[Stock],--(Table2[Subsector]=$B419),--(Table2[Building type]=$C419),--(Table2[Cooling consumption (MWh)]&gt;0))/$E419</f>
        <v>377.38922762118278</v>
      </c>
      <c r="G419" s="15">
        <f>_xlfn.MINIFS(Table2[Cooling consumption (MWh)],Table2[Subsector],$B419,Table2[Building type],$C419,Table2[Cooling consumption (MWh)],"&lt;&gt;0")</f>
        <v>199.09115275358133</v>
      </c>
      <c r="H419" s="15">
        <f>_xlfn.MAXIFS(Table2[Cooling consumption (MWh)],Table2[Subsector],$B419,Table2[Building type],$C419,Table2[Cooling consumption (MWh)],"&lt;&gt;0")</f>
        <v>1200.92169466666</v>
      </c>
    </row>
    <row r="420" spans="2:8" outlineLevel="1">
      <c r="B420" t="s">
        <v>23</v>
      </c>
      <c r="C420" t="s">
        <v>49</v>
      </c>
      <c r="D420" s="15"/>
      <c r="E420" s="15">
        <f>SUMIFS(Table2[Stock],Table2[Subsector],$B420,Table2[Building type],$C420,Table2[Cooling consumption (MWh)],"&lt;&gt;0")</f>
        <v>7579.1621018410933</v>
      </c>
      <c r="F420" s="15" cm="1">
        <f t="array" ref="F420">SUMPRODUCT(Table2[Cooling consumption (MWh)],Table2[Stock],--(Table2[Subsector]=$B420),--(Table2[Building type]=$C420),--(Table2[Cooling consumption (MWh)]&gt;0))/$E420</f>
        <v>100.92173669776307</v>
      </c>
      <c r="G420" s="15">
        <f>_xlfn.MINIFS(Table2[Cooling consumption (MWh)],Table2[Subsector],$B420,Table2[Building type],$C420,Table2[Cooling consumption (MWh)],"&lt;&gt;0")</f>
        <v>30.027555826565823</v>
      </c>
      <c r="H420" s="15">
        <f>_xlfn.MAXIFS(Table2[Cooling consumption (MWh)],Table2[Subsector],$B420,Table2[Building type],$C420,Table2[Cooling consumption (MWh)],"&lt;&gt;0")</f>
        <v>498.44512406107447</v>
      </c>
    </row>
    <row r="421" spans="2:8" outlineLevel="1">
      <c r="B421" t="s">
        <v>23</v>
      </c>
      <c r="C421" t="s">
        <v>51</v>
      </c>
      <c r="D421" s="15"/>
      <c r="E421" s="15">
        <f>SUMIFS(Table2[Stock],Table2[Subsector],$B421,Table2[Building type],$C421,Table2[Cooling consumption (MWh)],"&lt;&gt;0")</f>
        <v>7404.1146941612742</v>
      </c>
      <c r="F421" s="15" cm="1">
        <f t="array" ref="F421">SUMPRODUCT(Table2[Cooling consumption (MWh)],Table2[Stock],--(Table2[Subsector]=$B421),--(Table2[Building type]=$C421),--(Table2[Cooling consumption (MWh)]&gt;0))/$E421</f>
        <v>50.041288573674827</v>
      </c>
      <c r="G421" s="15">
        <f>_xlfn.MINIFS(Table2[Cooling consumption (MWh)],Table2[Subsector],$B421,Table2[Building type],$C421,Table2[Cooling consumption (MWh)],"&lt;&gt;0")</f>
        <v>30.359585781216467</v>
      </c>
      <c r="H421" s="15">
        <f>_xlfn.MAXIFS(Table2[Cooling consumption (MWh)],Table2[Subsector],$B421,Table2[Building type],$C421,Table2[Cooling consumption (MWh)],"&lt;&gt;0")</f>
        <v>152.04729588787109</v>
      </c>
    </row>
    <row r="422" spans="2:8" outlineLevel="1">
      <c r="B422" t="s">
        <v>23</v>
      </c>
      <c r="C422" t="s">
        <v>50</v>
      </c>
      <c r="E422" s="15">
        <f>SUMIFS(Table2[Stock],Table2[Subsector],$B422,Table2[Building type],$C422,Table2[Cooling consumption (MWh)],"&lt;&gt;0")</f>
        <v>25939.392765388871</v>
      </c>
      <c r="F422" s="15" cm="1">
        <f t="array" ref="F422">SUMPRODUCT(Table2[Cooling consumption (MWh)],Table2[Stock],--(Table2[Subsector]=$B422),--(Table2[Building type]=$C422),--(Table2[Cooling consumption (MWh)]&gt;0))/$E422</f>
        <v>167.50935617890465</v>
      </c>
      <c r="G422" s="15">
        <f>_xlfn.MINIFS(Table2[Cooling consumption (MWh)],Table2[Subsector],$B422,Table2[Building type],$C422,Table2[Cooling consumption (MWh)],"&lt;&gt;0")</f>
        <v>29.079499192694112</v>
      </c>
      <c r="H422" s="15">
        <f>_xlfn.MAXIFS(Table2[Cooling consumption (MWh)],Table2[Subsector],$B422,Table2[Building type],$C422,Table2[Cooling consumption (MWh)],"&lt;&gt;0")</f>
        <v>2187.8076163101869</v>
      </c>
    </row>
    <row r="423" spans="2:8" outlineLevel="1">
      <c r="B423" t="s">
        <v>23</v>
      </c>
      <c r="C423" t="s">
        <v>52</v>
      </c>
      <c r="E423" s="15">
        <f>SUMIFS(Table2[Stock],Table2[Subsector],$B423,Table2[Building type],$C423,Table2[Cooling consumption (MWh)],"&lt;&gt;0")</f>
        <v>153.74755431881115</v>
      </c>
      <c r="F423" s="15" cm="1">
        <f t="array" ref="F423">SUMPRODUCT(Table2[Cooling consumption (MWh)],Table2[Stock],--(Table2[Subsector]=$B423),--(Table2[Building type]=$C423),--(Table2[Cooling consumption (MWh)]&gt;0))/$E423</f>
        <v>570.48353015394434</v>
      </c>
      <c r="G423" s="15">
        <f>_xlfn.MINIFS(Table2[Cooling consumption (MWh)],Table2[Subsector],$B423,Table2[Building type],$C423,Table2[Cooling consumption (MWh)],"&lt;&gt;0")</f>
        <v>549.04417087635238</v>
      </c>
      <c r="H423" s="15">
        <f>_xlfn.MAXIFS(Table2[Cooling consumption (MWh)],Table2[Subsector],$B423,Table2[Building type],$C423,Table2[Cooling consumption (MWh)],"&lt;&gt;0")</f>
        <v>593.29056645846549</v>
      </c>
    </row>
    <row r="424" spans="2:8" outlineLevel="1">
      <c r="B424" t="s">
        <v>24</v>
      </c>
      <c r="C424" t="s">
        <v>54</v>
      </c>
      <c r="E424" s="15">
        <f>SUMIFS(Table2[Stock],Table2[Subsector],$B424,Table2[Building type],$C424,Table2[Cooling consumption (MWh)],"&lt;&gt;0")</f>
        <v>104.19541343613987</v>
      </c>
      <c r="F424" s="15" cm="1">
        <f t="array" ref="F424">SUMPRODUCT(Table2[Cooling consumption (MWh)],Table2[Stock],--(Table2[Subsector]=$B424),--(Table2[Building type]=$C424),--(Table2[Cooling consumption (MWh)]&gt;0))/$E424</f>
        <v>304.81211989213477</v>
      </c>
      <c r="G424" s="15">
        <f>_xlfn.MINIFS(Table2[Cooling consumption (MWh)],Table2[Subsector],$B424,Table2[Building type],$C424,Table2[Cooling consumption (MWh)],"&lt;&gt;0")</f>
        <v>53.913941030259451</v>
      </c>
      <c r="H424" s="15">
        <f>_xlfn.MAXIFS(Table2[Cooling consumption (MWh)],Table2[Subsector],$B424,Table2[Building type],$C424,Table2[Cooling consumption (MWh)],"&lt;&gt;0")</f>
        <v>380.08157355069739</v>
      </c>
    </row>
    <row r="425" spans="2:8" outlineLevel="1">
      <c r="B425" t="s">
        <v>24</v>
      </c>
      <c r="C425" t="s">
        <v>55</v>
      </c>
      <c r="E425" s="15">
        <f>SUMIFS(Table2[Stock],Table2[Subsector],$B425,Table2[Building type],$C425,Table2[Cooling consumption (MWh)],"&lt;&gt;0")</f>
        <v>1998.1742270658983</v>
      </c>
      <c r="F425" s="15" cm="1">
        <f t="array" ref="F425">SUMPRODUCT(Table2[Cooling consumption (MWh)],Table2[Stock],--(Table2[Subsector]=$B425),--(Table2[Building type]=$C425),--(Table2[Cooling consumption (MWh)]&gt;0))/$E425</f>
        <v>120.81251772205916</v>
      </c>
      <c r="G425" s="15">
        <f>_xlfn.MINIFS(Table2[Cooling consumption (MWh)],Table2[Subsector],$B425,Table2[Building type],$C425,Table2[Cooling consumption (MWh)],"&lt;&gt;0")</f>
        <v>7.7776564097876699</v>
      </c>
      <c r="H425" s="15">
        <f>_xlfn.MAXIFS(Table2[Cooling consumption (MWh)],Table2[Subsector],$B425,Table2[Building type],$C425,Table2[Cooling consumption (MWh)],"&lt;&gt;0")</f>
        <v>1414.8332291478564</v>
      </c>
    </row>
    <row r="426" spans="2:8" outlineLevel="1">
      <c r="B426" t="s">
        <v>24</v>
      </c>
      <c r="C426" t="s">
        <v>49</v>
      </c>
      <c r="E426" s="15">
        <f>SUMIFS(Table2[Stock],Table2[Subsector],$B426,Table2[Building type],$C426,Table2[Cooling consumption (MWh)],"&lt;&gt;0")</f>
        <v>1440.1016066715013</v>
      </c>
      <c r="F426" s="15" cm="1">
        <f t="array" ref="F426">SUMPRODUCT(Table2[Cooling consumption (MWh)],Table2[Stock],--(Table2[Subsector]=$B426),--(Table2[Building type]=$C426),--(Table2[Cooling consumption (MWh)]&gt;0))/$E426</f>
        <v>204.77729373518173</v>
      </c>
      <c r="G426" s="15">
        <f>_xlfn.MINIFS(Table2[Cooling consumption (MWh)],Table2[Subsector],$B426,Table2[Building type],$C426,Table2[Cooling consumption (MWh)],"&lt;&gt;0")</f>
        <v>27.32704604776076</v>
      </c>
      <c r="H426" s="15">
        <f>_xlfn.MAXIFS(Table2[Cooling consumption (MWh)],Table2[Subsector],$B426,Table2[Building type],$C426,Table2[Cooling consumption (MWh)],"&lt;&gt;0")</f>
        <v>638.40831372998957</v>
      </c>
    </row>
    <row r="427" spans="2:8" outlineLevel="1"/>
  </sheetData>
  <mergeCells count="6">
    <mergeCell ref="J46:J47"/>
    <mergeCell ref="AG39:AK39"/>
    <mergeCell ref="U39:Y39"/>
    <mergeCell ref="AB39:AF39"/>
    <mergeCell ref="K46:L46"/>
    <mergeCell ref="N46:N4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3389B-4F9F-448A-93E9-22BCBB05F023}">
  <dimension ref="A2:AM695"/>
  <sheetViews>
    <sheetView showGridLines="0" zoomScale="90" zoomScaleNormal="90" workbookViewId="0">
      <selection activeCell="E16" sqref="E16"/>
    </sheetView>
  </sheetViews>
  <sheetFormatPr defaultColWidth="9.140625" defaultRowHeight="15"/>
  <cols>
    <col min="2" max="2" width="13.42578125" customWidth="1"/>
    <col min="3" max="3" width="12.42578125" bestFit="1" customWidth="1"/>
    <col min="4" max="4" width="24.85546875" bestFit="1" customWidth="1"/>
    <col min="5" max="5" width="12.85546875" bestFit="1" customWidth="1"/>
    <col min="6" max="6" width="10.42578125" customWidth="1"/>
    <col min="7" max="7" width="44.42578125" customWidth="1"/>
    <col min="8" max="8" width="31.42578125" customWidth="1"/>
    <col min="9" max="9" width="17.42578125" customWidth="1"/>
    <col min="10" max="10" width="16.140625" customWidth="1"/>
    <col min="11" max="11" width="19.42578125" customWidth="1"/>
    <col min="12" max="12" width="19.140625" customWidth="1"/>
    <col min="13" max="13" width="30.42578125" bestFit="1" customWidth="1"/>
    <col min="14" max="15" width="26.85546875" customWidth="1"/>
    <col min="16" max="16" width="30.85546875" bestFit="1" customWidth="1"/>
    <col min="17" max="17" width="28.42578125" bestFit="1" customWidth="1"/>
    <col min="18" max="18" width="8.42578125" customWidth="1"/>
    <col min="19" max="19" width="17.5703125" customWidth="1"/>
    <col min="20" max="20" width="17.5703125" bestFit="1" customWidth="1"/>
    <col min="21" max="21" width="25.85546875" customWidth="1"/>
    <col min="22" max="22" width="30.140625" bestFit="1" customWidth="1"/>
    <col min="23" max="23" width="26.85546875" customWidth="1"/>
    <col min="24" max="24" width="24.140625" bestFit="1" customWidth="1"/>
    <col min="25" max="25" width="32" customWidth="1"/>
    <col min="26" max="26" width="14.42578125" bestFit="1" customWidth="1"/>
    <col min="27" max="27" width="19.140625" bestFit="1" customWidth="1"/>
    <col min="28" max="28" width="21.42578125" bestFit="1" customWidth="1"/>
    <col min="29" max="29" width="19.42578125" bestFit="1" customWidth="1"/>
    <col min="30" max="30" width="14.42578125" bestFit="1" customWidth="1"/>
    <col min="31" max="31" width="15.42578125" bestFit="1" customWidth="1"/>
    <col min="32" max="32" width="18.42578125" bestFit="1" customWidth="1"/>
    <col min="33" max="33" width="25.5703125" bestFit="1" customWidth="1"/>
    <col min="34" max="34" width="26.42578125" bestFit="1" customWidth="1"/>
    <col min="35" max="35" width="33.42578125" bestFit="1" customWidth="1"/>
    <col min="36" max="36" width="38.42578125" bestFit="1" customWidth="1"/>
    <col min="37" max="37" width="26" bestFit="1" customWidth="1"/>
    <col min="42" max="42" width="15.85546875" bestFit="1" customWidth="1"/>
    <col min="43" max="43" width="10" bestFit="1" customWidth="1"/>
  </cols>
  <sheetData>
    <row r="2" spans="2:39" ht="18" thickBot="1">
      <c r="B2" s="6" t="s">
        <v>160</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row>
    <row r="3" spans="2:39" ht="15.75" thickTop="1">
      <c r="B3" s="7" t="s">
        <v>161</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39"/>
    </row>
    <row r="4" spans="2:39">
      <c r="L4" s="28"/>
      <c r="M4" s="28"/>
      <c r="N4" s="28"/>
      <c r="O4" s="28"/>
      <c r="Q4" s="29"/>
      <c r="R4" s="17"/>
      <c r="AE4" s="15">
        <f>SUMPRODUCT(AE169:AE280,S169:S280)</f>
        <v>1450753.5609848143</v>
      </c>
    </row>
    <row r="5" spans="2:39" ht="18" thickBot="1">
      <c r="B5" s="8" t="s">
        <v>162</v>
      </c>
      <c r="C5" s="8"/>
      <c r="D5" s="8"/>
      <c r="E5" s="8"/>
      <c r="F5" s="8"/>
      <c r="G5" s="8"/>
      <c r="H5" s="8"/>
      <c r="I5" s="8"/>
      <c r="J5" s="41"/>
      <c r="K5" s="8"/>
      <c r="L5" s="8"/>
      <c r="M5" s="63"/>
      <c r="N5" s="63"/>
      <c r="O5" s="63"/>
      <c r="P5" s="64"/>
      <c r="Q5" s="8"/>
      <c r="R5" s="8"/>
      <c r="S5" s="8">
        <v>745289</v>
      </c>
      <c r="T5" s="8"/>
      <c r="U5" s="8"/>
      <c r="V5" s="8"/>
      <c r="W5" s="8"/>
      <c r="X5" s="8"/>
      <c r="Y5" s="8"/>
      <c r="Z5" s="8"/>
      <c r="AA5" s="8"/>
      <c r="AB5" s="8"/>
      <c r="AC5" s="8"/>
      <c r="AD5" s="8"/>
      <c r="AE5" s="8"/>
      <c r="AF5" s="8"/>
      <c r="AG5" s="8"/>
      <c r="AH5" s="8"/>
      <c r="AI5" s="8"/>
      <c r="AJ5" s="8"/>
      <c r="AK5" s="8"/>
      <c r="AL5" s="8"/>
      <c r="AM5" s="8"/>
    </row>
    <row r="6" spans="2:39" ht="15.75" thickTop="1">
      <c r="B6" s="3"/>
      <c r="F6" s="40"/>
      <c r="I6" s="27" t="s">
        <v>163</v>
      </c>
      <c r="P6" s="42"/>
      <c r="Q6" s="42"/>
      <c r="S6" s="28">
        <f>S241/S5</f>
        <v>0.17051951607129801</v>
      </c>
      <c r="Z6" t="s">
        <v>164</v>
      </c>
      <c r="AA6" t="s">
        <v>164</v>
      </c>
      <c r="AB6" t="s">
        <v>164</v>
      </c>
      <c r="AC6" t="s">
        <v>164</v>
      </c>
      <c r="AD6" t="s">
        <v>164</v>
      </c>
      <c r="AE6" t="s">
        <v>164</v>
      </c>
      <c r="AF6" t="s">
        <v>165</v>
      </c>
      <c r="AH6" t="s">
        <v>166</v>
      </c>
      <c r="AI6" t="s">
        <v>166</v>
      </c>
      <c r="AJ6" t="s">
        <v>166</v>
      </c>
      <c r="AK6" t="s">
        <v>166</v>
      </c>
      <c r="AL6" t="s">
        <v>165</v>
      </c>
      <c r="AM6" t="s">
        <v>165</v>
      </c>
    </row>
    <row r="7" spans="2:39">
      <c r="B7" s="3" t="s">
        <v>167</v>
      </c>
      <c r="C7" t="s">
        <v>11</v>
      </c>
      <c r="D7" t="s">
        <v>42</v>
      </c>
      <c r="E7" t="s">
        <v>168</v>
      </c>
      <c r="F7" t="s">
        <v>169</v>
      </c>
      <c r="G7" t="s">
        <v>170</v>
      </c>
      <c r="H7" t="s">
        <v>171</v>
      </c>
      <c r="I7" t="s">
        <v>172</v>
      </c>
      <c r="J7" t="s">
        <v>173</v>
      </c>
      <c r="K7" t="s">
        <v>174</v>
      </c>
      <c r="L7" t="s">
        <v>175</v>
      </c>
      <c r="M7" t="s">
        <v>176</v>
      </c>
      <c r="N7" t="s">
        <v>177</v>
      </c>
      <c r="O7" t="s">
        <v>44</v>
      </c>
      <c r="P7" t="s">
        <v>178</v>
      </c>
      <c r="Q7" t="s">
        <v>179</v>
      </c>
      <c r="R7" t="s">
        <v>180</v>
      </c>
      <c r="S7" t="s">
        <v>43</v>
      </c>
      <c r="T7" t="s">
        <v>181</v>
      </c>
      <c r="U7" t="s">
        <v>72</v>
      </c>
      <c r="V7" t="s">
        <v>182</v>
      </c>
      <c r="W7" t="s">
        <v>183</v>
      </c>
      <c r="X7" t="s">
        <v>184</v>
      </c>
      <c r="Y7" t="s">
        <v>185</v>
      </c>
      <c r="Z7" t="s">
        <v>186</v>
      </c>
      <c r="AA7" t="s">
        <v>187</v>
      </c>
      <c r="AB7" t="s">
        <v>188</v>
      </c>
      <c r="AC7" t="s">
        <v>189</v>
      </c>
      <c r="AD7" t="s">
        <v>190</v>
      </c>
      <c r="AE7" t="s">
        <v>191</v>
      </c>
      <c r="AF7" t="s">
        <v>89</v>
      </c>
      <c r="AG7" t="s">
        <v>192</v>
      </c>
      <c r="AH7" t="s">
        <v>92</v>
      </c>
      <c r="AI7" t="s">
        <v>93</v>
      </c>
      <c r="AJ7" t="s">
        <v>94</v>
      </c>
      <c r="AK7" t="s">
        <v>95</v>
      </c>
      <c r="AL7" t="s">
        <v>193</v>
      </c>
      <c r="AM7" t="s">
        <v>194</v>
      </c>
    </row>
    <row r="8" spans="2:39">
      <c r="B8" s="3">
        <v>1</v>
      </c>
      <c r="C8" t="s">
        <v>23</v>
      </c>
      <c r="D8" t="s">
        <v>53</v>
      </c>
      <c r="F8" t="s">
        <v>195</v>
      </c>
      <c r="G8" t="s">
        <v>196</v>
      </c>
      <c r="H8" t="s">
        <v>197</v>
      </c>
      <c r="J8" t="s">
        <v>198</v>
      </c>
      <c r="K8" t="s">
        <v>198</v>
      </c>
      <c r="L8" t="s">
        <v>77</v>
      </c>
      <c r="M8" s="29">
        <v>152.27419020200585</v>
      </c>
      <c r="N8" s="29">
        <v>105.40451669106292</v>
      </c>
      <c r="O8" s="29">
        <f>Table2[[#This Row],[Hot water demand (MWh)]]+Table2[[#This Row],[Space heating demand (MWh)]]</f>
        <v>257.67870689306881</v>
      </c>
      <c r="P8" s="34">
        <v>305.87893699849519</v>
      </c>
      <c r="Q8" s="34">
        <v>1200.92169466666</v>
      </c>
      <c r="R8" t="s">
        <v>199</v>
      </c>
      <c r="S8" s="17">
        <v>40.786440934542433</v>
      </c>
      <c r="T8" s="29">
        <v>1226.5176850870412</v>
      </c>
      <c r="U8" s="17">
        <v>7439.25</v>
      </c>
      <c r="V8" s="29">
        <v>189.20783616905899</v>
      </c>
      <c r="W8" s="29">
        <v>130.97006458615706</v>
      </c>
      <c r="X8" s="29">
        <v>600.46084733332998</v>
      </c>
      <c r="Y8" s="29">
        <v>305.87893699849525</v>
      </c>
    </row>
    <row r="9" spans="2:39">
      <c r="B9">
        <v>2</v>
      </c>
      <c r="C9" t="s">
        <v>23</v>
      </c>
      <c r="D9" t="s">
        <v>53</v>
      </c>
      <c r="F9" t="s">
        <v>195</v>
      </c>
      <c r="G9" t="s">
        <v>200</v>
      </c>
      <c r="H9" t="s">
        <v>197</v>
      </c>
      <c r="J9" t="s">
        <v>198</v>
      </c>
      <c r="K9" t="s">
        <v>201</v>
      </c>
      <c r="L9" t="s">
        <v>77</v>
      </c>
      <c r="M9" s="29">
        <v>111.99118334425791</v>
      </c>
      <c r="N9" s="29">
        <v>321.50591236079003</v>
      </c>
      <c r="O9" s="29">
        <f>Table2[[#This Row],[Hot water demand (MWh)]]+Table2[[#This Row],[Space heating demand (MWh)]]</f>
        <v>433.49709570504797</v>
      </c>
      <c r="P9" s="35">
        <v>54.978450760781342</v>
      </c>
      <c r="Q9" s="35">
        <v>0</v>
      </c>
      <c r="R9" t="s">
        <v>199</v>
      </c>
      <c r="S9" s="17">
        <v>81.572881869084867</v>
      </c>
      <c r="T9" s="29">
        <v>465.47722899739404</v>
      </c>
      <c r="U9" s="17">
        <v>4014.125</v>
      </c>
      <c r="V9" s="29">
        <v>106.04971611475327</v>
      </c>
      <c r="W9" s="29">
        <v>304.44906212185947</v>
      </c>
      <c r="X9" s="29">
        <v>0</v>
      </c>
      <c r="Y9" s="29">
        <v>54.978450760781342</v>
      </c>
    </row>
    <row r="10" spans="2:39">
      <c r="B10" s="3">
        <v>3</v>
      </c>
      <c r="C10" t="s">
        <v>23</v>
      </c>
      <c r="D10" t="s">
        <v>53</v>
      </c>
      <c r="F10" t="s">
        <v>195</v>
      </c>
      <c r="G10" t="s">
        <v>196</v>
      </c>
      <c r="H10" t="s">
        <v>202</v>
      </c>
      <c r="J10" t="s">
        <v>198</v>
      </c>
      <c r="K10" t="s">
        <v>201</v>
      </c>
      <c r="L10" t="s">
        <v>77</v>
      </c>
      <c r="M10" s="29">
        <v>300.132658276364</v>
      </c>
      <c r="N10" s="29">
        <v>604.14702937747199</v>
      </c>
      <c r="O10" s="29">
        <f>Table2[[#This Row],[Hot water demand (MWh)]]+Table2[[#This Row],[Space heating demand (MWh)]]</f>
        <v>904.27968765383594</v>
      </c>
      <c r="P10" s="34">
        <v>189.53519157008071</v>
      </c>
      <c r="Q10" s="34">
        <v>477.17017925592734</v>
      </c>
      <c r="R10" t="s">
        <v>199</v>
      </c>
      <c r="S10" s="17">
        <v>407.86440934542435</v>
      </c>
      <c r="T10" s="29">
        <v>1336.6239579094897</v>
      </c>
      <c r="U10" s="17">
        <v>8082.95</v>
      </c>
      <c r="V10" s="29">
        <v>300.132658276364</v>
      </c>
      <c r="W10" s="29">
        <v>604.14702937747199</v>
      </c>
      <c r="X10" s="29">
        <v>242.8090786855731</v>
      </c>
      <c r="Y10" s="29">
        <v>189.53519157008071</v>
      </c>
    </row>
    <row r="11" spans="2:39">
      <c r="B11" s="3">
        <v>4</v>
      </c>
      <c r="C11" t="s">
        <v>23</v>
      </c>
      <c r="D11" t="s">
        <v>53</v>
      </c>
      <c r="F11" t="s">
        <v>195</v>
      </c>
      <c r="G11" t="s">
        <v>196</v>
      </c>
      <c r="H11" t="s">
        <v>202</v>
      </c>
      <c r="J11" t="s">
        <v>198</v>
      </c>
      <c r="K11" t="s">
        <v>198</v>
      </c>
      <c r="L11" t="s">
        <v>77</v>
      </c>
      <c r="M11" s="29">
        <v>258.06428276681942</v>
      </c>
      <c r="N11" s="29">
        <v>534.3641468388621</v>
      </c>
      <c r="O11" s="29">
        <f>Table2[[#This Row],[Hot water demand (MWh)]]+Table2[[#This Row],[Space heating demand (MWh)]]</f>
        <v>792.42842960568146</v>
      </c>
      <c r="P11" s="35">
        <v>105.66144016335687</v>
      </c>
      <c r="Q11" s="35">
        <v>235.67555662074759</v>
      </c>
      <c r="R11" t="s">
        <v>199</v>
      </c>
      <c r="S11" s="17">
        <v>377.27457864451753</v>
      </c>
      <c r="T11" s="29">
        <v>993.72720814329625</v>
      </c>
      <c r="U11" s="17">
        <v>6878.4324324324325</v>
      </c>
      <c r="V11" s="29">
        <v>258.06428276681942</v>
      </c>
      <c r="W11" s="29">
        <v>534.3641468388621</v>
      </c>
      <c r="X11" s="29">
        <v>95.637338374257951</v>
      </c>
      <c r="Y11" s="29">
        <v>105.66144016335687</v>
      </c>
    </row>
    <row r="12" spans="2:39">
      <c r="B12">
        <v>5</v>
      </c>
      <c r="C12" t="s">
        <v>23</v>
      </c>
      <c r="D12" t="s">
        <v>53</v>
      </c>
      <c r="F12" t="s">
        <v>195</v>
      </c>
      <c r="G12" t="s">
        <v>200</v>
      </c>
      <c r="H12" t="s">
        <v>202</v>
      </c>
      <c r="J12" t="s">
        <v>201</v>
      </c>
      <c r="K12" t="s">
        <v>201</v>
      </c>
      <c r="L12" t="s">
        <v>77</v>
      </c>
      <c r="M12" s="29">
        <v>323.38004469743788</v>
      </c>
      <c r="N12" s="29">
        <v>321.13732090929994</v>
      </c>
      <c r="O12" s="29">
        <f>Table2[[#This Row],[Hot water demand (MWh)]]+Table2[[#This Row],[Space heating demand (MWh)]]</f>
        <v>644.51736560673783</v>
      </c>
      <c r="P12" s="34">
        <v>60.193586781987463</v>
      </c>
      <c r="Q12" s="34">
        <v>0</v>
      </c>
      <c r="R12" t="s">
        <v>199</v>
      </c>
      <c r="S12" s="17">
        <v>948.2847517281117</v>
      </c>
      <c r="T12" s="29">
        <v>856.21416230818511</v>
      </c>
      <c r="U12" s="17">
        <v>3869</v>
      </c>
      <c r="V12" s="29">
        <v>399.39524213038681</v>
      </c>
      <c r="W12" s="29">
        <v>396.62533339581103</v>
      </c>
      <c r="X12" s="29">
        <v>0</v>
      </c>
      <c r="Y12" s="29">
        <v>60.193586781987463</v>
      </c>
    </row>
    <row r="13" spans="2:39">
      <c r="B13" s="3">
        <v>6</v>
      </c>
      <c r="C13" t="s">
        <v>23</v>
      </c>
      <c r="D13" t="s">
        <v>53</v>
      </c>
      <c r="F13" t="s">
        <v>195</v>
      </c>
      <c r="G13" t="s">
        <v>196</v>
      </c>
      <c r="H13" t="s">
        <v>203</v>
      </c>
      <c r="J13" t="s">
        <v>198</v>
      </c>
      <c r="K13" t="s">
        <v>201</v>
      </c>
      <c r="L13" t="s">
        <v>77</v>
      </c>
      <c r="M13" s="29">
        <v>241.41453940117361</v>
      </c>
      <c r="N13" s="29">
        <v>301.10965994391699</v>
      </c>
      <c r="O13" s="29">
        <f>Table2[[#This Row],[Hot water demand (MWh)]]+Table2[[#This Row],[Space heating demand (MWh)]]</f>
        <v>542.52419934509066</v>
      </c>
      <c r="P13" s="35">
        <v>106.61577178396618</v>
      </c>
      <c r="Q13" s="35">
        <v>289.00980422573048</v>
      </c>
      <c r="R13" t="s">
        <v>199</v>
      </c>
      <c r="S13" s="17">
        <v>112.1627125699917</v>
      </c>
      <c r="T13" s="29">
        <v>876.2679039474433</v>
      </c>
      <c r="U13" s="17">
        <v>5241.909090909091</v>
      </c>
      <c r="V13" s="29">
        <v>277.4918039984147</v>
      </c>
      <c r="W13" s="29">
        <v>346.10783155995995</v>
      </c>
      <c r="X13" s="29">
        <v>146.05249660510239</v>
      </c>
      <c r="Y13" s="29">
        <v>106.6157717839662</v>
      </c>
    </row>
    <row r="14" spans="2:39">
      <c r="B14" s="3">
        <v>7</v>
      </c>
      <c r="C14" t="s">
        <v>23</v>
      </c>
      <c r="D14" t="s">
        <v>53</v>
      </c>
      <c r="F14" t="s">
        <v>195</v>
      </c>
      <c r="G14" t="s">
        <v>196</v>
      </c>
      <c r="H14" t="s">
        <v>203</v>
      </c>
      <c r="J14" t="s">
        <v>198</v>
      </c>
      <c r="K14" t="s">
        <v>198</v>
      </c>
      <c r="L14" t="s">
        <v>77</v>
      </c>
      <c r="M14" s="29">
        <v>71.659914962793721</v>
      </c>
      <c r="N14" s="29">
        <v>198.09485855917984</v>
      </c>
      <c r="O14" s="29">
        <f>Table2[[#This Row],[Hot water demand (MWh)]]+Table2[[#This Row],[Space heating demand (MWh)]]</f>
        <v>269.75477352197356</v>
      </c>
      <c r="P14" s="34">
        <v>52.255008271399781</v>
      </c>
      <c r="Q14" s="34">
        <v>199.09115275358133</v>
      </c>
      <c r="R14" t="s">
        <v>199</v>
      </c>
      <c r="S14" s="17">
        <v>61.179661401813647</v>
      </c>
      <c r="T14" s="29">
        <v>400.8363868386175</v>
      </c>
      <c r="U14" s="17">
        <v>3164.6666666666665</v>
      </c>
      <c r="V14" s="29">
        <v>71.659914962793721</v>
      </c>
      <c r="W14" s="29">
        <v>198.09485855917984</v>
      </c>
      <c r="X14" s="29">
        <v>78.826605045244122</v>
      </c>
      <c r="Y14" s="29">
        <v>52.255008271399774</v>
      </c>
    </row>
    <row r="15" spans="2:39">
      <c r="B15">
        <v>8</v>
      </c>
      <c r="C15" t="s">
        <v>23</v>
      </c>
      <c r="D15" t="s">
        <v>53</v>
      </c>
      <c r="F15" t="s">
        <v>195</v>
      </c>
      <c r="G15" t="s">
        <v>200</v>
      </c>
      <c r="H15" t="s">
        <v>203</v>
      </c>
      <c r="J15" t="s">
        <v>198</v>
      </c>
      <c r="K15" t="s">
        <v>198</v>
      </c>
      <c r="L15" t="s">
        <v>77</v>
      </c>
      <c r="M15" s="29">
        <v>157.68650932378361</v>
      </c>
      <c r="N15" s="29">
        <v>194.25794071823501</v>
      </c>
      <c r="O15" s="29">
        <f>Table2[[#This Row],[Hot water demand (MWh)]]+Table2[[#This Row],[Space heating demand (MWh)]]</f>
        <v>351.94445004201862</v>
      </c>
      <c r="P15" s="35">
        <v>40.334357501596656</v>
      </c>
      <c r="Q15" s="35">
        <v>0</v>
      </c>
      <c r="R15" t="s">
        <v>199</v>
      </c>
      <c r="S15" s="17">
        <v>122.35932280362729</v>
      </c>
      <c r="T15" s="29">
        <v>459.93161266757875</v>
      </c>
      <c r="U15" s="17">
        <v>3398.5</v>
      </c>
      <c r="V15" s="29">
        <v>187.99792547109416</v>
      </c>
      <c r="W15" s="29">
        <v>231.5993296948879</v>
      </c>
      <c r="X15" s="29">
        <v>0</v>
      </c>
      <c r="Y15" s="29">
        <v>40.334357501596664</v>
      </c>
    </row>
    <row r="16" spans="2:39">
      <c r="B16" s="3">
        <v>9</v>
      </c>
      <c r="C16" t="s">
        <v>23</v>
      </c>
      <c r="D16" t="s">
        <v>53</v>
      </c>
      <c r="F16" t="s">
        <v>195</v>
      </c>
      <c r="G16" t="s">
        <v>200</v>
      </c>
      <c r="H16" s="3" t="s">
        <v>203</v>
      </c>
      <c r="I16" s="3"/>
      <c r="J16" t="s">
        <v>198</v>
      </c>
      <c r="K16" t="s">
        <v>201</v>
      </c>
      <c r="L16" t="s">
        <v>77</v>
      </c>
      <c r="M16" s="29">
        <v>115.95376830928288</v>
      </c>
      <c r="N16" s="29">
        <v>218.79966867468818</v>
      </c>
      <c r="O16" s="29">
        <f>Table2[[#This Row],[Hot water demand (MWh)]]+Table2[[#This Row],[Space heating demand (MWh)]]</f>
        <v>334.75343698397103</v>
      </c>
      <c r="P16" s="34">
        <v>38.226194033087879</v>
      </c>
      <c r="Q16" s="34">
        <v>0</v>
      </c>
      <c r="R16" t="s">
        <v>199</v>
      </c>
      <c r="S16" s="17">
        <v>305.89830700906828</v>
      </c>
      <c r="T16" s="29">
        <v>394.96134108335286</v>
      </c>
      <c r="U16" s="17">
        <v>2485.6999999999998</v>
      </c>
      <c r="V16" s="29">
        <v>123.56791602060547</v>
      </c>
      <c r="W16" s="29">
        <v>233.16723102965946</v>
      </c>
      <c r="X16" s="29">
        <v>0</v>
      </c>
      <c r="Y16" s="29">
        <v>38.226194033087886</v>
      </c>
    </row>
    <row r="17" spans="2:25">
      <c r="B17" s="3">
        <v>10</v>
      </c>
      <c r="C17" t="s">
        <v>23</v>
      </c>
      <c r="D17" t="s">
        <v>53</v>
      </c>
      <c r="F17" t="s">
        <v>204</v>
      </c>
      <c r="G17" t="s">
        <v>200</v>
      </c>
      <c r="H17" t="s">
        <v>203</v>
      </c>
      <c r="J17" t="s">
        <v>198</v>
      </c>
      <c r="K17" t="s">
        <v>201</v>
      </c>
      <c r="L17" t="s">
        <v>77</v>
      </c>
      <c r="M17" s="29">
        <v>28.634146319432869</v>
      </c>
      <c r="N17" s="29">
        <v>31.45769688955076</v>
      </c>
      <c r="O17" s="29">
        <f>Table2[[#This Row],[Hot water demand (MWh)]]+Table2[[#This Row],[Space heating demand (MWh)]]</f>
        <v>60.091843208983633</v>
      </c>
      <c r="P17" s="35">
        <v>8.8634468951905419</v>
      </c>
      <c r="Q17" s="35">
        <v>0</v>
      </c>
      <c r="R17" t="s">
        <v>199</v>
      </c>
      <c r="S17" s="17">
        <v>3822.5377867584029</v>
      </c>
      <c r="T17" s="29">
        <v>85.32848759266389</v>
      </c>
      <c r="U17" s="17">
        <v>437.47222222222223</v>
      </c>
      <c r="V17" s="29">
        <v>36.436079286805985</v>
      </c>
      <c r="W17" s="29">
        <v>40.028961410667371</v>
      </c>
      <c r="X17" s="29">
        <v>0</v>
      </c>
      <c r="Y17" s="29">
        <v>8.8634468951905419</v>
      </c>
    </row>
    <row r="18" spans="2:25">
      <c r="B18">
        <v>11</v>
      </c>
      <c r="C18" t="s">
        <v>23</v>
      </c>
      <c r="D18" t="s">
        <v>53</v>
      </c>
      <c r="F18" t="s">
        <v>204</v>
      </c>
      <c r="G18" t="s">
        <v>200</v>
      </c>
      <c r="H18" t="s">
        <v>203</v>
      </c>
      <c r="J18" t="s">
        <v>198</v>
      </c>
      <c r="K18" t="s">
        <v>198</v>
      </c>
      <c r="L18" t="s">
        <v>77</v>
      </c>
      <c r="M18" s="29">
        <v>13.701745282747295</v>
      </c>
      <c r="N18" s="29">
        <v>21.615764287379079</v>
      </c>
      <c r="O18" s="29">
        <f>Table2[[#This Row],[Hot water demand (MWh)]]+Table2[[#This Row],[Space heating demand (MWh)]]</f>
        <v>35.317509570126376</v>
      </c>
      <c r="P18" s="34">
        <v>6.4383847214278305</v>
      </c>
      <c r="Q18" s="34">
        <v>0</v>
      </c>
      <c r="R18" t="s">
        <v>199</v>
      </c>
      <c r="S18" s="17">
        <v>1486.5424726282681</v>
      </c>
      <c r="T18" s="29">
        <v>49.240677841845702</v>
      </c>
      <c r="U18" s="17">
        <v>350.42857142857144</v>
      </c>
      <c r="V18" s="29">
        <v>16.605534336699666</v>
      </c>
      <c r="W18" s="29">
        <v>26.196758783718209</v>
      </c>
      <c r="X18" s="29">
        <v>0</v>
      </c>
      <c r="Y18" s="29">
        <v>6.4383847214278305</v>
      </c>
    </row>
    <row r="19" spans="2:25">
      <c r="B19" s="3">
        <v>12</v>
      </c>
      <c r="C19" t="s">
        <v>23</v>
      </c>
      <c r="D19" t="s">
        <v>49</v>
      </c>
      <c r="F19" t="s">
        <v>195</v>
      </c>
      <c r="G19" t="s">
        <v>196</v>
      </c>
      <c r="H19" t="s">
        <v>197</v>
      </c>
      <c r="J19" t="s">
        <v>198</v>
      </c>
      <c r="K19" t="s">
        <v>198</v>
      </c>
      <c r="L19" t="s">
        <v>77</v>
      </c>
      <c r="M19" s="29">
        <v>102.88933919565631</v>
      </c>
      <c r="N19" s="29">
        <v>25.748260532139131</v>
      </c>
      <c r="O19" s="29">
        <f>Table2[[#This Row],[Hot water demand (MWh)]]+Table2[[#This Row],[Space heating demand (MWh)]]</f>
        <v>128.63759972779545</v>
      </c>
      <c r="P19" s="35">
        <v>39.421126904513407</v>
      </c>
      <c r="Q19" s="35">
        <v>231.09759551265009</v>
      </c>
      <c r="R19" t="s">
        <v>199</v>
      </c>
      <c r="S19" s="17">
        <v>264.85773972289439</v>
      </c>
      <c r="T19" s="29">
        <v>175.23397807091703</v>
      </c>
      <c r="U19" s="17">
        <v>3001.9886363636365</v>
      </c>
      <c r="V19" s="29">
        <v>42.160796712258659</v>
      </c>
      <c r="W19" s="29">
        <v>10.550822723484071</v>
      </c>
      <c r="X19" s="29">
        <v>83.101231730660885</v>
      </c>
      <c r="Y19" s="29">
        <v>39.4211269045134</v>
      </c>
    </row>
    <row r="20" spans="2:25">
      <c r="B20" s="3">
        <v>13</v>
      </c>
      <c r="C20" t="s">
        <v>23</v>
      </c>
      <c r="D20" t="s">
        <v>49</v>
      </c>
      <c r="F20" t="s">
        <v>195</v>
      </c>
      <c r="G20" t="s">
        <v>196</v>
      </c>
      <c r="H20" t="s">
        <v>197</v>
      </c>
      <c r="J20" t="s">
        <v>198</v>
      </c>
      <c r="K20" t="s">
        <v>201</v>
      </c>
      <c r="L20" t="s">
        <v>77</v>
      </c>
      <c r="M20" s="29">
        <v>137.74734084758668</v>
      </c>
      <c r="N20" s="29">
        <v>25.385210555439453</v>
      </c>
      <c r="O20" s="29">
        <f>Table2[[#This Row],[Hot water demand (MWh)]]+Table2[[#This Row],[Space heating demand (MWh)]]</f>
        <v>163.13255140302613</v>
      </c>
      <c r="P20" s="34">
        <v>38.996025753624778</v>
      </c>
      <c r="Q20" s="34">
        <v>246.65103204785484</v>
      </c>
      <c r="R20" t="s">
        <v>199</v>
      </c>
      <c r="S20" s="17">
        <v>233.25539577868543</v>
      </c>
      <c r="T20" s="29">
        <v>240.95056632470025</v>
      </c>
      <c r="U20" s="17">
        <v>2407.7225806451611</v>
      </c>
      <c r="V20" s="29">
        <v>70.66903313551768</v>
      </c>
      <c r="W20" s="29">
        <v>13.02346945397221</v>
      </c>
      <c r="X20" s="29">
        <v>118.26203798158559</v>
      </c>
      <c r="Y20" s="29">
        <v>38.996025753624778</v>
      </c>
    </row>
    <row r="21" spans="2:25">
      <c r="B21">
        <v>14</v>
      </c>
      <c r="C21" t="s">
        <v>23</v>
      </c>
      <c r="D21" t="s">
        <v>49</v>
      </c>
      <c r="F21" t="s">
        <v>195</v>
      </c>
      <c r="G21" t="s">
        <v>205</v>
      </c>
      <c r="H21" t="s">
        <v>197</v>
      </c>
      <c r="J21" t="s">
        <v>201</v>
      </c>
      <c r="K21" t="s">
        <v>201</v>
      </c>
      <c r="L21" t="s">
        <v>77</v>
      </c>
      <c r="M21" s="29">
        <v>217.62317245602267</v>
      </c>
      <c r="N21" s="29">
        <v>5.8696495435762701</v>
      </c>
      <c r="O21" s="29">
        <f>Table2[[#This Row],[Hot water demand (MWh)]]+Table2[[#This Row],[Space heating demand (MWh)]]</f>
        <v>223.49282199959893</v>
      </c>
      <c r="P21" s="35">
        <v>39.726406153568533</v>
      </c>
      <c r="Q21" s="35">
        <v>0</v>
      </c>
      <c r="R21" t="s">
        <v>199</v>
      </c>
      <c r="S21" s="17">
        <v>6.0194940846112361</v>
      </c>
      <c r="T21" s="29">
        <v>254.61963457617858</v>
      </c>
      <c r="U21" s="17">
        <v>1689.75</v>
      </c>
      <c r="V21" s="29">
        <v>209.24943221992629</v>
      </c>
      <c r="W21" s="29">
        <v>5.6437962026837152</v>
      </c>
      <c r="X21" s="29">
        <v>0</v>
      </c>
      <c r="Y21" s="29">
        <v>39.726406153568533</v>
      </c>
    </row>
    <row r="22" spans="2:25">
      <c r="B22" s="3">
        <v>15</v>
      </c>
      <c r="C22" t="s">
        <v>23</v>
      </c>
      <c r="D22" t="s">
        <v>49</v>
      </c>
      <c r="F22" t="s">
        <v>195</v>
      </c>
      <c r="G22" t="s">
        <v>200</v>
      </c>
      <c r="H22" t="s">
        <v>197</v>
      </c>
      <c r="J22" t="s">
        <v>201</v>
      </c>
      <c r="K22" t="s">
        <v>201</v>
      </c>
      <c r="L22" t="s">
        <v>77</v>
      </c>
      <c r="M22" s="29">
        <v>212.68482139818212</v>
      </c>
      <c r="N22" s="29">
        <v>16.890155182159102</v>
      </c>
      <c r="O22" s="29">
        <f>Table2[[#This Row],[Hot water demand (MWh)]]+Table2[[#This Row],[Space heating demand (MWh)]]</f>
        <v>229.57497658034123</v>
      </c>
      <c r="P22" s="34">
        <v>43.401783109441141</v>
      </c>
      <c r="Q22" s="34">
        <v>0</v>
      </c>
      <c r="R22" t="s">
        <v>199</v>
      </c>
      <c r="S22" s="17">
        <v>123.39962873453035</v>
      </c>
      <c r="T22" s="29">
        <v>257.59266534378503</v>
      </c>
      <c r="U22" s="17">
        <v>2303.1341463414633</v>
      </c>
      <c r="V22" s="29">
        <v>198.43255659524453</v>
      </c>
      <c r="W22" s="29">
        <v>15.758325639099391</v>
      </c>
      <c r="X22" s="29">
        <v>0</v>
      </c>
      <c r="Y22" s="29">
        <v>43.401783109441141</v>
      </c>
    </row>
    <row r="23" spans="2:25">
      <c r="B23" s="3">
        <v>16</v>
      </c>
      <c r="C23" t="s">
        <v>23</v>
      </c>
      <c r="D23" t="s">
        <v>49</v>
      </c>
      <c r="F23" t="s">
        <v>195</v>
      </c>
      <c r="G23" t="s">
        <v>200</v>
      </c>
      <c r="H23" t="s">
        <v>197</v>
      </c>
      <c r="J23" t="s">
        <v>198</v>
      </c>
      <c r="K23" t="s">
        <v>201</v>
      </c>
      <c r="L23" t="s">
        <v>77</v>
      </c>
      <c r="M23" s="29">
        <v>77.80755554095785</v>
      </c>
      <c r="N23" s="29">
        <v>6.4187426594853028</v>
      </c>
      <c r="O23" s="29">
        <f>Table2[[#This Row],[Hot water demand (MWh)]]+Table2[[#This Row],[Space heating demand (MWh)]]</f>
        <v>84.226298200443154</v>
      </c>
      <c r="P23" s="35">
        <v>50.972422596573132</v>
      </c>
      <c r="Q23" s="35">
        <v>0</v>
      </c>
      <c r="R23" t="s">
        <v>199</v>
      </c>
      <c r="S23" s="17">
        <v>30.09747042305618</v>
      </c>
      <c r="T23" s="29">
        <v>129.61778652084081</v>
      </c>
      <c r="U23" s="17">
        <v>1992.5</v>
      </c>
      <c r="V23" s="29">
        <v>72.651934755742403</v>
      </c>
      <c r="W23" s="29">
        <v>5.9934291685252692</v>
      </c>
      <c r="X23" s="29">
        <v>0</v>
      </c>
      <c r="Y23" s="29">
        <v>50.972422596573132</v>
      </c>
    </row>
    <row r="24" spans="2:25">
      <c r="B24">
        <v>17</v>
      </c>
      <c r="C24" t="s">
        <v>23</v>
      </c>
      <c r="D24" t="s">
        <v>49</v>
      </c>
      <c r="F24" t="s">
        <v>195</v>
      </c>
      <c r="G24" t="s">
        <v>196</v>
      </c>
      <c r="H24" t="s">
        <v>202</v>
      </c>
      <c r="J24" t="s">
        <v>198</v>
      </c>
      <c r="K24" t="s">
        <v>198</v>
      </c>
      <c r="L24" t="s">
        <v>77</v>
      </c>
      <c r="M24" s="29">
        <v>167.10692153313497</v>
      </c>
      <c r="N24" s="29">
        <v>34.915551077021682</v>
      </c>
      <c r="O24" s="29">
        <f>Table2[[#This Row],[Hot water demand (MWh)]]+Table2[[#This Row],[Space heating demand (MWh)]]</f>
        <v>202.02247261015665</v>
      </c>
      <c r="P24" s="34">
        <v>89.145821979729675</v>
      </c>
      <c r="Q24" s="34">
        <v>498.44512406107447</v>
      </c>
      <c r="R24" t="s">
        <v>199</v>
      </c>
      <c r="S24" s="17">
        <v>588.40554677074829</v>
      </c>
      <c r="T24" s="29">
        <v>461.5518998613037</v>
      </c>
      <c r="U24" s="17">
        <v>6501.4066496163687</v>
      </c>
      <c r="V24" s="29">
        <v>167.10692153313497</v>
      </c>
      <c r="W24" s="29">
        <v>34.915551077021682</v>
      </c>
      <c r="X24" s="29">
        <v>170.38360527141731</v>
      </c>
      <c r="Y24" s="29">
        <v>89.145821979729675</v>
      </c>
    </row>
    <row r="25" spans="2:25">
      <c r="B25" s="3">
        <v>18</v>
      </c>
      <c r="C25" t="s">
        <v>23</v>
      </c>
      <c r="D25" t="s">
        <v>49</v>
      </c>
      <c r="F25" t="s">
        <v>195</v>
      </c>
      <c r="G25" t="s">
        <v>196</v>
      </c>
      <c r="H25" t="s">
        <v>202</v>
      </c>
      <c r="J25" t="s">
        <v>198</v>
      </c>
      <c r="K25" t="s">
        <v>201</v>
      </c>
      <c r="L25" t="s">
        <v>77</v>
      </c>
      <c r="M25" s="29">
        <v>284.54856718220077</v>
      </c>
      <c r="N25" s="29">
        <v>33.773550047036387</v>
      </c>
      <c r="O25" s="29">
        <f>Table2[[#This Row],[Hot water demand (MWh)]]+Table2[[#This Row],[Space heating demand (MWh)]]</f>
        <v>318.32211722923716</v>
      </c>
      <c r="P25" s="35">
        <v>86.84840747811711</v>
      </c>
      <c r="Q25" s="35">
        <v>422.42526215459725</v>
      </c>
      <c r="R25" t="s">
        <v>199</v>
      </c>
      <c r="S25" s="17">
        <v>341.60628930168764</v>
      </c>
      <c r="T25" s="29">
        <v>626.00553469376507</v>
      </c>
      <c r="U25" s="17">
        <v>4588.0881057268725</v>
      </c>
      <c r="V25" s="29">
        <v>307.21903762764714</v>
      </c>
      <c r="W25" s="29">
        <v>36.464346475081229</v>
      </c>
      <c r="X25" s="29">
        <v>195.47374311291966</v>
      </c>
      <c r="Y25" s="29">
        <v>86.848407478117124</v>
      </c>
    </row>
    <row r="26" spans="2:25">
      <c r="B26" s="3">
        <v>19</v>
      </c>
      <c r="C26" t="s">
        <v>23</v>
      </c>
      <c r="D26" t="s">
        <v>49</v>
      </c>
      <c r="F26" t="s">
        <v>195</v>
      </c>
      <c r="G26" t="s">
        <v>200</v>
      </c>
      <c r="H26" t="s">
        <v>202</v>
      </c>
      <c r="J26" t="s">
        <v>198</v>
      </c>
      <c r="K26" t="s">
        <v>198</v>
      </c>
      <c r="L26" t="s">
        <v>77</v>
      </c>
      <c r="M26" s="29">
        <v>127.57790547414515</v>
      </c>
      <c r="N26" s="29">
        <v>18.086540606027633</v>
      </c>
      <c r="O26" s="29">
        <f>Table2[[#This Row],[Hot water demand (MWh)]]+Table2[[#This Row],[Space heating demand (MWh)]]</f>
        <v>145.66444608017278</v>
      </c>
      <c r="P26" s="34">
        <v>54.989826551585857</v>
      </c>
      <c r="Q26" s="34">
        <v>0</v>
      </c>
      <c r="R26" t="s">
        <v>199</v>
      </c>
      <c r="S26" s="17">
        <v>60.19494084611236</v>
      </c>
      <c r="T26" s="29">
        <v>204.87556855569326</v>
      </c>
      <c r="U26" s="17">
        <v>3246.9749999999999</v>
      </c>
      <c r="V26" s="29">
        <v>131.27506086692861</v>
      </c>
      <c r="W26" s="29">
        <v>18.610681137178805</v>
      </c>
      <c r="X26" s="29">
        <v>0</v>
      </c>
      <c r="Y26" s="29">
        <v>54.989826551585857</v>
      </c>
    </row>
    <row r="27" spans="2:25">
      <c r="B27">
        <v>20</v>
      </c>
      <c r="C27" t="s">
        <v>23</v>
      </c>
      <c r="D27" t="s">
        <v>49</v>
      </c>
      <c r="F27" t="s">
        <v>195</v>
      </c>
      <c r="G27" t="s">
        <v>200</v>
      </c>
      <c r="H27" t="s">
        <v>202</v>
      </c>
      <c r="J27" t="s">
        <v>198</v>
      </c>
      <c r="K27" t="s">
        <v>201</v>
      </c>
      <c r="L27" t="s">
        <v>77</v>
      </c>
      <c r="M27" s="29">
        <v>390.26173684278467</v>
      </c>
      <c r="N27" s="29">
        <v>11.892800179100373</v>
      </c>
      <c r="O27" s="29">
        <f>Table2[[#This Row],[Hot water demand (MWh)]]+Table2[[#This Row],[Space heating demand (MWh)]]</f>
        <v>402.15453702188506</v>
      </c>
      <c r="P27" s="35">
        <v>37.256813541468006</v>
      </c>
      <c r="Q27" s="35">
        <v>0</v>
      </c>
      <c r="R27" t="s">
        <v>199</v>
      </c>
      <c r="S27" s="17">
        <v>109.85576704415506</v>
      </c>
      <c r="T27" s="29">
        <v>498.31006128122738</v>
      </c>
      <c r="U27" s="17">
        <v>2490.5205479452056</v>
      </c>
      <c r="V27" s="29">
        <v>447.41865296955086</v>
      </c>
      <c r="W27" s="29">
        <v>13.634594770208514</v>
      </c>
      <c r="X27" s="29">
        <v>0</v>
      </c>
      <c r="Y27" s="29">
        <v>37.256813541468006</v>
      </c>
    </row>
    <row r="28" spans="2:25">
      <c r="B28" s="3">
        <v>21</v>
      </c>
      <c r="C28" t="s">
        <v>23</v>
      </c>
      <c r="D28" t="s">
        <v>49</v>
      </c>
      <c r="F28" t="s">
        <v>195</v>
      </c>
      <c r="G28" t="s">
        <v>200</v>
      </c>
      <c r="H28" t="s">
        <v>203</v>
      </c>
      <c r="J28" t="s">
        <v>198</v>
      </c>
      <c r="K28" t="s">
        <v>201</v>
      </c>
      <c r="L28" t="s">
        <v>77</v>
      </c>
      <c r="M28" s="29">
        <v>129.29636282691988</v>
      </c>
      <c r="N28" s="29">
        <v>4.6299119876879962</v>
      </c>
      <c r="O28" s="29">
        <f>Table2[[#This Row],[Hot water demand (MWh)]]+Table2[[#This Row],[Space heating demand (MWh)]]</f>
        <v>133.92627481460786</v>
      </c>
      <c r="P28" s="34">
        <v>23.845081050354118</v>
      </c>
      <c r="Q28" s="34">
        <v>0</v>
      </c>
      <c r="R28" t="s">
        <v>199</v>
      </c>
      <c r="S28" s="17">
        <v>16.5536087326809</v>
      </c>
      <c r="T28" s="29">
        <v>180.36234676526087</v>
      </c>
      <c r="U28" s="17">
        <v>1932.3636363636363</v>
      </c>
      <c r="V28" s="29">
        <v>151.10636956464248</v>
      </c>
      <c r="W28" s="29">
        <v>5.4108961502642536</v>
      </c>
      <c r="X28" s="29">
        <v>0</v>
      </c>
      <c r="Y28" s="29">
        <v>23.845081050354118</v>
      </c>
    </row>
    <row r="29" spans="2:25">
      <c r="B29" s="3">
        <v>22</v>
      </c>
      <c r="C29" t="s">
        <v>23</v>
      </c>
      <c r="D29" t="s">
        <v>49</v>
      </c>
      <c r="F29" t="s">
        <v>195</v>
      </c>
      <c r="G29" t="s">
        <v>200</v>
      </c>
      <c r="H29" t="s">
        <v>203</v>
      </c>
      <c r="J29" t="s">
        <v>198</v>
      </c>
      <c r="K29" t="s">
        <v>201</v>
      </c>
      <c r="L29" t="s">
        <v>77</v>
      </c>
      <c r="M29" s="29">
        <v>129.29636282691988</v>
      </c>
      <c r="N29" s="29">
        <v>4.6299119876879962</v>
      </c>
      <c r="O29" s="29">
        <f>Table2[[#This Row],[Hot water demand (MWh)]]+Table2[[#This Row],[Space heating demand (MWh)]]</f>
        <v>133.92627481460786</v>
      </c>
      <c r="P29" s="35">
        <v>23.845081050354118</v>
      </c>
      <c r="Q29" s="35">
        <v>0</v>
      </c>
      <c r="R29" t="s">
        <v>199</v>
      </c>
      <c r="S29" s="17">
        <v>16.5536087326809</v>
      </c>
      <c r="T29" s="29">
        <v>180.36234676526087</v>
      </c>
      <c r="U29" s="17">
        <v>1932.3636363636363</v>
      </c>
      <c r="V29" s="29">
        <v>151.10636956464248</v>
      </c>
      <c r="W29" s="29">
        <v>5.4108961502642536</v>
      </c>
      <c r="X29" s="29">
        <v>0</v>
      </c>
      <c r="Y29" s="29">
        <v>23.845081050354118</v>
      </c>
    </row>
    <row r="30" spans="2:25">
      <c r="B30">
        <v>23</v>
      </c>
      <c r="C30" t="s">
        <v>23</v>
      </c>
      <c r="D30" t="s">
        <v>49</v>
      </c>
      <c r="F30" t="s">
        <v>204</v>
      </c>
      <c r="G30" t="s">
        <v>196</v>
      </c>
      <c r="H30" t="s">
        <v>197</v>
      </c>
      <c r="J30" t="s">
        <v>198</v>
      </c>
      <c r="K30" t="s">
        <v>198</v>
      </c>
      <c r="L30" t="s">
        <v>77</v>
      </c>
      <c r="M30" s="29">
        <v>12.760301888774329</v>
      </c>
      <c r="N30" s="29">
        <v>2.2989520123241296</v>
      </c>
      <c r="O30" s="29">
        <f>Table2[[#This Row],[Hot water demand (MWh)]]+Table2[[#This Row],[Space heating demand (MWh)]]</f>
        <v>15.059253901098458</v>
      </c>
      <c r="P30" s="34">
        <v>4.7820192926031595</v>
      </c>
      <c r="Q30" s="34">
        <v>39.99948248480419</v>
      </c>
      <c r="R30" t="s">
        <v>199</v>
      </c>
      <c r="S30" s="17">
        <v>1196.85588636288</v>
      </c>
      <c r="T30" s="29">
        <v>30.154641791019614</v>
      </c>
      <c r="U30" s="17">
        <v>275.33156966490299</v>
      </c>
      <c r="V30" s="29">
        <v>6.1153326589105488</v>
      </c>
      <c r="W30" s="29">
        <v>1.1017651811672204</v>
      </c>
      <c r="X30" s="29">
        <v>18.155524658338688</v>
      </c>
      <c r="Y30" s="29">
        <v>4.7820192926031604</v>
      </c>
    </row>
    <row r="31" spans="2:25">
      <c r="B31" s="3">
        <v>24</v>
      </c>
      <c r="C31" t="s">
        <v>23</v>
      </c>
      <c r="D31" t="s">
        <v>49</v>
      </c>
      <c r="F31" t="s">
        <v>204</v>
      </c>
      <c r="G31" t="s">
        <v>196</v>
      </c>
      <c r="H31" t="s">
        <v>197</v>
      </c>
      <c r="J31" t="s">
        <v>198</v>
      </c>
      <c r="K31" t="s">
        <v>198</v>
      </c>
      <c r="L31" t="s">
        <v>78</v>
      </c>
      <c r="M31" s="29">
        <v>12.760301888774329</v>
      </c>
      <c r="N31" s="29">
        <v>2.2989520123241296</v>
      </c>
      <c r="O31" s="29">
        <f>Table2[[#This Row],[Hot water demand (MWh)]]+Table2[[#This Row],[Space heating demand (MWh)]]</f>
        <v>15.059253901098458</v>
      </c>
      <c r="P31" s="35">
        <v>4.7820192926031595</v>
      </c>
      <c r="Q31" s="35">
        <v>39.99948248480419</v>
      </c>
      <c r="R31" t="s">
        <v>199</v>
      </c>
      <c r="S31" s="17">
        <v>1196.85588636288</v>
      </c>
      <c r="T31" s="29">
        <v>30.154641791019614</v>
      </c>
      <c r="U31" s="17">
        <v>275.33156966490299</v>
      </c>
      <c r="V31" s="29">
        <v>6.1153326589105488</v>
      </c>
      <c r="W31" s="29">
        <v>1.1017651811672204</v>
      </c>
      <c r="X31" s="29">
        <v>18.155524658338688</v>
      </c>
      <c r="Y31" s="29">
        <v>4.7820192926031604</v>
      </c>
    </row>
    <row r="32" spans="2:25">
      <c r="B32" s="3">
        <v>25</v>
      </c>
      <c r="C32" t="s">
        <v>23</v>
      </c>
      <c r="D32" t="s">
        <v>49</v>
      </c>
      <c r="F32" t="s">
        <v>204</v>
      </c>
      <c r="G32" t="s">
        <v>196</v>
      </c>
      <c r="H32" t="s">
        <v>197</v>
      </c>
      <c r="J32" t="s">
        <v>198</v>
      </c>
      <c r="K32" t="s">
        <v>201</v>
      </c>
      <c r="L32" t="s">
        <v>77</v>
      </c>
      <c r="M32" s="29">
        <v>19.561315927881886</v>
      </c>
      <c r="N32" s="29">
        <v>1.9571743173289751</v>
      </c>
      <c r="O32" s="29">
        <f>Table2[[#This Row],[Hot water demand (MWh)]]+Table2[[#This Row],[Space heating demand (MWh)]]</f>
        <v>21.51849024521086</v>
      </c>
      <c r="P32" s="34">
        <v>4.7222352457877683</v>
      </c>
      <c r="Q32" s="34">
        <v>30.027555826565823</v>
      </c>
      <c r="R32" t="s">
        <v>199</v>
      </c>
      <c r="S32" s="17">
        <v>1878.6626787706587</v>
      </c>
      <c r="T32" s="29">
        <v>31.178449691386497</v>
      </c>
      <c r="U32" s="17">
        <v>287.33932584269661</v>
      </c>
      <c r="V32" s="29">
        <v>11.07329193923186</v>
      </c>
      <c r="W32" s="29">
        <v>1.1079194606156164</v>
      </c>
      <c r="X32" s="29">
        <v>14.275003045751255</v>
      </c>
      <c r="Y32" s="29">
        <v>4.7222352457877674</v>
      </c>
    </row>
    <row r="33" spans="2:25">
      <c r="B33">
        <v>26</v>
      </c>
      <c r="C33" t="s">
        <v>23</v>
      </c>
      <c r="D33" t="s">
        <v>49</v>
      </c>
      <c r="F33" t="s">
        <v>204</v>
      </c>
      <c r="G33" t="s">
        <v>196</v>
      </c>
      <c r="H33" t="s">
        <v>197</v>
      </c>
      <c r="J33" t="s">
        <v>198</v>
      </c>
      <c r="K33" t="s">
        <v>201</v>
      </c>
      <c r="L33" t="s">
        <v>78</v>
      </c>
      <c r="M33" s="29">
        <v>19.561315927881886</v>
      </c>
      <c r="N33" s="29">
        <v>1.9571743173289751</v>
      </c>
      <c r="O33" s="29">
        <f>Table2[[#This Row],[Hot water demand (MWh)]]+Table2[[#This Row],[Space heating demand (MWh)]]</f>
        <v>21.51849024521086</v>
      </c>
      <c r="P33" s="35">
        <v>4.7222352457877683</v>
      </c>
      <c r="Q33" s="35">
        <v>30.027555826565823</v>
      </c>
      <c r="R33" t="s">
        <v>199</v>
      </c>
      <c r="S33" s="17">
        <v>1878.6626787706587</v>
      </c>
      <c r="T33" s="29">
        <v>31.178449691386497</v>
      </c>
      <c r="U33" s="17">
        <v>287.33932584269661</v>
      </c>
      <c r="V33" s="29">
        <v>11.07329193923186</v>
      </c>
      <c r="W33" s="29">
        <v>1.1079194606156164</v>
      </c>
      <c r="X33" s="29">
        <v>14.275003045751255</v>
      </c>
      <c r="Y33" s="29">
        <v>4.7222352457877674</v>
      </c>
    </row>
    <row r="34" spans="2:25">
      <c r="B34" s="3">
        <v>27</v>
      </c>
      <c r="C34" t="s">
        <v>23</v>
      </c>
      <c r="D34" t="s">
        <v>49</v>
      </c>
      <c r="F34" t="s">
        <v>204</v>
      </c>
      <c r="G34" t="s">
        <v>200</v>
      </c>
      <c r="H34" t="s">
        <v>197</v>
      </c>
      <c r="J34" t="s">
        <v>201</v>
      </c>
      <c r="K34" t="s">
        <v>201</v>
      </c>
      <c r="L34" t="s">
        <v>78</v>
      </c>
      <c r="M34" s="29">
        <v>23.689348986015325</v>
      </c>
      <c r="N34" s="29">
        <v>0.93063951077299201</v>
      </c>
      <c r="O34" s="29">
        <f>Table2[[#This Row],[Hot water demand (MWh)]]+Table2[[#This Row],[Space heating demand (MWh)]]</f>
        <v>24.619988496788316</v>
      </c>
      <c r="P34" s="34">
        <v>2.7112963360272873</v>
      </c>
      <c r="Q34" s="34">
        <v>0</v>
      </c>
      <c r="R34" t="s">
        <v>199</v>
      </c>
      <c r="S34" s="17">
        <v>7052.3730446885056</v>
      </c>
      <c r="T34" s="29">
        <v>27.052608946666162</v>
      </c>
      <c r="U34" s="17">
        <v>174.04190362167017</v>
      </c>
      <c r="V34" s="29">
        <v>23.421207093022872</v>
      </c>
      <c r="W34" s="29">
        <v>0.92010551761600168</v>
      </c>
      <c r="X34" s="29">
        <v>0</v>
      </c>
      <c r="Y34" s="29">
        <v>2.7112963360272873</v>
      </c>
    </row>
    <row r="35" spans="2:25">
      <c r="B35" s="3">
        <v>28</v>
      </c>
      <c r="C35" t="s">
        <v>23</v>
      </c>
      <c r="D35" t="s">
        <v>49</v>
      </c>
      <c r="F35" t="s">
        <v>204</v>
      </c>
      <c r="G35" t="s">
        <v>200</v>
      </c>
      <c r="H35" t="s">
        <v>197</v>
      </c>
      <c r="J35" t="s">
        <v>198</v>
      </c>
      <c r="K35" t="s">
        <v>198</v>
      </c>
      <c r="L35" t="s">
        <v>77</v>
      </c>
      <c r="M35" s="29">
        <v>10.526176566195176</v>
      </c>
      <c r="N35" s="29">
        <v>1.2147544634985585</v>
      </c>
      <c r="O35" s="29">
        <f>Table2[[#This Row],[Hot water demand (MWh)]]+Table2[[#This Row],[Space heating demand (MWh)]]</f>
        <v>11.740931029693733</v>
      </c>
      <c r="P35" s="35">
        <v>2.8378541906729691</v>
      </c>
      <c r="Q35" s="35">
        <v>0</v>
      </c>
      <c r="R35" t="s">
        <v>199</v>
      </c>
      <c r="S35" s="17">
        <v>1051.2067573345932</v>
      </c>
      <c r="T35" s="29">
        <v>14.007752293074958</v>
      </c>
      <c r="U35" s="17">
        <v>169.84738955823292</v>
      </c>
      <c r="V35" s="29">
        <v>10.014224541046367</v>
      </c>
      <c r="W35" s="29">
        <v>1.1556735613556226</v>
      </c>
      <c r="X35" s="29">
        <v>0</v>
      </c>
      <c r="Y35" s="29">
        <v>2.8378541906729691</v>
      </c>
    </row>
    <row r="36" spans="2:25">
      <c r="B36">
        <v>29</v>
      </c>
      <c r="C36" t="s">
        <v>23</v>
      </c>
      <c r="D36" t="s">
        <v>49</v>
      </c>
      <c r="F36" t="s">
        <v>204</v>
      </c>
      <c r="G36" t="s">
        <v>200</v>
      </c>
      <c r="H36" t="s">
        <v>197</v>
      </c>
      <c r="J36" t="s">
        <v>198</v>
      </c>
      <c r="K36" t="s">
        <v>198</v>
      </c>
      <c r="L36" t="s">
        <v>78</v>
      </c>
      <c r="M36" s="29">
        <v>10.526176566195176</v>
      </c>
      <c r="N36" s="29">
        <v>1.2147544634985585</v>
      </c>
      <c r="O36" s="29">
        <f>Table2[[#This Row],[Hot water demand (MWh)]]+Table2[[#This Row],[Space heating demand (MWh)]]</f>
        <v>11.740931029693733</v>
      </c>
      <c r="P36" s="34">
        <v>2.8378541906729691</v>
      </c>
      <c r="Q36" s="34">
        <v>0</v>
      </c>
      <c r="R36" t="s">
        <v>199</v>
      </c>
      <c r="S36" s="17">
        <v>1051.2067573345932</v>
      </c>
      <c r="T36" s="29">
        <v>14.007752293074958</v>
      </c>
      <c r="U36" s="17">
        <v>169.84738955823292</v>
      </c>
      <c r="V36" s="29">
        <v>10.014224541046367</v>
      </c>
      <c r="W36" s="29">
        <v>1.1556735613556226</v>
      </c>
      <c r="X36" s="29">
        <v>0</v>
      </c>
      <c r="Y36" s="29">
        <v>2.8378541906729691</v>
      </c>
    </row>
    <row r="37" spans="2:25">
      <c r="B37" s="3">
        <v>30</v>
      </c>
      <c r="C37" t="s">
        <v>23</v>
      </c>
      <c r="D37" t="s">
        <v>49</v>
      </c>
      <c r="F37" t="s">
        <v>204</v>
      </c>
      <c r="G37" t="s">
        <v>200</v>
      </c>
      <c r="H37" t="s">
        <v>197</v>
      </c>
      <c r="J37" t="s">
        <v>201</v>
      </c>
      <c r="K37" t="s">
        <v>201</v>
      </c>
      <c r="L37" t="s">
        <v>77</v>
      </c>
      <c r="M37" s="29">
        <v>23.689348986015325</v>
      </c>
      <c r="N37" s="29">
        <v>0.93063951077299201</v>
      </c>
      <c r="O37" s="29">
        <f>Table2[[#This Row],[Hot water demand (MWh)]]+Table2[[#This Row],[Space heating demand (MWh)]]</f>
        <v>24.619988496788316</v>
      </c>
      <c r="P37" s="35">
        <v>2.7112963360272873</v>
      </c>
      <c r="Q37" s="35">
        <v>0</v>
      </c>
      <c r="R37" t="s">
        <v>199</v>
      </c>
      <c r="S37" s="17">
        <v>7052.3730446885056</v>
      </c>
      <c r="T37" s="29">
        <v>27.052608946666162</v>
      </c>
      <c r="U37" s="17">
        <v>174.04190362167017</v>
      </c>
      <c r="V37" s="29">
        <v>23.421207093022872</v>
      </c>
      <c r="W37" s="29">
        <v>0.92010551761600168</v>
      </c>
      <c r="X37" s="29">
        <v>0</v>
      </c>
      <c r="Y37" s="29">
        <v>2.7112963360272873</v>
      </c>
    </row>
    <row r="38" spans="2:25">
      <c r="B38" s="3">
        <v>31</v>
      </c>
      <c r="C38" t="s">
        <v>23</v>
      </c>
      <c r="D38" t="s">
        <v>49</v>
      </c>
      <c r="F38" t="s">
        <v>204</v>
      </c>
      <c r="G38" t="s">
        <v>200</v>
      </c>
      <c r="H38" t="s">
        <v>197</v>
      </c>
      <c r="J38" t="s">
        <v>198</v>
      </c>
      <c r="K38" t="s">
        <v>201</v>
      </c>
      <c r="L38" t="s">
        <v>77</v>
      </c>
      <c r="M38" s="29">
        <v>13.223816071288935</v>
      </c>
      <c r="N38" s="29">
        <v>0.60993116089101451</v>
      </c>
      <c r="O38" s="29">
        <f>Table2[[#This Row],[Hot water demand (MWh)]]+Table2[[#This Row],[Space heating demand (MWh)]]</f>
        <v>13.833747232179949</v>
      </c>
      <c r="P38" s="34">
        <v>2.7743209402954321</v>
      </c>
      <c r="Q38" s="34">
        <v>0</v>
      </c>
      <c r="R38" t="s">
        <v>199</v>
      </c>
      <c r="S38" s="17">
        <v>2258.6169284096682</v>
      </c>
      <c r="T38" s="29">
        <v>16.884079830982607</v>
      </c>
      <c r="U38" s="17">
        <v>169.63084112149534</v>
      </c>
      <c r="V38" s="29">
        <v>13.487658350923807</v>
      </c>
      <c r="W38" s="29">
        <v>0.62210053976336777</v>
      </c>
      <c r="X38" s="29">
        <v>0</v>
      </c>
      <c r="Y38" s="29">
        <v>2.7743209402954325</v>
      </c>
    </row>
    <row r="39" spans="2:25">
      <c r="B39">
        <v>32</v>
      </c>
      <c r="C39" t="s">
        <v>23</v>
      </c>
      <c r="D39" t="s">
        <v>49</v>
      </c>
      <c r="F39" t="s">
        <v>204</v>
      </c>
      <c r="G39" t="s">
        <v>200</v>
      </c>
      <c r="H39" t="s">
        <v>197</v>
      </c>
      <c r="J39" t="s">
        <v>198</v>
      </c>
      <c r="K39" t="s">
        <v>201</v>
      </c>
      <c r="L39" t="s">
        <v>78</v>
      </c>
      <c r="M39" s="29">
        <v>13.223816071288935</v>
      </c>
      <c r="N39" s="29">
        <v>0.60993116089101451</v>
      </c>
      <c r="O39" s="29">
        <f>Table2[[#This Row],[Hot water demand (MWh)]]+Table2[[#This Row],[Space heating demand (MWh)]]</f>
        <v>13.833747232179949</v>
      </c>
      <c r="P39" s="35">
        <v>2.7743209402954321</v>
      </c>
      <c r="Q39" s="35">
        <v>0</v>
      </c>
      <c r="R39" t="s">
        <v>199</v>
      </c>
      <c r="S39" s="17">
        <v>2258.6169284096682</v>
      </c>
      <c r="T39" s="29">
        <v>16.884079830982607</v>
      </c>
      <c r="U39" s="17">
        <v>169.63084112149534</v>
      </c>
      <c r="V39" s="29">
        <v>13.487658350923807</v>
      </c>
      <c r="W39" s="29">
        <v>0.62210053976336777</v>
      </c>
      <c r="X39" s="29">
        <v>0</v>
      </c>
      <c r="Y39" s="29">
        <v>2.7743209402954325</v>
      </c>
    </row>
    <row r="40" spans="2:25">
      <c r="B40" s="3">
        <v>33</v>
      </c>
      <c r="C40" t="s">
        <v>23</v>
      </c>
      <c r="D40" t="s">
        <v>49</v>
      </c>
      <c r="F40" t="s">
        <v>204</v>
      </c>
      <c r="G40" t="s">
        <v>200</v>
      </c>
      <c r="H40" t="s">
        <v>197</v>
      </c>
      <c r="J40" t="s">
        <v>201</v>
      </c>
      <c r="K40" t="s">
        <v>201</v>
      </c>
      <c r="L40" t="s">
        <v>77</v>
      </c>
      <c r="M40" s="29">
        <v>23.689348986015325</v>
      </c>
      <c r="N40" s="29">
        <v>0.93063951077299201</v>
      </c>
      <c r="O40" s="29">
        <f>Table2[[#This Row],[Hot water demand (MWh)]]+Table2[[#This Row],[Space heating demand (MWh)]]</f>
        <v>24.619988496788316</v>
      </c>
      <c r="P40" s="34">
        <v>2.7112963360272873</v>
      </c>
      <c r="Q40" s="34">
        <v>0</v>
      </c>
      <c r="R40" t="s">
        <v>199</v>
      </c>
      <c r="S40" s="17">
        <v>7052.3730446885056</v>
      </c>
      <c r="T40" s="29">
        <v>27.052608946666162</v>
      </c>
      <c r="U40" s="17">
        <v>174.04190362167017</v>
      </c>
      <c r="V40" s="29">
        <v>23.421207093022872</v>
      </c>
      <c r="W40" s="29">
        <v>0.92010551761600168</v>
      </c>
      <c r="X40" s="29">
        <v>0</v>
      </c>
      <c r="Y40" s="29">
        <v>2.7112963360272873</v>
      </c>
    </row>
    <row r="41" spans="2:25">
      <c r="B41" s="3">
        <v>34</v>
      </c>
      <c r="C41" t="s">
        <v>23</v>
      </c>
      <c r="D41" t="s">
        <v>49</v>
      </c>
      <c r="F41" t="s">
        <v>204</v>
      </c>
      <c r="G41" t="s">
        <v>200</v>
      </c>
      <c r="H41" t="s">
        <v>202</v>
      </c>
      <c r="J41" t="s">
        <v>198</v>
      </c>
      <c r="K41" t="s">
        <v>198</v>
      </c>
      <c r="L41" t="s">
        <v>77</v>
      </c>
      <c r="M41" s="29">
        <v>13.287292754881523</v>
      </c>
      <c r="N41" s="29">
        <v>1.2541000082668023</v>
      </c>
      <c r="O41" s="29">
        <f>Table2[[#This Row],[Hot water demand (MWh)]]+Table2[[#This Row],[Space heating demand (MWh)]]</f>
        <v>14.541392763148325</v>
      </c>
      <c r="P41" s="35">
        <v>3.0248868109463753</v>
      </c>
      <c r="Q41" s="35">
        <v>0</v>
      </c>
      <c r="R41" t="s">
        <v>199</v>
      </c>
      <c r="S41" s="17">
        <v>434.83653014242213</v>
      </c>
      <c r="T41" s="29">
        <v>20.582029104662055</v>
      </c>
      <c r="U41" s="17">
        <v>219.54854368932038</v>
      </c>
      <c r="V41" s="29">
        <v>16.042953614933094</v>
      </c>
      <c r="W41" s="29">
        <v>1.5141886787825891</v>
      </c>
      <c r="X41" s="29">
        <v>0</v>
      </c>
      <c r="Y41" s="29">
        <v>3.0248868109463749</v>
      </c>
    </row>
    <row r="42" spans="2:25">
      <c r="B42">
        <v>35</v>
      </c>
      <c r="C42" t="s">
        <v>23</v>
      </c>
      <c r="D42" t="s">
        <v>49</v>
      </c>
      <c r="F42" t="s">
        <v>204</v>
      </c>
      <c r="G42" t="s">
        <v>200</v>
      </c>
      <c r="H42" t="s">
        <v>202</v>
      </c>
      <c r="J42" t="s">
        <v>198</v>
      </c>
      <c r="K42" t="s">
        <v>201</v>
      </c>
      <c r="L42" t="s">
        <v>77</v>
      </c>
      <c r="M42" s="29">
        <v>24.152776781165368</v>
      </c>
      <c r="N42" s="29">
        <v>1.1206160998788433</v>
      </c>
      <c r="O42" s="29">
        <f>Table2[[#This Row],[Hot water demand (MWh)]]+Table2[[#This Row],[Space heating demand (MWh)]]</f>
        <v>25.273392881044213</v>
      </c>
      <c r="P42" s="34">
        <v>3.6761967161478415</v>
      </c>
      <c r="Q42" s="34">
        <v>0</v>
      </c>
      <c r="R42" t="s">
        <v>199</v>
      </c>
      <c r="S42" s="17">
        <v>916.1119130185009</v>
      </c>
      <c r="T42" s="29">
        <v>35.183083046646111</v>
      </c>
      <c r="U42" s="17">
        <v>280.94009216589859</v>
      </c>
      <c r="V42" s="29">
        <v>30.109878645570834</v>
      </c>
      <c r="W42" s="29">
        <v>1.3970076849274318</v>
      </c>
      <c r="X42" s="29">
        <v>0</v>
      </c>
      <c r="Y42" s="29">
        <v>3.6761967161478406</v>
      </c>
    </row>
    <row r="43" spans="2:25">
      <c r="B43" s="3">
        <v>36</v>
      </c>
      <c r="C43" t="s">
        <v>23</v>
      </c>
      <c r="D43" t="s">
        <v>49</v>
      </c>
      <c r="F43" t="s">
        <v>204</v>
      </c>
      <c r="G43" t="s">
        <v>200</v>
      </c>
      <c r="H43" t="s">
        <v>203</v>
      </c>
      <c r="J43" t="s">
        <v>198</v>
      </c>
      <c r="K43" t="s">
        <v>201</v>
      </c>
      <c r="L43" t="s">
        <v>77</v>
      </c>
      <c r="M43" s="29">
        <v>59.339454137785779</v>
      </c>
      <c r="N43" s="29">
        <v>1.4122884145046597</v>
      </c>
      <c r="O43" s="29">
        <f>Table2[[#This Row],[Hot water demand (MWh)]]+Table2[[#This Row],[Space heating demand (MWh)]]</f>
        <v>60.751742552290438</v>
      </c>
      <c r="P43" s="35">
        <v>3.2301173912103209</v>
      </c>
      <c r="Q43" s="35">
        <v>0</v>
      </c>
      <c r="R43" t="s">
        <v>199</v>
      </c>
      <c r="S43" s="17">
        <v>230.0834067258447</v>
      </c>
      <c r="T43" s="29">
        <v>92.919725927937336</v>
      </c>
      <c r="U43" s="17">
        <v>266.72477064220186</v>
      </c>
      <c r="V43" s="29">
        <v>87.60460505013809</v>
      </c>
      <c r="W43" s="29">
        <v>2.0850034865889162</v>
      </c>
      <c r="X43" s="29">
        <v>0</v>
      </c>
      <c r="Y43" s="29">
        <v>3.2301173912103214</v>
      </c>
    </row>
    <row r="44" spans="2:25">
      <c r="B44" s="3">
        <v>37</v>
      </c>
      <c r="C44" t="s">
        <v>23</v>
      </c>
      <c r="D44" t="s">
        <v>49</v>
      </c>
      <c r="F44" t="s">
        <v>204</v>
      </c>
      <c r="G44" t="s">
        <v>200</v>
      </c>
      <c r="H44" t="s">
        <v>203</v>
      </c>
      <c r="J44" t="s">
        <v>198</v>
      </c>
      <c r="K44" t="s">
        <v>201</v>
      </c>
      <c r="L44" t="s">
        <v>77</v>
      </c>
      <c r="M44" s="29">
        <v>59.339454137785779</v>
      </c>
      <c r="N44" s="29">
        <v>1.4122884145046597</v>
      </c>
      <c r="O44" s="29">
        <f>Table2[[#This Row],[Hot water demand (MWh)]]+Table2[[#This Row],[Space heating demand (MWh)]]</f>
        <v>60.751742552290438</v>
      </c>
      <c r="P44" s="34">
        <v>3.2301173912103209</v>
      </c>
      <c r="Q44" s="34">
        <v>0</v>
      </c>
      <c r="R44" t="s">
        <v>199</v>
      </c>
      <c r="S44" s="17">
        <v>230.0834067258447</v>
      </c>
      <c r="T44" s="29">
        <v>92.919725927937336</v>
      </c>
      <c r="U44" s="17">
        <v>266.72477064220186</v>
      </c>
      <c r="V44" s="29">
        <v>87.60460505013809</v>
      </c>
      <c r="W44" s="29">
        <v>2.0850034865889162</v>
      </c>
      <c r="X44" s="29">
        <v>0</v>
      </c>
      <c r="Y44" s="29">
        <v>3.2301173912103214</v>
      </c>
    </row>
    <row r="45" spans="2:25">
      <c r="B45">
        <v>38</v>
      </c>
      <c r="C45" t="s">
        <v>23</v>
      </c>
      <c r="D45" t="s">
        <v>49</v>
      </c>
      <c r="F45" t="s">
        <v>204</v>
      </c>
      <c r="G45" t="s">
        <v>200</v>
      </c>
      <c r="H45" t="s">
        <v>203</v>
      </c>
      <c r="J45" t="s">
        <v>198</v>
      </c>
      <c r="K45" t="s">
        <v>198</v>
      </c>
      <c r="L45" t="s">
        <v>77</v>
      </c>
      <c r="M45" s="29">
        <v>22.20517139115989</v>
      </c>
      <c r="N45" s="29">
        <v>1.3570434811173995</v>
      </c>
      <c r="O45" s="29">
        <f>Table2[[#This Row],[Hot water demand (MWh)]]+Table2[[#This Row],[Space heating demand (MWh)]]</f>
        <v>23.562214872277291</v>
      </c>
      <c r="P45" s="35">
        <v>4.1179087933418392</v>
      </c>
      <c r="Q45" s="35">
        <v>0</v>
      </c>
      <c r="R45" t="s">
        <v>199</v>
      </c>
      <c r="S45" s="17">
        <v>99.210276294630276</v>
      </c>
      <c r="T45" s="29">
        <v>31.678889242236448</v>
      </c>
      <c r="U45" s="17">
        <v>287.97872340425533</v>
      </c>
      <c r="V45" s="29">
        <v>25.973631846307079</v>
      </c>
      <c r="W45" s="29">
        <v>1.5873486025875319</v>
      </c>
      <c r="X45" s="29">
        <v>0</v>
      </c>
      <c r="Y45" s="29">
        <v>4.1179087933418392</v>
      </c>
    </row>
    <row r="46" spans="2:25">
      <c r="B46" s="3">
        <v>39</v>
      </c>
      <c r="C46" t="s">
        <v>23</v>
      </c>
      <c r="D46" t="s">
        <v>49</v>
      </c>
      <c r="F46" t="s">
        <v>204</v>
      </c>
      <c r="G46" t="s">
        <v>200</v>
      </c>
      <c r="H46" t="s">
        <v>203</v>
      </c>
      <c r="J46" t="s">
        <v>198</v>
      </c>
      <c r="K46" t="s">
        <v>198</v>
      </c>
      <c r="L46" t="s">
        <v>77</v>
      </c>
      <c r="M46" s="29">
        <v>22.20517139115989</v>
      </c>
      <c r="N46" s="29">
        <v>1.3570434811173995</v>
      </c>
      <c r="O46" s="29">
        <f>Table2[[#This Row],[Hot water demand (MWh)]]+Table2[[#This Row],[Space heating demand (MWh)]]</f>
        <v>23.562214872277291</v>
      </c>
      <c r="P46" s="34">
        <v>4.1179087933418392</v>
      </c>
      <c r="Q46" s="34">
        <v>0</v>
      </c>
      <c r="R46" t="s">
        <v>199</v>
      </c>
      <c r="S46" s="17">
        <v>99.210276294630276</v>
      </c>
      <c r="T46" s="29">
        <v>31.678889242236448</v>
      </c>
      <c r="U46" s="17">
        <v>287.97872340425533</v>
      </c>
      <c r="V46" s="29">
        <v>25.973631846307079</v>
      </c>
      <c r="W46" s="29">
        <v>1.5873486025875319</v>
      </c>
      <c r="X46" s="29">
        <v>0</v>
      </c>
      <c r="Y46" s="29">
        <v>4.1179087933418392</v>
      </c>
    </row>
    <row r="47" spans="2:25">
      <c r="B47" s="3">
        <v>40</v>
      </c>
      <c r="C47" t="s">
        <v>23</v>
      </c>
      <c r="D47" t="s">
        <v>51</v>
      </c>
      <c r="F47" t="s">
        <v>204</v>
      </c>
      <c r="G47" t="s">
        <v>196</v>
      </c>
      <c r="H47" t="s">
        <v>197</v>
      </c>
      <c r="J47" t="s">
        <v>198</v>
      </c>
      <c r="K47" t="s">
        <v>198</v>
      </c>
      <c r="L47" t="s">
        <v>77</v>
      </c>
      <c r="M47" s="29">
        <v>14.127562046883861</v>
      </c>
      <c r="N47" s="29">
        <v>23.618359209201607</v>
      </c>
      <c r="O47" s="29">
        <f>Table2[[#This Row],[Hot water demand (MWh)]]+Table2[[#This Row],[Space heating demand (MWh)]]</f>
        <v>37.745921256085467</v>
      </c>
      <c r="P47" s="35">
        <v>7.4712872346880879</v>
      </c>
      <c r="Q47" s="35">
        <v>34.01727767740514</v>
      </c>
      <c r="R47" t="s">
        <v>199</v>
      </c>
      <c r="S47" s="17">
        <v>347.9962198631398</v>
      </c>
      <c r="T47" s="29">
        <v>42.160865094449299</v>
      </c>
      <c r="U47" s="17">
        <v>237.0650406504065</v>
      </c>
      <c r="V47" s="29">
        <v>7.1927964383861536</v>
      </c>
      <c r="W47" s="29">
        <v>12.024866671029152</v>
      </c>
      <c r="X47" s="29">
        <v>15.471914750345912</v>
      </c>
      <c r="Y47" s="29">
        <v>7.4712872346880879</v>
      </c>
    </row>
    <row r="48" spans="2:25">
      <c r="B48">
        <v>41</v>
      </c>
      <c r="C48" t="s">
        <v>23</v>
      </c>
      <c r="D48" t="s">
        <v>51</v>
      </c>
      <c r="F48" t="s">
        <v>204</v>
      </c>
      <c r="G48" t="s">
        <v>196</v>
      </c>
      <c r="H48" t="s">
        <v>197</v>
      </c>
      <c r="J48" t="s">
        <v>198</v>
      </c>
      <c r="K48" t="s">
        <v>198</v>
      </c>
      <c r="L48" t="s">
        <v>78</v>
      </c>
      <c r="M48" s="29">
        <v>14.127562046883861</v>
      </c>
      <c r="N48" s="29">
        <v>23.618359209201607</v>
      </c>
      <c r="O48" s="29">
        <f>Table2[[#This Row],[Hot water demand (MWh)]]+Table2[[#This Row],[Space heating demand (MWh)]]</f>
        <v>37.745921256085467</v>
      </c>
      <c r="P48" s="34">
        <v>7.4712872346880879</v>
      </c>
      <c r="Q48" s="34">
        <v>34.01727767740514</v>
      </c>
      <c r="R48" t="s">
        <v>199</v>
      </c>
      <c r="S48" s="17">
        <v>347.9962198631398</v>
      </c>
      <c r="T48" s="29">
        <v>42.160865094449299</v>
      </c>
      <c r="U48" s="17">
        <v>237.0650406504065</v>
      </c>
      <c r="V48" s="29">
        <v>7.1927964383861536</v>
      </c>
      <c r="W48" s="29">
        <v>12.024866671029152</v>
      </c>
      <c r="X48" s="29">
        <v>15.471914750345912</v>
      </c>
      <c r="Y48" s="29">
        <v>7.4712872346880879</v>
      </c>
    </row>
    <row r="49" spans="2:25">
      <c r="B49" s="3">
        <v>42</v>
      </c>
      <c r="C49" t="s">
        <v>23</v>
      </c>
      <c r="D49" t="s">
        <v>51</v>
      </c>
      <c r="F49" t="s">
        <v>204</v>
      </c>
      <c r="G49" t="s">
        <v>196</v>
      </c>
      <c r="H49" t="s">
        <v>197</v>
      </c>
      <c r="J49" t="s">
        <v>198</v>
      </c>
      <c r="K49" t="s">
        <v>201</v>
      </c>
      <c r="L49" t="s">
        <v>77</v>
      </c>
      <c r="M49" s="29">
        <v>17.179262749723716</v>
      </c>
      <c r="N49" s="29">
        <v>20.356034207976087</v>
      </c>
      <c r="O49" s="29">
        <f>Table2[[#This Row],[Hot water demand (MWh)]]+Table2[[#This Row],[Space heating demand (MWh)]]</f>
        <v>37.535296957699799</v>
      </c>
      <c r="P49" s="35">
        <v>8.7736040468038432</v>
      </c>
      <c r="Q49" s="35">
        <v>41.927095178552243</v>
      </c>
      <c r="R49" t="s">
        <v>199</v>
      </c>
      <c r="S49" s="17">
        <v>727.1140528847717</v>
      </c>
      <c r="T49" s="29">
        <v>52.472940430559518</v>
      </c>
      <c r="U49" s="17">
        <v>234.99221789883268</v>
      </c>
      <c r="V49" s="29">
        <v>10.433776682401277</v>
      </c>
      <c r="W49" s="29">
        <v>12.363179850006041</v>
      </c>
      <c r="X49" s="29">
        <v>20.902379851348357</v>
      </c>
      <c r="Y49" s="29">
        <v>8.7736040468038432</v>
      </c>
    </row>
    <row r="50" spans="2:25">
      <c r="B50" s="3">
        <v>43</v>
      </c>
      <c r="C50" t="s">
        <v>23</v>
      </c>
      <c r="D50" t="s">
        <v>51</v>
      </c>
      <c r="F50" t="s">
        <v>204</v>
      </c>
      <c r="G50" t="s">
        <v>196</v>
      </c>
      <c r="H50" t="s">
        <v>197</v>
      </c>
      <c r="J50" t="s">
        <v>198</v>
      </c>
      <c r="K50" t="s">
        <v>201</v>
      </c>
      <c r="L50" t="s">
        <v>78</v>
      </c>
      <c r="M50" s="29">
        <v>17.179262749723716</v>
      </c>
      <c r="N50" s="29">
        <v>20.356034207976087</v>
      </c>
      <c r="O50" s="29">
        <f>Table2[[#This Row],[Hot water demand (MWh)]]+Table2[[#This Row],[Space heating demand (MWh)]]</f>
        <v>37.535296957699799</v>
      </c>
      <c r="P50" s="34">
        <v>8.7736040468038432</v>
      </c>
      <c r="Q50" s="34">
        <v>41.927095178552243</v>
      </c>
      <c r="R50" t="s">
        <v>199</v>
      </c>
      <c r="S50" s="17">
        <v>727.1140528847717</v>
      </c>
      <c r="T50" s="29">
        <v>52.472940430559518</v>
      </c>
      <c r="U50" s="17">
        <v>234.99221789883268</v>
      </c>
      <c r="V50" s="29">
        <v>10.433776682401277</v>
      </c>
      <c r="W50" s="29">
        <v>12.363179850006041</v>
      </c>
      <c r="X50" s="29">
        <v>20.902379851348357</v>
      </c>
      <c r="Y50" s="29">
        <v>8.7736040468038432</v>
      </c>
    </row>
    <row r="51" spans="2:25">
      <c r="B51">
        <v>44</v>
      </c>
      <c r="C51" t="s">
        <v>23</v>
      </c>
      <c r="D51" t="s">
        <v>51</v>
      </c>
      <c r="F51" t="s">
        <v>204</v>
      </c>
      <c r="G51" t="s">
        <v>196</v>
      </c>
      <c r="H51" t="s">
        <v>197</v>
      </c>
      <c r="J51" t="s">
        <v>201</v>
      </c>
      <c r="K51" t="s">
        <v>201</v>
      </c>
      <c r="L51" t="s">
        <v>78</v>
      </c>
      <c r="M51" s="29">
        <v>30.398330625164242</v>
      </c>
      <c r="N51" s="29">
        <v>24.251750302994783</v>
      </c>
      <c r="O51" s="29">
        <f>Table2[[#This Row],[Hot water demand (MWh)]]+Table2[[#This Row],[Space heating demand (MWh)]]</f>
        <v>54.650080928159028</v>
      </c>
      <c r="P51" s="35">
        <v>9.811193868425347</v>
      </c>
      <c r="Q51" s="35">
        <v>33.208584677714406</v>
      </c>
      <c r="R51" t="s">
        <v>199</v>
      </c>
      <c r="S51" s="17">
        <v>2359.5841249256796</v>
      </c>
      <c r="T51" s="29">
        <v>59.187434507417308</v>
      </c>
      <c r="U51" s="17">
        <v>278.92326139088726</v>
      </c>
      <c r="V51" s="29">
        <v>18.241911979658678</v>
      </c>
      <c r="W51" s="29">
        <v>14.553374651885219</v>
      </c>
      <c r="X51" s="29">
        <v>16.58095400744806</v>
      </c>
      <c r="Y51" s="29">
        <v>9.811193868425347</v>
      </c>
    </row>
    <row r="52" spans="2:25">
      <c r="B52" s="3">
        <v>45</v>
      </c>
      <c r="C52" t="s">
        <v>23</v>
      </c>
      <c r="D52" t="s">
        <v>51</v>
      </c>
      <c r="F52" t="s">
        <v>204</v>
      </c>
      <c r="G52" t="s">
        <v>205</v>
      </c>
      <c r="H52" t="s">
        <v>197</v>
      </c>
      <c r="J52" t="s">
        <v>201</v>
      </c>
      <c r="K52" t="s">
        <v>201</v>
      </c>
      <c r="L52" t="s">
        <v>78</v>
      </c>
      <c r="M52" s="29">
        <v>19.269900956409685</v>
      </c>
      <c r="N52" s="29">
        <v>9.7081678365239732</v>
      </c>
      <c r="O52" s="29">
        <f>Table2[[#This Row],[Hot water demand (MWh)]]+Table2[[#This Row],[Space heating demand (MWh)]]</f>
        <v>28.978068792933659</v>
      </c>
      <c r="P52" s="34">
        <v>8.2538919256396266</v>
      </c>
      <c r="Q52" s="34">
        <v>0</v>
      </c>
      <c r="R52" t="s">
        <v>199</v>
      </c>
      <c r="S52" s="17">
        <v>480.97038517669722</v>
      </c>
      <c r="T52" s="29">
        <v>33.553703567655553</v>
      </c>
      <c r="U52" s="17">
        <v>168.93529411764706</v>
      </c>
      <c r="V52" s="29">
        <v>16.823925294716364</v>
      </c>
      <c r="W52" s="29">
        <v>8.4758863472995554</v>
      </c>
      <c r="X52" s="29">
        <v>0</v>
      </c>
      <c r="Y52" s="29">
        <v>8.2538919256396266</v>
      </c>
    </row>
    <row r="53" spans="2:25">
      <c r="B53" s="3">
        <v>46</v>
      </c>
      <c r="C53" t="s">
        <v>23</v>
      </c>
      <c r="D53" t="s">
        <v>51</v>
      </c>
      <c r="F53" t="s">
        <v>204</v>
      </c>
      <c r="G53" t="s">
        <v>205</v>
      </c>
      <c r="H53" t="s">
        <v>197</v>
      </c>
      <c r="J53" t="s">
        <v>201</v>
      </c>
      <c r="K53" t="s">
        <v>201</v>
      </c>
      <c r="L53" t="s">
        <v>77</v>
      </c>
      <c r="M53" s="29">
        <v>19.269900956409685</v>
      </c>
      <c r="N53" s="29">
        <v>9.7081678365239732</v>
      </c>
      <c r="O53" s="29">
        <f>Table2[[#This Row],[Hot water demand (MWh)]]+Table2[[#This Row],[Space heating demand (MWh)]]</f>
        <v>28.978068792933659</v>
      </c>
      <c r="P53" s="35">
        <v>8.2538919256396266</v>
      </c>
      <c r="Q53" s="35">
        <v>0</v>
      </c>
      <c r="R53" t="s">
        <v>199</v>
      </c>
      <c r="S53" s="17">
        <v>480.97038517669722</v>
      </c>
      <c r="T53" s="29">
        <v>33.553703567655553</v>
      </c>
      <c r="U53" s="17">
        <v>168.93529411764706</v>
      </c>
      <c r="V53" s="29">
        <v>16.823925294716364</v>
      </c>
      <c r="W53" s="29">
        <v>8.4758863472995554</v>
      </c>
      <c r="X53" s="29">
        <v>0</v>
      </c>
      <c r="Y53" s="29">
        <v>8.2538919256396266</v>
      </c>
    </row>
    <row r="54" spans="2:25">
      <c r="B54">
        <v>47</v>
      </c>
      <c r="C54" t="s">
        <v>23</v>
      </c>
      <c r="D54" t="s">
        <v>51</v>
      </c>
      <c r="F54" t="s">
        <v>204</v>
      </c>
      <c r="G54" t="s">
        <v>205</v>
      </c>
      <c r="H54" t="s">
        <v>197</v>
      </c>
      <c r="J54" t="s">
        <v>201</v>
      </c>
      <c r="K54" t="s">
        <v>198</v>
      </c>
      <c r="L54" t="s">
        <v>78</v>
      </c>
      <c r="M54" s="29">
        <v>10.800315385411427</v>
      </c>
      <c r="N54" s="29">
        <v>7.2881211692143921</v>
      </c>
      <c r="O54" s="29">
        <f>Table2[[#This Row],[Hot water demand (MWh)]]+Table2[[#This Row],[Space heating demand (MWh)]]</f>
        <v>18.088436554625819</v>
      </c>
      <c r="P54" s="34">
        <v>7.2196318589510788</v>
      </c>
      <c r="Q54" s="34">
        <v>0</v>
      </c>
      <c r="R54" t="s">
        <v>199</v>
      </c>
      <c r="S54" s="17">
        <v>62.243226316984348</v>
      </c>
      <c r="T54" s="29">
        <v>22.830648262570922</v>
      </c>
      <c r="U54" s="17">
        <v>152.40909090909091</v>
      </c>
      <c r="V54" s="29">
        <v>9.3210875432353415</v>
      </c>
      <c r="W54" s="29">
        <v>6.2899288603844985</v>
      </c>
      <c r="X54" s="29">
        <v>0</v>
      </c>
      <c r="Y54" s="29">
        <v>7.2196318589510797</v>
      </c>
    </row>
    <row r="55" spans="2:25">
      <c r="B55" s="3">
        <v>48</v>
      </c>
      <c r="C55" t="s">
        <v>23</v>
      </c>
      <c r="D55" t="s">
        <v>51</v>
      </c>
      <c r="F55" t="s">
        <v>204</v>
      </c>
      <c r="G55" t="s">
        <v>205</v>
      </c>
      <c r="H55" t="s">
        <v>197</v>
      </c>
      <c r="J55" t="s">
        <v>198</v>
      </c>
      <c r="K55" t="s">
        <v>198</v>
      </c>
      <c r="L55" t="s">
        <v>77</v>
      </c>
      <c r="M55" s="29">
        <v>5.6166055733937776</v>
      </c>
      <c r="N55" s="29">
        <v>4.7812247577639111</v>
      </c>
      <c r="O55" s="29">
        <f>Table2[[#This Row],[Hot water demand (MWh)]]+Table2[[#This Row],[Space heating demand (MWh)]]</f>
        <v>10.397830331157689</v>
      </c>
      <c r="P55" s="35">
        <v>6.3859964176792978</v>
      </c>
      <c r="Q55" s="35">
        <v>0</v>
      </c>
      <c r="R55" t="s">
        <v>199</v>
      </c>
      <c r="S55" s="17">
        <v>45.267800957806799</v>
      </c>
      <c r="T55" s="29">
        <v>15.788058654913915</v>
      </c>
      <c r="U55" s="17">
        <v>106.0625</v>
      </c>
      <c r="V55" s="29">
        <v>5.0787206062408936</v>
      </c>
      <c r="W55" s="29">
        <v>4.3233416309937249</v>
      </c>
      <c r="X55" s="29">
        <v>0</v>
      </c>
      <c r="Y55" s="29">
        <v>6.3859964176792987</v>
      </c>
    </row>
    <row r="56" spans="2:25">
      <c r="B56" s="3">
        <v>49</v>
      </c>
      <c r="C56" t="s">
        <v>23</v>
      </c>
      <c r="D56" t="s">
        <v>51</v>
      </c>
      <c r="F56" t="s">
        <v>204</v>
      </c>
      <c r="G56" t="s">
        <v>200</v>
      </c>
      <c r="H56" t="s">
        <v>197</v>
      </c>
      <c r="J56" t="s">
        <v>201</v>
      </c>
      <c r="K56" t="s">
        <v>201</v>
      </c>
      <c r="L56" t="s">
        <v>78</v>
      </c>
      <c r="M56" s="29">
        <v>17.585697814492125</v>
      </c>
      <c r="N56" s="29">
        <v>8.2208738759511828</v>
      </c>
      <c r="O56" s="29">
        <f>Table2[[#This Row],[Hot water demand (MWh)]]+Table2[[#This Row],[Space heating demand (MWh)]]</f>
        <v>25.806571690443306</v>
      </c>
      <c r="P56" s="34">
        <v>6.6137081864937874</v>
      </c>
      <c r="Q56" s="34">
        <v>0</v>
      </c>
      <c r="R56" t="s">
        <v>199</v>
      </c>
      <c r="S56" s="17">
        <v>2529.3383785174551</v>
      </c>
      <c r="T56" s="29">
        <v>32.240355519542568</v>
      </c>
      <c r="U56" s="17">
        <v>176.39149888143177</v>
      </c>
      <c r="V56" s="29">
        <v>17.463089689067289</v>
      </c>
      <c r="W56" s="29">
        <v>8.1635576439814876</v>
      </c>
      <c r="X56" s="29">
        <v>0</v>
      </c>
      <c r="Y56" s="29">
        <v>6.6137081864937874</v>
      </c>
    </row>
    <row r="57" spans="2:25">
      <c r="B57">
        <v>50</v>
      </c>
      <c r="C57" t="s">
        <v>23</v>
      </c>
      <c r="D57" t="s">
        <v>51</v>
      </c>
      <c r="F57" t="s">
        <v>204</v>
      </c>
      <c r="G57" t="s">
        <v>200</v>
      </c>
      <c r="H57" t="s">
        <v>197</v>
      </c>
      <c r="J57" t="s">
        <v>198</v>
      </c>
      <c r="K57" t="s">
        <v>201</v>
      </c>
      <c r="L57" t="s">
        <v>78</v>
      </c>
      <c r="M57" s="29">
        <v>8.7142935810754505</v>
      </c>
      <c r="N57" s="29">
        <v>7.7901398442755054</v>
      </c>
      <c r="O57" s="29">
        <f>Table2[[#This Row],[Hot water demand (MWh)]]+Table2[[#This Row],[Space heating demand (MWh)]]</f>
        <v>16.504433425350957</v>
      </c>
      <c r="P57" s="35">
        <v>6.3930455267912087</v>
      </c>
      <c r="Q57" s="35">
        <v>0</v>
      </c>
      <c r="R57" t="s">
        <v>199</v>
      </c>
      <c r="S57" s="17">
        <v>421.55639641957583</v>
      </c>
      <c r="T57" s="29">
        <v>22.460408963613666</v>
      </c>
      <c r="U57" s="17">
        <v>145.88590604026845</v>
      </c>
      <c r="V57" s="29">
        <v>8.4835218788694018</v>
      </c>
      <c r="W57" s="29">
        <v>7.5838415579530505</v>
      </c>
      <c r="X57" s="29">
        <v>0</v>
      </c>
      <c r="Y57" s="29">
        <v>6.3930455267912096</v>
      </c>
    </row>
    <row r="58" spans="2:25">
      <c r="B58" s="3">
        <v>51</v>
      </c>
      <c r="C58" t="s">
        <v>23</v>
      </c>
      <c r="D58" t="s">
        <v>51</v>
      </c>
      <c r="F58" t="s">
        <v>204</v>
      </c>
      <c r="G58" t="s">
        <v>200</v>
      </c>
      <c r="H58" t="s">
        <v>197</v>
      </c>
      <c r="J58" t="s">
        <v>198</v>
      </c>
      <c r="K58" t="s">
        <v>198</v>
      </c>
      <c r="L58" t="s">
        <v>78</v>
      </c>
      <c r="M58" s="29">
        <v>6.4546985195968718</v>
      </c>
      <c r="N58" s="29">
        <v>7.1900599739002775</v>
      </c>
      <c r="O58" s="29">
        <f>Table2[[#This Row],[Hot water demand (MWh)]]+Table2[[#This Row],[Space heating demand (MWh)]]</f>
        <v>13.64475849349715</v>
      </c>
      <c r="P58" s="34">
        <v>3.513119669380206</v>
      </c>
      <c r="Q58" s="34">
        <v>0</v>
      </c>
      <c r="R58" t="s">
        <v>199</v>
      </c>
      <c r="S58" s="17">
        <v>189.55891651081598</v>
      </c>
      <c r="T58" s="29">
        <v>14.712782951294322</v>
      </c>
      <c r="U58" s="17">
        <v>116.11940298507463</v>
      </c>
      <c r="V58" s="29">
        <v>5.2980380737560759</v>
      </c>
      <c r="W58" s="29">
        <v>5.9016252081580411</v>
      </c>
      <c r="X58" s="29">
        <v>0</v>
      </c>
      <c r="Y58" s="29">
        <v>3.513119669380206</v>
      </c>
    </row>
    <row r="59" spans="2:25">
      <c r="B59" s="3">
        <v>52</v>
      </c>
      <c r="C59" t="s">
        <v>23</v>
      </c>
      <c r="D59" t="s">
        <v>51</v>
      </c>
      <c r="F59" t="s">
        <v>204</v>
      </c>
      <c r="G59" t="s">
        <v>196</v>
      </c>
      <c r="H59" t="s">
        <v>202</v>
      </c>
      <c r="J59" t="s">
        <v>201</v>
      </c>
      <c r="K59" t="s">
        <v>201</v>
      </c>
      <c r="L59" t="s">
        <v>78</v>
      </c>
      <c r="M59" s="29">
        <v>47.163601861615575</v>
      </c>
      <c r="N59" s="29">
        <v>31.399142945345265</v>
      </c>
      <c r="O59" s="29">
        <f>Table2[[#This Row],[Hot water demand (MWh)]]+Table2[[#This Row],[Space heating demand (MWh)]]</f>
        <v>78.562744806960836</v>
      </c>
      <c r="P59" s="35">
        <v>16.252607348257008</v>
      </c>
      <c r="Q59" s="35">
        <v>52.195665670099103</v>
      </c>
      <c r="R59" t="s">
        <v>199</v>
      </c>
      <c r="S59" s="17">
        <v>1343.8878409348895</v>
      </c>
      <c r="T59" s="29">
        <v>121.10868594493775</v>
      </c>
      <c r="U59" s="17">
        <v>439.53894736842108</v>
      </c>
      <c r="V59" s="29">
        <v>47.163601861615575</v>
      </c>
      <c r="W59" s="29">
        <v>31.399142945345265</v>
      </c>
      <c r="X59" s="29">
        <v>26.293333789719913</v>
      </c>
      <c r="Y59" s="29">
        <v>16.252607348257012</v>
      </c>
    </row>
    <row r="60" spans="2:25">
      <c r="B60">
        <v>53</v>
      </c>
      <c r="C60" t="s">
        <v>23</v>
      </c>
      <c r="D60" t="s">
        <v>51</v>
      </c>
      <c r="F60" t="s">
        <v>204</v>
      </c>
      <c r="G60" t="s">
        <v>196</v>
      </c>
      <c r="H60" t="s">
        <v>202</v>
      </c>
      <c r="J60" t="s">
        <v>198</v>
      </c>
      <c r="K60" t="s">
        <v>198</v>
      </c>
      <c r="L60" t="s">
        <v>77</v>
      </c>
      <c r="M60" s="29">
        <v>23.834326139873276</v>
      </c>
      <c r="N60" s="29">
        <v>29.495563859774538</v>
      </c>
      <c r="O60" s="29">
        <f>Table2[[#This Row],[Hot water demand (MWh)]]+Table2[[#This Row],[Space heating demand (MWh)]]</f>
        <v>53.329889999647818</v>
      </c>
      <c r="P60" s="34">
        <v>20.23561137987636</v>
      </c>
      <c r="Q60" s="34">
        <v>152.04729588787109</v>
      </c>
      <c r="R60" t="s">
        <v>199</v>
      </c>
      <c r="S60" s="17">
        <v>234.82671746862277</v>
      </c>
      <c r="T60" s="29">
        <v>147.60469646288897</v>
      </c>
      <c r="U60" s="17">
        <v>485.57831325301203</v>
      </c>
      <c r="V60" s="29">
        <v>23.834326139873276</v>
      </c>
      <c r="W60" s="29">
        <v>29.495563859774538</v>
      </c>
      <c r="X60" s="29">
        <v>74.039195083364774</v>
      </c>
      <c r="Y60" s="29">
        <v>20.23561137987636</v>
      </c>
    </row>
    <row r="61" spans="2:25">
      <c r="B61" s="3">
        <v>54</v>
      </c>
      <c r="C61" t="s">
        <v>23</v>
      </c>
      <c r="D61" t="s">
        <v>51</v>
      </c>
      <c r="F61" t="s">
        <v>204</v>
      </c>
      <c r="G61" t="s">
        <v>196</v>
      </c>
      <c r="H61" t="s">
        <v>202</v>
      </c>
      <c r="J61" t="s">
        <v>201</v>
      </c>
      <c r="K61" t="s">
        <v>198</v>
      </c>
      <c r="L61" t="s">
        <v>78</v>
      </c>
      <c r="M61" s="29">
        <v>26.950690011311647</v>
      </c>
      <c r="N61" s="29">
        <v>20.980464454618549</v>
      </c>
      <c r="O61" s="29">
        <f>Table2[[#This Row],[Hot water demand (MWh)]]+Table2[[#This Row],[Space heating demand (MWh)]]</f>
        <v>47.931154465930192</v>
      </c>
      <c r="P61" s="35">
        <v>11.868411599009487</v>
      </c>
      <c r="Q61" s="35">
        <v>41.904364943015793</v>
      </c>
      <c r="R61" t="s">
        <v>199</v>
      </c>
      <c r="S61" s="17">
        <v>192.38815407067889</v>
      </c>
      <c r="T61" s="29">
        <v>80.878445958260798</v>
      </c>
      <c r="U61" s="17">
        <v>303.85294117647061</v>
      </c>
      <c r="V61" s="29">
        <v>26.950690011311647</v>
      </c>
      <c r="W61" s="29">
        <v>20.980464454618549</v>
      </c>
      <c r="X61" s="29">
        <v>21.078879893321115</v>
      </c>
      <c r="Y61" s="29">
        <v>11.868411599009489</v>
      </c>
    </row>
    <row r="62" spans="2:25">
      <c r="B62" s="3">
        <v>55</v>
      </c>
      <c r="C62" t="s">
        <v>23</v>
      </c>
      <c r="D62" t="s">
        <v>51</v>
      </c>
      <c r="F62" t="s">
        <v>204</v>
      </c>
      <c r="G62" t="s">
        <v>196</v>
      </c>
      <c r="H62" t="s">
        <v>202</v>
      </c>
      <c r="J62" t="s">
        <v>198</v>
      </c>
      <c r="K62" t="s">
        <v>198</v>
      </c>
      <c r="L62" t="s">
        <v>78</v>
      </c>
      <c r="M62" s="29">
        <v>23.834326139873276</v>
      </c>
      <c r="N62" s="29">
        <v>29.495563859774538</v>
      </c>
      <c r="O62" s="29">
        <f>Table2[[#This Row],[Hot water demand (MWh)]]+Table2[[#This Row],[Space heating demand (MWh)]]</f>
        <v>53.329889999647818</v>
      </c>
      <c r="P62" s="34">
        <v>20.23561137987636</v>
      </c>
      <c r="Q62" s="34">
        <v>152.04729588787109</v>
      </c>
      <c r="R62" t="s">
        <v>199</v>
      </c>
      <c r="S62" s="17">
        <v>234.82671746862277</v>
      </c>
      <c r="T62" s="29">
        <v>147.60469646288897</v>
      </c>
      <c r="U62" s="17">
        <v>485.57831325301203</v>
      </c>
      <c r="V62" s="29">
        <v>23.834326139873276</v>
      </c>
      <c r="W62" s="29">
        <v>29.495563859774538</v>
      </c>
      <c r="X62" s="29">
        <v>74.039195083364774</v>
      </c>
      <c r="Y62" s="29">
        <v>20.23561137987636</v>
      </c>
    </row>
    <row r="63" spans="2:25">
      <c r="B63">
        <v>56</v>
      </c>
      <c r="C63" t="s">
        <v>23</v>
      </c>
      <c r="D63" t="s">
        <v>51</v>
      </c>
      <c r="F63" t="s">
        <v>204</v>
      </c>
      <c r="G63" t="s">
        <v>196</v>
      </c>
      <c r="H63" t="s">
        <v>202</v>
      </c>
      <c r="J63" t="s">
        <v>198</v>
      </c>
      <c r="K63" t="s">
        <v>201</v>
      </c>
      <c r="L63" t="s">
        <v>77</v>
      </c>
      <c r="M63" s="29">
        <v>30.064299685686851</v>
      </c>
      <c r="N63" s="29">
        <v>31.833013583690271</v>
      </c>
      <c r="O63" s="29">
        <f>Table2[[#This Row],[Hot water demand (MWh)]]+Table2[[#This Row],[Space heating demand (MWh)]]</f>
        <v>61.897313269377122</v>
      </c>
      <c r="P63" s="35">
        <v>17.360530555709403</v>
      </c>
      <c r="Q63" s="35">
        <v>91.760279031857166</v>
      </c>
      <c r="R63" t="s">
        <v>199</v>
      </c>
      <c r="S63" s="17">
        <v>362.14240766245439</v>
      </c>
      <c r="T63" s="29">
        <v>128.11959563949469</v>
      </c>
      <c r="U63" s="17">
        <v>443.078125</v>
      </c>
      <c r="V63" s="29">
        <v>30.064299685686851</v>
      </c>
      <c r="W63" s="29">
        <v>31.833013583690271</v>
      </c>
      <c r="X63" s="29">
        <v>48.861751814408152</v>
      </c>
      <c r="Y63" s="29">
        <v>17.360530555709406</v>
      </c>
    </row>
    <row r="64" spans="2:25">
      <c r="B64" s="3">
        <v>57</v>
      </c>
      <c r="C64" t="s">
        <v>23</v>
      </c>
      <c r="D64" t="s">
        <v>51</v>
      </c>
      <c r="F64" t="s">
        <v>204</v>
      </c>
      <c r="G64" t="s">
        <v>205</v>
      </c>
      <c r="H64" t="s">
        <v>202</v>
      </c>
      <c r="J64" t="s">
        <v>201</v>
      </c>
      <c r="K64" t="s">
        <v>201</v>
      </c>
      <c r="L64" t="s">
        <v>77</v>
      </c>
      <c r="M64" s="29">
        <v>58.262498867521174</v>
      </c>
      <c r="N64" s="29">
        <v>26.870197744107777</v>
      </c>
      <c r="O64" s="29">
        <f>Table2[[#This Row],[Hot water demand (MWh)]]+Table2[[#This Row],[Space heating demand (MWh)]]</f>
        <v>85.132696611628944</v>
      </c>
      <c r="P64" s="34">
        <v>17.791563197527211</v>
      </c>
      <c r="Q64" s="34">
        <v>0</v>
      </c>
      <c r="R64" t="s">
        <v>199</v>
      </c>
      <c r="S64" s="17">
        <v>673.35853924737614</v>
      </c>
      <c r="T64" s="29">
        <v>131.81010020371255</v>
      </c>
      <c r="U64" s="17">
        <v>485.66806722689074</v>
      </c>
      <c r="V64" s="29">
        <v>78.03118129224012</v>
      </c>
      <c r="W64" s="29">
        <v>35.987355713945227</v>
      </c>
      <c r="X64" s="29">
        <v>0</v>
      </c>
      <c r="Y64" s="29">
        <v>17.791563197527211</v>
      </c>
    </row>
    <row r="65" spans="2:25">
      <c r="B65" s="3">
        <v>58</v>
      </c>
      <c r="C65" t="s">
        <v>23</v>
      </c>
      <c r="D65" t="s">
        <v>51</v>
      </c>
      <c r="F65" t="s">
        <v>204</v>
      </c>
      <c r="G65" t="s">
        <v>200</v>
      </c>
      <c r="H65" t="s">
        <v>202</v>
      </c>
      <c r="J65" t="s">
        <v>201</v>
      </c>
      <c r="K65" t="s">
        <v>201</v>
      </c>
      <c r="L65" t="s">
        <v>78</v>
      </c>
      <c r="M65" s="29">
        <v>35.723860591536408</v>
      </c>
      <c r="N65" s="29">
        <v>15.233460286052331</v>
      </c>
      <c r="O65" s="29">
        <f>Table2[[#This Row],[Hot water demand (MWh)]]+Table2[[#This Row],[Space heating demand (MWh)]]</f>
        <v>50.957320877588742</v>
      </c>
      <c r="P65" s="35">
        <v>10.298314372410733</v>
      </c>
      <c r="Q65" s="35">
        <v>0</v>
      </c>
      <c r="R65" t="s">
        <v>199</v>
      </c>
      <c r="S65" s="17">
        <v>1853.1506017102161</v>
      </c>
      <c r="T65" s="29">
        <v>77.897956344402104</v>
      </c>
      <c r="U65" s="17">
        <v>305.8229007633588</v>
      </c>
      <c r="V65" s="29">
        <v>47.391035169340817</v>
      </c>
      <c r="W65" s="29">
        <v>20.208606802650554</v>
      </c>
      <c r="X65" s="29">
        <v>0</v>
      </c>
      <c r="Y65" s="29">
        <v>10.298314372410733</v>
      </c>
    </row>
    <row r="66" spans="2:25">
      <c r="B66">
        <v>59</v>
      </c>
      <c r="C66" t="s">
        <v>23</v>
      </c>
      <c r="D66" t="s">
        <v>51</v>
      </c>
      <c r="F66" t="s">
        <v>204</v>
      </c>
      <c r="G66" t="s">
        <v>196</v>
      </c>
      <c r="H66" t="s">
        <v>203</v>
      </c>
      <c r="J66" t="s">
        <v>201</v>
      </c>
      <c r="K66" t="s">
        <v>201</v>
      </c>
      <c r="L66" t="s">
        <v>77</v>
      </c>
      <c r="M66" s="29">
        <v>38.274714810976334</v>
      </c>
      <c r="N66" s="29">
        <v>27.947713928850561</v>
      </c>
      <c r="O66" s="29">
        <f>Table2[[#This Row],[Hot water demand (MWh)]]+Table2[[#This Row],[Space heating demand (MWh)]]</f>
        <v>66.222428739826896</v>
      </c>
      <c r="P66" s="34">
        <v>15.898421276922114</v>
      </c>
      <c r="Q66" s="34">
        <v>49.127181325563264</v>
      </c>
      <c r="R66" t="s">
        <v>199</v>
      </c>
      <c r="S66" s="17">
        <v>345.16698230327682</v>
      </c>
      <c r="T66" s="29">
        <v>106.64477205437758</v>
      </c>
      <c r="U66" s="17">
        <v>436.62295081967216</v>
      </c>
      <c r="V66" s="29">
        <v>38.274714810976334</v>
      </c>
      <c r="W66" s="29">
        <v>27.947713928850561</v>
      </c>
      <c r="X66" s="29">
        <v>24.523922037628566</v>
      </c>
      <c r="Y66" s="29">
        <v>15.898421276922113</v>
      </c>
    </row>
    <row r="67" spans="2:25">
      <c r="B67" s="3">
        <v>60</v>
      </c>
      <c r="C67" t="s">
        <v>23</v>
      </c>
      <c r="D67" t="s">
        <v>51</v>
      </c>
      <c r="F67" t="s">
        <v>204</v>
      </c>
      <c r="G67" t="s">
        <v>196</v>
      </c>
      <c r="H67" t="s">
        <v>203</v>
      </c>
      <c r="J67" t="s">
        <v>198</v>
      </c>
      <c r="K67" t="s">
        <v>201</v>
      </c>
      <c r="L67" t="s">
        <v>77</v>
      </c>
      <c r="M67" s="29">
        <v>18.710602617491027</v>
      </c>
      <c r="N67" s="29">
        <v>27.40233454697454</v>
      </c>
      <c r="O67" s="29">
        <f>Table2[[#This Row],[Hot water demand (MWh)]]+Table2[[#This Row],[Space heating demand (MWh)]]</f>
        <v>46.112937164465563</v>
      </c>
      <c r="P67" s="35">
        <v>15.368618117576293</v>
      </c>
      <c r="Q67" s="35">
        <v>53.276670812764856</v>
      </c>
      <c r="R67" t="s">
        <v>199</v>
      </c>
      <c r="S67" s="17">
        <v>96.194077035339447</v>
      </c>
      <c r="T67" s="29">
        <v>87.900434976865157</v>
      </c>
      <c r="U67" s="17">
        <v>467.79411764705884</v>
      </c>
      <c r="V67" s="29">
        <v>18.710602617491027</v>
      </c>
      <c r="W67" s="29">
        <v>27.40233454697454</v>
      </c>
      <c r="X67" s="29">
        <v>26.418879694823289</v>
      </c>
      <c r="Y67" s="29">
        <v>15.368618117576291</v>
      </c>
    </row>
    <row r="68" spans="2:25">
      <c r="B68" s="3">
        <v>61</v>
      </c>
      <c r="C68" t="s">
        <v>23</v>
      </c>
      <c r="D68" t="s">
        <v>51</v>
      </c>
      <c r="F68" t="s">
        <v>204</v>
      </c>
      <c r="G68" t="s">
        <v>196</v>
      </c>
      <c r="H68" t="s">
        <v>203</v>
      </c>
      <c r="J68" t="s">
        <v>201</v>
      </c>
      <c r="K68" t="s">
        <v>198</v>
      </c>
      <c r="L68" t="s">
        <v>77</v>
      </c>
      <c r="M68" s="29">
        <v>29.350428548163773</v>
      </c>
      <c r="N68" s="29">
        <v>23.936325844771389</v>
      </c>
      <c r="O68" s="29">
        <f>Table2[[#This Row],[Hot water demand (MWh)]]+Table2[[#This Row],[Space heating demand (MWh)]]</f>
        <v>53.286754392935165</v>
      </c>
      <c r="P68" s="34">
        <v>14.064250036555908</v>
      </c>
      <c r="Q68" s="34">
        <v>30.359585781216467</v>
      </c>
      <c r="R68" t="s">
        <v>199</v>
      </c>
      <c r="S68" s="17">
        <v>84.877126795887747</v>
      </c>
      <c r="T68" s="29">
        <v>82.858131634356269</v>
      </c>
      <c r="U68" s="17">
        <v>433.9</v>
      </c>
      <c r="V68" s="29">
        <v>29.350428548163773</v>
      </c>
      <c r="W68" s="29">
        <v>23.936325844771389</v>
      </c>
      <c r="X68" s="29">
        <v>15.507127204865185</v>
      </c>
      <c r="Y68" s="29">
        <v>14.064250036555908</v>
      </c>
    </row>
    <row r="69" spans="2:25">
      <c r="B69">
        <v>62</v>
      </c>
      <c r="C69" t="s">
        <v>23</v>
      </c>
      <c r="D69" t="s">
        <v>51</v>
      </c>
      <c r="F69" t="s">
        <v>204</v>
      </c>
      <c r="G69" t="s">
        <v>205</v>
      </c>
      <c r="H69" t="s">
        <v>203</v>
      </c>
      <c r="J69" t="s">
        <v>201</v>
      </c>
      <c r="K69" t="s">
        <v>201</v>
      </c>
      <c r="L69" t="s">
        <v>77</v>
      </c>
      <c r="M69" s="29">
        <v>40.513680164408555</v>
      </c>
      <c r="N69" s="29">
        <v>20.362693870574049</v>
      </c>
      <c r="O69" s="29">
        <f>Table2[[#This Row],[Hot water demand (MWh)]]+Table2[[#This Row],[Space heating demand (MWh)]]</f>
        <v>60.876374034982604</v>
      </c>
      <c r="P69" s="35">
        <v>14.321892197548836</v>
      </c>
      <c r="Q69" s="35">
        <v>0</v>
      </c>
      <c r="R69" t="s">
        <v>199</v>
      </c>
      <c r="S69" s="17">
        <v>466.82419737738263</v>
      </c>
      <c r="T69" s="29">
        <v>96.53680436945497</v>
      </c>
      <c r="U69" s="17">
        <v>408.44848484848484</v>
      </c>
      <c r="V69" s="29">
        <v>54.714636166790818</v>
      </c>
      <c r="W69" s="29">
        <v>27.500276005115307</v>
      </c>
      <c r="X69" s="29">
        <v>0</v>
      </c>
      <c r="Y69" s="29">
        <v>14.321892197548834</v>
      </c>
    </row>
    <row r="70" spans="2:25">
      <c r="B70" s="3">
        <v>63</v>
      </c>
      <c r="C70" t="s">
        <v>23</v>
      </c>
      <c r="D70" t="s">
        <v>51</v>
      </c>
      <c r="F70" t="s">
        <v>204</v>
      </c>
      <c r="G70" t="s">
        <v>200</v>
      </c>
      <c r="H70" t="s">
        <v>203</v>
      </c>
      <c r="J70" t="s">
        <v>198</v>
      </c>
      <c r="K70" t="s">
        <v>201</v>
      </c>
      <c r="L70" t="s">
        <v>77</v>
      </c>
      <c r="M70" s="29">
        <v>16.704813571653041</v>
      </c>
      <c r="N70" s="29">
        <v>12.577165817322415</v>
      </c>
      <c r="O70" s="29">
        <f>Table2[[#This Row],[Hot water demand (MWh)]]+Table2[[#This Row],[Space heating demand (MWh)]]</f>
        <v>29.281979388975458</v>
      </c>
      <c r="P70" s="34">
        <v>8.5204458544521948</v>
      </c>
      <c r="Q70" s="34">
        <v>0</v>
      </c>
      <c r="R70" t="s">
        <v>199</v>
      </c>
      <c r="S70" s="17">
        <v>345.16698230327682</v>
      </c>
      <c r="T70" s="29">
        <v>48.990392921673411</v>
      </c>
      <c r="U70" s="17">
        <v>281.64754098360658</v>
      </c>
      <c r="V70" s="29">
        <v>23.087336823518307</v>
      </c>
      <c r="W70" s="29">
        <v>17.382610243702906</v>
      </c>
      <c r="X70" s="29">
        <v>0</v>
      </c>
      <c r="Y70" s="29">
        <v>8.520445854452193</v>
      </c>
    </row>
    <row r="71" spans="2:25">
      <c r="B71" s="3">
        <v>64</v>
      </c>
      <c r="C71" t="s">
        <v>23</v>
      </c>
      <c r="D71" t="s">
        <v>51</v>
      </c>
      <c r="F71" t="s">
        <v>204</v>
      </c>
      <c r="G71" t="s">
        <v>200</v>
      </c>
      <c r="H71" t="s">
        <v>203</v>
      </c>
      <c r="J71" t="s">
        <v>201</v>
      </c>
      <c r="K71" t="s">
        <v>201</v>
      </c>
      <c r="L71" t="s">
        <v>77</v>
      </c>
      <c r="M71" s="29">
        <v>33.644574974356615</v>
      </c>
      <c r="N71" s="29">
        <v>14.451770094866379</v>
      </c>
      <c r="O71" s="29">
        <f>Table2[[#This Row],[Hot water demand (MWh)]]+Table2[[#This Row],[Space heating demand (MWh)]]</f>
        <v>48.096345069222991</v>
      </c>
      <c r="P71" s="35">
        <v>10.075645390334198</v>
      </c>
      <c r="Q71" s="35">
        <v>0</v>
      </c>
      <c r="R71" t="s">
        <v>199</v>
      </c>
      <c r="S71" s="17">
        <v>3672.3503527020766</v>
      </c>
      <c r="T71" s="29">
        <v>77.815709578373045</v>
      </c>
      <c r="U71" s="17">
        <v>320.91294298921417</v>
      </c>
      <c r="V71" s="29">
        <v>47.385839091557003</v>
      </c>
      <c r="W71" s="29">
        <v>20.354225096481827</v>
      </c>
      <c r="X71" s="29">
        <v>0</v>
      </c>
      <c r="Y71" s="29">
        <v>10.075645390334197</v>
      </c>
    </row>
    <row r="72" spans="2:25">
      <c r="B72">
        <v>65</v>
      </c>
      <c r="C72" t="s">
        <v>23</v>
      </c>
      <c r="D72" t="s">
        <v>51</v>
      </c>
      <c r="F72" t="s">
        <v>204</v>
      </c>
      <c r="G72" t="s">
        <v>200</v>
      </c>
      <c r="H72" t="s">
        <v>203</v>
      </c>
      <c r="J72" t="s">
        <v>201</v>
      </c>
      <c r="K72" t="s">
        <v>201</v>
      </c>
      <c r="L72" t="s">
        <v>78</v>
      </c>
      <c r="M72" s="29">
        <v>33.644574974356615</v>
      </c>
      <c r="N72" s="29">
        <v>14.451770094866379</v>
      </c>
      <c r="O72" s="29">
        <f>Table2[[#This Row],[Hot water demand (MWh)]]+Table2[[#This Row],[Space heating demand (MWh)]]</f>
        <v>48.096345069222991</v>
      </c>
      <c r="P72" s="34">
        <v>10.075645390334198</v>
      </c>
      <c r="Q72" s="34">
        <v>0</v>
      </c>
      <c r="R72" t="s">
        <v>199</v>
      </c>
      <c r="S72" s="17">
        <v>3672.3503527020766</v>
      </c>
      <c r="T72" s="29">
        <v>77.815709578373045</v>
      </c>
      <c r="U72" s="17">
        <v>320.91294298921417</v>
      </c>
      <c r="V72" s="29">
        <v>47.385839091557003</v>
      </c>
      <c r="W72" s="29">
        <v>20.354225096481827</v>
      </c>
      <c r="X72" s="29">
        <v>0</v>
      </c>
      <c r="Y72" s="29">
        <v>10.075645390334197</v>
      </c>
    </row>
    <row r="73" spans="2:25">
      <c r="B73" s="3">
        <v>66</v>
      </c>
      <c r="C73" t="s">
        <v>23</v>
      </c>
      <c r="D73" t="s">
        <v>50</v>
      </c>
      <c r="F73" t="s">
        <v>195</v>
      </c>
      <c r="G73" t="s">
        <v>196</v>
      </c>
      <c r="H73" t="s">
        <v>197</v>
      </c>
      <c r="J73" t="s">
        <v>198</v>
      </c>
      <c r="K73" t="s">
        <v>198</v>
      </c>
      <c r="L73" t="s">
        <v>77</v>
      </c>
      <c r="M73" s="29">
        <v>39.650355230992361</v>
      </c>
      <c r="N73" s="29">
        <v>18.738621086694305</v>
      </c>
      <c r="O73" s="29">
        <f>Table2[[#This Row],[Hot water demand (MWh)]]+Table2[[#This Row],[Space heating demand (MWh)]]</f>
        <v>58.388976317686669</v>
      </c>
      <c r="P73" s="35">
        <v>177.11738399678637</v>
      </c>
      <c r="Q73" s="35">
        <v>681.20587399708029</v>
      </c>
      <c r="R73" t="s">
        <v>199</v>
      </c>
      <c r="S73" s="17">
        <v>447.81575234382416</v>
      </c>
      <c r="T73" s="29">
        <v>532.5203555603897</v>
      </c>
      <c r="U73" s="17">
        <v>3519.6637168141592</v>
      </c>
      <c r="V73" s="29">
        <v>20.159151363786204</v>
      </c>
      <c r="W73" s="29">
        <v>9.5271453845648679</v>
      </c>
      <c r="X73" s="29">
        <v>325.7166748152523</v>
      </c>
      <c r="Y73" s="29">
        <v>177.11738399678634</v>
      </c>
    </row>
    <row r="74" spans="2:25">
      <c r="B74" s="3">
        <v>67</v>
      </c>
      <c r="C74" t="s">
        <v>23</v>
      </c>
      <c r="D74" t="s">
        <v>50</v>
      </c>
      <c r="F74" t="s">
        <v>195</v>
      </c>
      <c r="G74" t="s">
        <v>196</v>
      </c>
      <c r="H74" t="s">
        <v>197</v>
      </c>
      <c r="J74" t="s">
        <v>198</v>
      </c>
      <c r="K74" t="s">
        <v>198</v>
      </c>
      <c r="L74" t="s">
        <v>77</v>
      </c>
      <c r="M74" s="29">
        <v>39.650355230992361</v>
      </c>
      <c r="N74" s="29">
        <v>18.738621086694305</v>
      </c>
      <c r="O74" s="29">
        <f>Table2[[#This Row],[Hot water demand (MWh)]]+Table2[[#This Row],[Space heating demand (MWh)]]</f>
        <v>58.388976317686669</v>
      </c>
      <c r="P74" s="34">
        <v>177.11738399678637</v>
      </c>
      <c r="Q74" s="34">
        <v>681.20587399708029</v>
      </c>
      <c r="R74" t="s">
        <v>199</v>
      </c>
      <c r="S74" s="17">
        <v>447.81575234382416</v>
      </c>
      <c r="T74" s="29">
        <v>532.5203555603897</v>
      </c>
      <c r="U74" s="17">
        <v>3519.6637168141592</v>
      </c>
      <c r="V74" s="29">
        <v>20.159151363786204</v>
      </c>
      <c r="W74" s="29">
        <v>9.5271453845648679</v>
      </c>
      <c r="X74" s="29">
        <v>325.7166748152523</v>
      </c>
      <c r="Y74" s="29">
        <v>177.11738399678634</v>
      </c>
    </row>
    <row r="75" spans="2:25">
      <c r="B75">
        <v>68</v>
      </c>
      <c r="C75" t="s">
        <v>23</v>
      </c>
      <c r="D75" t="s">
        <v>50</v>
      </c>
      <c r="F75" t="s">
        <v>195</v>
      </c>
      <c r="G75" t="s">
        <v>196</v>
      </c>
      <c r="H75" t="s">
        <v>197</v>
      </c>
      <c r="J75" t="s">
        <v>198</v>
      </c>
      <c r="K75" t="s">
        <v>201</v>
      </c>
      <c r="L75" t="s">
        <v>77</v>
      </c>
      <c r="M75" s="29">
        <v>77.746989986065785</v>
      </c>
      <c r="N75" s="29">
        <v>17.474667280247303</v>
      </c>
      <c r="O75" s="29">
        <f>Table2[[#This Row],[Hot water demand (MWh)]]+Table2[[#This Row],[Space heating demand (MWh)]]</f>
        <v>95.221657266313088</v>
      </c>
      <c r="P75" s="35">
        <v>60.911127126502485</v>
      </c>
      <c r="Q75" s="35">
        <v>517.50310050595317</v>
      </c>
      <c r="R75" t="s">
        <v>199</v>
      </c>
      <c r="S75" s="17">
        <v>309.11175825502903</v>
      </c>
      <c r="T75" s="29">
        <v>369.8950669142003</v>
      </c>
      <c r="U75" s="17">
        <v>1871.4102564102564</v>
      </c>
      <c r="V75" s="29">
        <v>44.756776529878209</v>
      </c>
      <c r="W75" s="29">
        <v>10.059679204766343</v>
      </c>
      <c r="X75" s="29">
        <v>254.16748405305327</v>
      </c>
      <c r="Y75" s="29">
        <v>60.911127126502485</v>
      </c>
    </row>
    <row r="76" spans="2:25">
      <c r="B76" s="3">
        <v>69</v>
      </c>
      <c r="C76" t="s">
        <v>23</v>
      </c>
      <c r="D76" t="s">
        <v>50</v>
      </c>
      <c r="F76" t="s">
        <v>195</v>
      </c>
      <c r="G76" t="s">
        <v>196</v>
      </c>
      <c r="H76" t="s">
        <v>197</v>
      </c>
      <c r="J76" t="s">
        <v>198</v>
      </c>
      <c r="K76" t="s">
        <v>201</v>
      </c>
      <c r="L76" t="s">
        <v>77</v>
      </c>
      <c r="M76" s="29">
        <v>77.746989986065785</v>
      </c>
      <c r="N76" s="29">
        <v>17.474667280247303</v>
      </c>
      <c r="O76" s="29">
        <f>Table2[[#This Row],[Hot water demand (MWh)]]+Table2[[#This Row],[Space heating demand (MWh)]]</f>
        <v>95.221657266313088</v>
      </c>
      <c r="P76" s="34">
        <v>60.911127126502485</v>
      </c>
      <c r="Q76" s="34">
        <v>517.50310050595317</v>
      </c>
      <c r="R76" t="s">
        <v>199</v>
      </c>
      <c r="S76" s="17">
        <v>309.11175825502903</v>
      </c>
      <c r="T76" s="29">
        <v>369.8950669142003</v>
      </c>
      <c r="U76" s="17">
        <v>1871.4102564102564</v>
      </c>
      <c r="V76" s="29">
        <v>44.756776529878209</v>
      </c>
      <c r="W76" s="29">
        <v>10.059679204766343</v>
      </c>
      <c r="X76" s="29">
        <v>254.16748405305327</v>
      </c>
      <c r="Y76" s="29">
        <v>60.911127126502485</v>
      </c>
    </row>
    <row r="77" spans="2:25">
      <c r="B77" s="3">
        <v>70</v>
      </c>
      <c r="C77" t="s">
        <v>23</v>
      </c>
      <c r="D77" t="s">
        <v>50</v>
      </c>
      <c r="F77" t="s">
        <v>195</v>
      </c>
      <c r="G77" t="s">
        <v>196</v>
      </c>
      <c r="H77" t="s">
        <v>197</v>
      </c>
      <c r="J77" t="s">
        <v>201</v>
      </c>
      <c r="K77" t="s">
        <v>198</v>
      </c>
      <c r="L77" t="s">
        <v>77</v>
      </c>
      <c r="M77" s="29">
        <v>55.516906238996278</v>
      </c>
      <c r="N77" s="29">
        <v>17.004195681615492</v>
      </c>
      <c r="O77" s="29">
        <f>Table2[[#This Row],[Hot water demand (MWh)]]+Table2[[#This Row],[Space heating demand (MWh)]]</f>
        <v>72.52110192061177</v>
      </c>
      <c r="P77" s="35">
        <v>71.06801080093301</v>
      </c>
      <c r="Q77" s="35">
        <v>581.96826679129322</v>
      </c>
      <c r="R77" t="s">
        <v>199</v>
      </c>
      <c r="S77" s="17">
        <v>305.14878699534921</v>
      </c>
      <c r="T77" s="29">
        <v>389.21312114074618</v>
      </c>
      <c r="U77" s="17">
        <v>2199.909090909091</v>
      </c>
      <c r="V77" s="29">
        <v>27.7494760476906</v>
      </c>
      <c r="W77" s="29">
        <v>8.4993482660204531</v>
      </c>
      <c r="X77" s="29">
        <v>281.89628602610213</v>
      </c>
      <c r="Y77" s="29">
        <v>71.06801080093301</v>
      </c>
    </row>
    <row r="78" spans="2:25">
      <c r="B78">
        <v>71</v>
      </c>
      <c r="C78" t="s">
        <v>23</v>
      </c>
      <c r="D78" t="s">
        <v>50</v>
      </c>
      <c r="F78" t="s">
        <v>195</v>
      </c>
      <c r="G78" t="s">
        <v>205</v>
      </c>
      <c r="H78" t="s">
        <v>197</v>
      </c>
      <c r="J78" t="s">
        <v>198</v>
      </c>
      <c r="K78" t="s">
        <v>198</v>
      </c>
      <c r="L78" t="s">
        <v>77</v>
      </c>
      <c r="M78" s="29">
        <v>73.266566968106531</v>
      </c>
      <c r="N78" s="29">
        <v>5.3058330379294434</v>
      </c>
      <c r="O78" s="29">
        <f>Table2[[#This Row],[Hot water demand (MWh)]]+Table2[[#This Row],[Space heating demand (MWh)]]</f>
        <v>78.572400006035977</v>
      </c>
      <c r="P78" s="34">
        <v>65.103741391670241</v>
      </c>
      <c r="Q78" s="34">
        <v>0</v>
      </c>
      <c r="R78" t="s">
        <v>199</v>
      </c>
      <c r="S78" s="17">
        <v>190.22262046463328</v>
      </c>
      <c r="T78" s="29">
        <v>108.15628872104783</v>
      </c>
      <c r="U78" s="17">
        <v>3253.75</v>
      </c>
      <c r="V78" s="29">
        <v>40.145297099402612</v>
      </c>
      <c r="W78" s="29">
        <v>2.907250229974959</v>
      </c>
      <c r="X78" s="29">
        <v>0</v>
      </c>
      <c r="Y78" s="29">
        <v>65.103741391670241</v>
      </c>
    </row>
    <row r="79" spans="2:25">
      <c r="B79" s="3">
        <v>72</v>
      </c>
      <c r="C79" t="s">
        <v>23</v>
      </c>
      <c r="D79" t="s">
        <v>50</v>
      </c>
      <c r="F79" t="s">
        <v>195</v>
      </c>
      <c r="G79" t="s">
        <v>205</v>
      </c>
      <c r="H79" t="s">
        <v>197</v>
      </c>
      <c r="J79" t="s">
        <v>198</v>
      </c>
      <c r="K79" t="s">
        <v>198</v>
      </c>
      <c r="L79" t="s">
        <v>77</v>
      </c>
      <c r="M79" s="29">
        <v>73.266566968106531</v>
      </c>
      <c r="N79" s="29">
        <v>5.3058330379294434</v>
      </c>
      <c r="O79" s="29">
        <f>Table2[[#This Row],[Hot water demand (MWh)]]+Table2[[#This Row],[Space heating demand (MWh)]]</f>
        <v>78.572400006035977</v>
      </c>
      <c r="P79" s="35">
        <v>65.103741391670241</v>
      </c>
      <c r="Q79" s="35">
        <v>0</v>
      </c>
      <c r="R79" t="s">
        <v>199</v>
      </c>
      <c r="S79" s="17">
        <v>190.22262046463328</v>
      </c>
      <c r="T79" s="29">
        <v>108.15628872104783</v>
      </c>
      <c r="U79" s="17">
        <v>3253.75</v>
      </c>
      <c r="V79" s="29">
        <v>40.145297099402612</v>
      </c>
      <c r="W79" s="29">
        <v>2.907250229974959</v>
      </c>
      <c r="X79" s="29">
        <v>0</v>
      </c>
      <c r="Y79" s="29">
        <v>65.103741391670241</v>
      </c>
    </row>
    <row r="80" spans="2:25">
      <c r="B80" s="3">
        <v>73</v>
      </c>
      <c r="C80" t="s">
        <v>23</v>
      </c>
      <c r="D80" t="s">
        <v>50</v>
      </c>
      <c r="F80" t="s">
        <v>195</v>
      </c>
      <c r="G80" t="s">
        <v>200</v>
      </c>
      <c r="H80" t="s">
        <v>197</v>
      </c>
      <c r="J80" t="s">
        <v>201</v>
      </c>
      <c r="K80" t="s">
        <v>201</v>
      </c>
      <c r="L80" t="s">
        <v>77</v>
      </c>
      <c r="M80" s="29">
        <v>118.45636599251399</v>
      </c>
      <c r="N80" s="29">
        <v>6.363965657225962</v>
      </c>
      <c r="O80" s="29">
        <f>Table2[[#This Row],[Hot water demand (MWh)]]+Table2[[#This Row],[Space heating demand (MWh)]]</f>
        <v>124.82033164973996</v>
      </c>
      <c r="P80" s="34">
        <v>50.397405022597141</v>
      </c>
      <c r="Q80" s="34">
        <v>0</v>
      </c>
      <c r="R80" t="s">
        <v>199</v>
      </c>
      <c r="S80" s="17">
        <v>293.25987321630959</v>
      </c>
      <c r="T80" s="29">
        <v>167.01181907489288</v>
      </c>
      <c r="U80" s="17">
        <v>1705.5</v>
      </c>
      <c r="V80" s="29">
        <v>110.66882717267713</v>
      </c>
      <c r="W80" s="29">
        <v>5.9455868796186202</v>
      </c>
      <c r="X80" s="29">
        <v>0</v>
      </c>
      <c r="Y80" s="29">
        <v>50.397405022597148</v>
      </c>
    </row>
    <row r="81" spans="2:25">
      <c r="B81">
        <v>74</v>
      </c>
      <c r="C81" t="s">
        <v>23</v>
      </c>
      <c r="D81" t="s">
        <v>50</v>
      </c>
      <c r="F81" t="s">
        <v>195</v>
      </c>
      <c r="G81" t="s">
        <v>200</v>
      </c>
      <c r="H81" t="s">
        <v>197</v>
      </c>
      <c r="J81" t="s">
        <v>198</v>
      </c>
      <c r="K81" t="s">
        <v>198</v>
      </c>
      <c r="L81" t="s">
        <v>77</v>
      </c>
      <c r="M81" s="29">
        <v>43.39083142406291</v>
      </c>
      <c r="N81" s="29">
        <v>2.1220609782285047</v>
      </c>
      <c r="O81" s="29">
        <f>Table2[[#This Row],[Hot water demand (MWh)]]+Table2[[#This Row],[Space heating demand (MWh)]]</f>
        <v>45.512892402291413</v>
      </c>
      <c r="P81" s="35">
        <v>47.739944095552666</v>
      </c>
      <c r="Q81" s="35">
        <v>0</v>
      </c>
      <c r="R81" t="s">
        <v>199</v>
      </c>
      <c r="S81" s="17">
        <v>55.481597635518035</v>
      </c>
      <c r="T81" s="29">
        <v>102.7257336925347</v>
      </c>
      <c r="U81" s="17">
        <v>1783.5</v>
      </c>
      <c r="V81" s="29">
        <v>52.422050131041992</v>
      </c>
      <c r="W81" s="29">
        <v>2.5637394659400705</v>
      </c>
      <c r="X81" s="29">
        <v>0</v>
      </c>
      <c r="Y81" s="29">
        <v>47.739944095552673</v>
      </c>
    </row>
    <row r="82" spans="2:25">
      <c r="B82" s="3">
        <v>75</v>
      </c>
      <c r="C82" t="s">
        <v>23</v>
      </c>
      <c r="D82" t="s">
        <v>50</v>
      </c>
      <c r="F82" t="s">
        <v>195</v>
      </c>
      <c r="G82" t="s">
        <v>200</v>
      </c>
      <c r="H82" t="s">
        <v>197</v>
      </c>
      <c r="J82" t="s">
        <v>201</v>
      </c>
      <c r="K82" t="s">
        <v>198</v>
      </c>
      <c r="L82" t="s">
        <v>77</v>
      </c>
      <c r="M82" s="29">
        <v>82.316764975153902</v>
      </c>
      <c r="N82" s="29">
        <v>2.2577361052361731</v>
      </c>
      <c r="O82" s="29">
        <f>Table2[[#This Row],[Hot water demand (MWh)]]+Table2[[#This Row],[Space heating demand (MWh)]]</f>
        <v>84.574501080390078</v>
      </c>
      <c r="P82" s="34">
        <v>70.5268513701063</v>
      </c>
      <c r="Q82" s="34">
        <v>0</v>
      </c>
      <c r="R82" t="s">
        <v>199</v>
      </c>
      <c r="S82" s="17">
        <v>31.703770077438879</v>
      </c>
      <c r="T82" s="29">
        <v>153.83025060449199</v>
      </c>
      <c r="U82" s="17">
        <v>2111.75</v>
      </c>
      <c r="V82" s="29">
        <v>81.079595490493617</v>
      </c>
      <c r="W82" s="29">
        <v>2.2238037438920775</v>
      </c>
      <c r="X82" s="29">
        <v>0</v>
      </c>
      <c r="Y82" s="29">
        <v>70.526851370106314</v>
      </c>
    </row>
    <row r="83" spans="2:25">
      <c r="B83" s="3">
        <v>76</v>
      </c>
      <c r="C83" t="s">
        <v>23</v>
      </c>
      <c r="D83" t="s">
        <v>50</v>
      </c>
      <c r="F83" t="s">
        <v>195</v>
      </c>
      <c r="G83" t="s">
        <v>196</v>
      </c>
      <c r="H83" t="s">
        <v>202</v>
      </c>
      <c r="J83" t="s">
        <v>201</v>
      </c>
      <c r="K83" t="s">
        <v>201</v>
      </c>
      <c r="L83" t="s">
        <v>77</v>
      </c>
      <c r="M83" s="29">
        <v>245.10214772770661</v>
      </c>
      <c r="N83" s="29">
        <v>23.594681401642518</v>
      </c>
      <c r="O83" s="29">
        <f>Table2[[#This Row],[Hot water demand (MWh)]]+Table2[[#This Row],[Space heating demand (MWh)]]</f>
        <v>268.69682912934911</v>
      </c>
      <c r="P83" s="35">
        <v>136.87424365592074</v>
      </c>
      <c r="Q83" s="35">
        <v>888.02638493955806</v>
      </c>
      <c r="R83" t="s">
        <v>199</v>
      </c>
      <c r="S83" s="17">
        <v>570.6678613938999</v>
      </c>
      <c r="T83" s="29">
        <v>869.67901000674215</v>
      </c>
      <c r="U83" s="17">
        <v>4490.1875</v>
      </c>
      <c r="V83" s="29">
        <v>264.11367724197925</v>
      </c>
      <c r="W83" s="29">
        <v>25.424820329456082</v>
      </c>
      <c r="X83" s="29">
        <v>443.26626877938611</v>
      </c>
      <c r="Y83" s="29">
        <v>136.87424365592074</v>
      </c>
    </row>
    <row r="84" spans="2:25">
      <c r="B84">
        <v>77</v>
      </c>
      <c r="C84" t="s">
        <v>23</v>
      </c>
      <c r="D84" t="s">
        <v>50</v>
      </c>
      <c r="F84" t="s">
        <v>195</v>
      </c>
      <c r="G84" t="s">
        <v>196</v>
      </c>
      <c r="H84" t="s">
        <v>202</v>
      </c>
      <c r="J84" t="s">
        <v>198</v>
      </c>
      <c r="K84" t="s">
        <v>201</v>
      </c>
      <c r="L84" t="s">
        <v>77</v>
      </c>
      <c r="M84" s="29">
        <v>101.91134987495617</v>
      </c>
      <c r="N84" s="29">
        <v>15.273775173428618</v>
      </c>
      <c r="O84" s="29">
        <f>Table2[[#This Row],[Hot water demand (MWh)]]+Table2[[#This Row],[Space heating demand (MWh)]]</f>
        <v>117.18512504838479</v>
      </c>
      <c r="P84" s="34">
        <v>193.19372528042177</v>
      </c>
      <c r="Q84" s="34">
        <v>2187.8076163101869</v>
      </c>
      <c r="R84" t="s">
        <v>199</v>
      </c>
      <c r="S84" s="17">
        <v>257.59313187919088</v>
      </c>
      <c r="T84" s="29">
        <v>1402.5340442227696</v>
      </c>
      <c r="U84" s="17">
        <v>3353.2153846153847</v>
      </c>
      <c r="V84" s="29">
        <v>101.91134987495617</v>
      </c>
      <c r="W84" s="29">
        <v>15.273775173428618</v>
      </c>
      <c r="X84" s="29">
        <v>1092.1551938939631</v>
      </c>
      <c r="Y84" s="29">
        <v>193.19372528042175</v>
      </c>
    </row>
    <row r="85" spans="2:25">
      <c r="B85" s="3">
        <v>78</v>
      </c>
      <c r="C85" t="s">
        <v>23</v>
      </c>
      <c r="D85" t="s">
        <v>50</v>
      </c>
      <c r="F85" t="s">
        <v>195</v>
      </c>
      <c r="G85" t="s">
        <v>196</v>
      </c>
      <c r="H85" t="s">
        <v>202</v>
      </c>
      <c r="J85" t="s">
        <v>198</v>
      </c>
      <c r="K85" t="s">
        <v>198</v>
      </c>
      <c r="L85" t="s">
        <v>77</v>
      </c>
      <c r="M85" s="29">
        <v>89.795701397150054</v>
      </c>
      <c r="N85" s="29">
        <v>11.564312122770431</v>
      </c>
      <c r="O85" s="29">
        <f>Table2[[#This Row],[Hot water demand (MWh)]]+Table2[[#This Row],[Space heating demand (MWh)]]</f>
        <v>101.36001351992049</v>
      </c>
      <c r="P85" s="35">
        <v>213.85986845769969</v>
      </c>
      <c r="Q85" s="35">
        <v>1299.4476548234625</v>
      </c>
      <c r="R85" t="s">
        <v>199</v>
      </c>
      <c r="S85" s="17">
        <v>364.59335589054712</v>
      </c>
      <c r="T85" s="29">
        <v>970.40003573321712</v>
      </c>
      <c r="U85" s="17">
        <v>4288.619565217391</v>
      </c>
      <c r="V85" s="29">
        <v>92.267259283991464</v>
      </c>
      <c r="W85" s="29">
        <v>11.882610954320469</v>
      </c>
      <c r="X85" s="29">
        <v>652.39029703720564</v>
      </c>
      <c r="Y85" s="29">
        <v>213.85986845769972</v>
      </c>
    </row>
    <row r="86" spans="2:25">
      <c r="B86" s="3">
        <v>79</v>
      </c>
      <c r="C86" t="s">
        <v>23</v>
      </c>
      <c r="D86" t="s">
        <v>50</v>
      </c>
      <c r="F86" t="s">
        <v>195</v>
      </c>
      <c r="G86" t="s">
        <v>196</v>
      </c>
      <c r="H86" t="s">
        <v>202</v>
      </c>
      <c r="J86" t="s">
        <v>201</v>
      </c>
      <c r="K86" t="s">
        <v>198</v>
      </c>
      <c r="L86" t="s">
        <v>77</v>
      </c>
      <c r="M86" s="29">
        <v>123.42092656243747</v>
      </c>
      <c r="N86" s="29">
        <v>408.41727940534292</v>
      </c>
      <c r="O86" s="29">
        <f>Table2[[#This Row],[Hot water demand (MWh)]]+Table2[[#This Row],[Space heating demand (MWh)]]</f>
        <v>531.83820596778037</v>
      </c>
      <c r="P86" s="34">
        <v>99.174018184673201</v>
      </c>
      <c r="Q86" s="34">
        <v>930.80228620625144</v>
      </c>
      <c r="R86" t="s">
        <v>199</v>
      </c>
      <c r="S86" s="17">
        <v>182.29667794527356</v>
      </c>
      <c r="T86" s="29">
        <v>1098.3342078564115</v>
      </c>
      <c r="U86" s="17">
        <v>2168.5652173913045</v>
      </c>
      <c r="V86" s="29">
        <v>123.42092656243747</v>
      </c>
      <c r="W86" s="29">
        <v>408.41727940534292</v>
      </c>
      <c r="X86" s="29">
        <v>467.32198370395793</v>
      </c>
      <c r="Y86" s="29">
        <v>99.174018184673201</v>
      </c>
    </row>
    <row r="87" spans="2:25">
      <c r="B87">
        <v>80</v>
      </c>
      <c r="C87" t="s">
        <v>23</v>
      </c>
      <c r="D87" t="s">
        <v>50</v>
      </c>
      <c r="F87" t="s">
        <v>195</v>
      </c>
      <c r="G87" t="s">
        <v>205</v>
      </c>
      <c r="H87" t="s">
        <v>203</v>
      </c>
      <c r="J87" t="s">
        <v>201</v>
      </c>
      <c r="K87" t="s">
        <v>201</v>
      </c>
      <c r="L87" t="s">
        <v>77</v>
      </c>
      <c r="M87" s="29">
        <v>110.00411121274129</v>
      </c>
      <c r="N87" s="29">
        <v>3.278083634927226</v>
      </c>
      <c r="O87" s="29">
        <f>Table2[[#This Row],[Hot water demand (MWh)]]+Table2[[#This Row],[Space heating demand (MWh)]]</f>
        <v>113.28219484766852</v>
      </c>
      <c r="P87" s="35">
        <v>70.077315482710958</v>
      </c>
      <c r="Q87" s="35">
        <v>0</v>
      </c>
      <c r="R87" t="s">
        <v>199</v>
      </c>
      <c r="S87" s="17">
        <v>122.85210905007565</v>
      </c>
      <c r="T87" s="29">
        <v>227.42409797416482</v>
      </c>
      <c r="U87" s="17">
        <v>2274.8387096774195</v>
      </c>
      <c r="V87" s="29">
        <v>152.7935875839286</v>
      </c>
      <c r="W87" s="29">
        <v>4.5531949075252607</v>
      </c>
      <c r="X87" s="29">
        <v>0</v>
      </c>
      <c r="Y87" s="29">
        <v>70.077315482710958</v>
      </c>
    </row>
    <row r="88" spans="2:25">
      <c r="B88" s="3">
        <v>81</v>
      </c>
      <c r="C88" t="s">
        <v>23</v>
      </c>
      <c r="D88" t="s">
        <v>50</v>
      </c>
      <c r="F88" t="s">
        <v>195</v>
      </c>
      <c r="G88" t="s">
        <v>205</v>
      </c>
      <c r="H88" t="s">
        <v>203</v>
      </c>
      <c r="J88" t="s">
        <v>201</v>
      </c>
      <c r="K88" t="s">
        <v>198</v>
      </c>
      <c r="L88" t="s">
        <v>77</v>
      </c>
      <c r="M88" s="29">
        <v>133.43922157206021</v>
      </c>
      <c r="N88" s="29">
        <v>33.037842036884207</v>
      </c>
      <c r="O88" s="29">
        <f>Table2[[#This Row],[Hot water demand (MWh)]]+Table2[[#This Row],[Space heating demand (MWh)]]</f>
        <v>166.47706360894441</v>
      </c>
      <c r="P88" s="34">
        <v>72.040469976982052</v>
      </c>
      <c r="Q88" s="34">
        <v>0</v>
      </c>
      <c r="R88" t="s">
        <v>199</v>
      </c>
      <c r="S88" s="17">
        <v>43.592683856478459</v>
      </c>
      <c r="T88" s="29">
        <v>299.98193686522211</v>
      </c>
      <c r="U88" s="17">
        <v>2245.5454545454545</v>
      </c>
      <c r="V88" s="29">
        <v>182.70584095000876</v>
      </c>
      <c r="W88" s="29">
        <v>45.235625938231294</v>
      </c>
      <c r="X88" s="29">
        <v>0</v>
      </c>
      <c r="Y88" s="29">
        <v>72.040469976982052</v>
      </c>
    </row>
    <row r="89" spans="2:25">
      <c r="B89" s="3">
        <v>82</v>
      </c>
      <c r="C89" t="s">
        <v>23</v>
      </c>
      <c r="D89" t="s">
        <v>50</v>
      </c>
      <c r="F89" t="s">
        <v>195</v>
      </c>
      <c r="G89" t="s">
        <v>200</v>
      </c>
      <c r="H89" t="s">
        <v>203</v>
      </c>
      <c r="J89" t="s">
        <v>198</v>
      </c>
      <c r="K89" t="s">
        <v>198</v>
      </c>
      <c r="L89" t="s">
        <v>77</v>
      </c>
      <c r="M89" s="29">
        <v>46.424484943784265</v>
      </c>
      <c r="N89" s="29">
        <v>10.033963808823286</v>
      </c>
      <c r="O89" s="29">
        <f>Table2[[#This Row],[Hot water demand (MWh)]]+Table2[[#This Row],[Space heating demand (MWh)]]</f>
        <v>56.458448752607552</v>
      </c>
      <c r="P89" s="35">
        <v>23.312614954590529</v>
      </c>
      <c r="Q89" s="35">
        <v>0</v>
      </c>
      <c r="R89" t="s">
        <v>199</v>
      </c>
      <c r="S89" s="17">
        <v>19.814856298399299</v>
      </c>
      <c r="T89" s="29">
        <v>90.172284203723677</v>
      </c>
      <c r="U89" s="17">
        <v>1415.6</v>
      </c>
      <c r="V89" s="29">
        <v>54.977169528757578</v>
      </c>
      <c r="W89" s="29">
        <v>11.882499720375559</v>
      </c>
      <c r="X89" s="29">
        <v>0</v>
      </c>
      <c r="Y89" s="29">
        <v>23.312614954590529</v>
      </c>
    </row>
    <row r="90" spans="2:25">
      <c r="B90">
        <v>83</v>
      </c>
      <c r="C90" t="s">
        <v>23</v>
      </c>
      <c r="D90" t="s">
        <v>50</v>
      </c>
      <c r="F90" t="s">
        <v>195</v>
      </c>
      <c r="G90" t="s">
        <v>200</v>
      </c>
      <c r="H90" t="s">
        <v>203</v>
      </c>
      <c r="J90" t="s">
        <v>198</v>
      </c>
      <c r="K90" t="s">
        <v>201</v>
      </c>
      <c r="L90" t="s">
        <v>77</v>
      </c>
      <c r="M90" s="29">
        <v>189.98230611293786</v>
      </c>
      <c r="N90" s="29">
        <v>20.962703240124437</v>
      </c>
      <c r="O90" s="29">
        <f>Table2[[#This Row],[Hot water demand (MWh)]]+Table2[[#This Row],[Space heating demand (MWh)]]</f>
        <v>210.94500935306229</v>
      </c>
      <c r="P90" s="34">
        <v>50.064588380434714</v>
      </c>
      <c r="Q90" s="34">
        <v>0</v>
      </c>
      <c r="R90" t="s">
        <v>199</v>
      </c>
      <c r="S90" s="17">
        <v>55.481597635518035</v>
      </c>
      <c r="T90" s="29">
        <v>325.67080330974505</v>
      </c>
      <c r="U90" s="17">
        <v>2569.5714285714284</v>
      </c>
      <c r="V90" s="29">
        <v>248.21779122393002</v>
      </c>
      <c r="W90" s="29">
        <v>27.388423705380326</v>
      </c>
      <c r="X90" s="29">
        <v>0</v>
      </c>
      <c r="Y90" s="29">
        <v>50.064588380434714</v>
      </c>
    </row>
    <row r="91" spans="2:25">
      <c r="B91" s="3">
        <v>84</v>
      </c>
      <c r="C91" t="s">
        <v>23</v>
      </c>
      <c r="D91" t="s">
        <v>50</v>
      </c>
      <c r="F91" t="s">
        <v>204</v>
      </c>
      <c r="G91" t="s">
        <v>196</v>
      </c>
      <c r="H91" t="s">
        <v>197</v>
      </c>
      <c r="J91" t="s">
        <v>198</v>
      </c>
      <c r="K91" t="s">
        <v>198</v>
      </c>
      <c r="L91" t="s">
        <v>77</v>
      </c>
      <c r="M91" s="29">
        <v>6.875353367423771</v>
      </c>
      <c r="N91" s="29">
        <v>2.1625592024446587</v>
      </c>
      <c r="O91" s="29">
        <f>Table2[[#This Row],[Hot water demand (MWh)]]+Table2[[#This Row],[Space heating demand (MWh)]]</f>
        <v>9.0379125698684302</v>
      </c>
      <c r="P91" s="35">
        <v>7.2179444212585038</v>
      </c>
      <c r="Q91" s="35">
        <v>66.54260257640442</v>
      </c>
      <c r="R91" t="s">
        <v>199</v>
      </c>
      <c r="S91" s="17">
        <v>3321.8348798453144</v>
      </c>
      <c r="T91" s="29">
        <v>44.716169510088733</v>
      </c>
      <c r="U91" s="17">
        <v>187.32359550561799</v>
      </c>
      <c r="V91" s="29">
        <v>3.6920611483532797</v>
      </c>
      <c r="W91" s="29">
        <v>1.1612931562456603</v>
      </c>
      <c r="X91" s="29">
        <v>32.644870784231287</v>
      </c>
      <c r="Y91" s="29">
        <v>7.2179444212585038</v>
      </c>
    </row>
    <row r="92" spans="2:25">
      <c r="B92" s="3">
        <v>85</v>
      </c>
      <c r="C92" t="s">
        <v>23</v>
      </c>
      <c r="D92" t="s">
        <v>50</v>
      </c>
      <c r="F92" t="s">
        <v>204</v>
      </c>
      <c r="G92" t="s">
        <v>196</v>
      </c>
      <c r="H92" t="s">
        <v>197</v>
      </c>
      <c r="J92" t="s">
        <v>198</v>
      </c>
      <c r="K92" t="s">
        <v>201</v>
      </c>
      <c r="L92" t="s">
        <v>77</v>
      </c>
      <c r="M92" s="29">
        <v>10.151707783756551</v>
      </c>
      <c r="N92" s="29">
        <v>2.348540215266206</v>
      </c>
      <c r="O92" s="29">
        <f>Table2[[#This Row],[Hot water demand (MWh)]]+Table2[[#This Row],[Space heating demand (MWh)]]</f>
        <v>12.500247999022758</v>
      </c>
      <c r="P92" s="34">
        <v>8.0814245937027209</v>
      </c>
      <c r="Q92" s="34">
        <v>73.401759493847663</v>
      </c>
      <c r="R92" t="s">
        <v>199</v>
      </c>
      <c r="S92" s="17">
        <v>2659.3341032469511</v>
      </c>
      <c r="T92" s="29">
        <v>51.718777192759255</v>
      </c>
      <c r="U92" s="17">
        <v>215.79087719298246</v>
      </c>
      <c r="V92" s="29">
        <v>5.8297067946710941</v>
      </c>
      <c r="W92" s="29">
        <v>1.3486697156908678</v>
      </c>
      <c r="X92" s="29">
        <v>36.45897608869457</v>
      </c>
      <c r="Y92" s="29">
        <v>8.0814245937027209</v>
      </c>
    </row>
    <row r="93" spans="2:25">
      <c r="B93">
        <v>86</v>
      </c>
      <c r="C93" t="s">
        <v>23</v>
      </c>
      <c r="D93" t="s">
        <v>50</v>
      </c>
      <c r="F93" t="s">
        <v>204</v>
      </c>
      <c r="G93" t="s">
        <v>196</v>
      </c>
      <c r="H93" t="s">
        <v>197</v>
      </c>
      <c r="J93" t="s">
        <v>198</v>
      </c>
      <c r="K93" t="s">
        <v>198</v>
      </c>
      <c r="L93" t="s">
        <v>78</v>
      </c>
      <c r="M93" s="29">
        <v>6.875353367423771</v>
      </c>
      <c r="N93" s="29">
        <v>2.1625592024446587</v>
      </c>
      <c r="O93" s="29">
        <f>Table2[[#This Row],[Hot water demand (MWh)]]+Table2[[#This Row],[Space heating demand (MWh)]]</f>
        <v>9.0379125698684302</v>
      </c>
      <c r="P93" s="35">
        <v>7.2179444212585038</v>
      </c>
      <c r="Q93" s="35">
        <v>66.54260257640442</v>
      </c>
      <c r="R93" t="s">
        <v>199</v>
      </c>
      <c r="S93" s="17">
        <v>3321.8348798453144</v>
      </c>
      <c r="T93" s="29">
        <v>44.716169510088733</v>
      </c>
      <c r="U93" s="17">
        <v>187.32359550561799</v>
      </c>
      <c r="V93" s="29">
        <v>3.6920611483532797</v>
      </c>
      <c r="W93" s="29">
        <v>1.1612931562456603</v>
      </c>
      <c r="X93" s="29">
        <v>32.644870784231287</v>
      </c>
      <c r="Y93" s="29">
        <v>7.2179444212585038</v>
      </c>
    </row>
    <row r="94" spans="2:25">
      <c r="B94" s="3">
        <v>87</v>
      </c>
      <c r="C94" t="s">
        <v>23</v>
      </c>
      <c r="D94" t="s">
        <v>50</v>
      </c>
      <c r="F94" t="s">
        <v>204</v>
      </c>
      <c r="G94" t="s">
        <v>196</v>
      </c>
      <c r="H94" t="s">
        <v>197</v>
      </c>
      <c r="J94" t="s">
        <v>198</v>
      </c>
      <c r="K94" t="s">
        <v>201</v>
      </c>
      <c r="L94" t="s">
        <v>78</v>
      </c>
      <c r="M94" s="29">
        <v>10.151707783756551</v>
      </c>
      <c r="N94" s="29">
        <v>2.348540215266206</v>
      </c>
      <c r="O94" s="29">
        <f>Table2[[#This Row],[Hot water demand (MWh)]]+Table2[[#This Row],[Space heating demand (MWh)]]</f>
        <v>12.500247999022758</v>
      </c>
      <c r="P94" s="34">
        <v>8.0814245937027209</v>
      </c>
      <c r="Q94" s="34">
        <v>73.401759493847663</v>
      </c>
      <c r="R94" t="s">
        <v>199</v>
      </c>
      <c r="S94" s="17">
        <v>2659.3341032469511</v>
      </c>
      <c r="T94" s="29">
        <v>51.718777192759255</v>
      </c>
      <c r="U94" s="17">
        <v>215.79087719298246</v>
      </c>
      <c r="V94" s="29">
        <v>5.8297067946710941</v>
      </c>
      <c r="W94" s="29">
        <v>1.3486697156908678</v>
      </c>
      <c r="X94" s="29">
        <v>36.45897608869457</v>
      </c>
      <c r="Y94" s="29">
        <v>8.0814245937027209</v>
      </c>
    </row>
    <row r="95" spans="2:25">
      <c r="B95" s="3">
        <v>88</v>
      </c>
      <c r="C95" t="s">
        <v>23</v>
      </c>
      <c r="D95" t="s">
        <v>50</v>
      </c>
      <c r="F95" t="s">
        <v>204</v>
      </c>
      <c r="G95" t="s">
        <v>196</v>
      </c>
      <c r="H95" t="s">
        <v>197</v>
      </c>
      <c r="J95" t="s">
        <v>201</v>
      </c>
      <c r="K95" t="s">
        <v>201</v>
      </c>
      <c r="L95" t="s">
        <v>77</v>
      </c>
      <c r="M95" s="29">
        <v>18.186926096361123</v>
      </c>
      <c r="N95" s="29">
        <v>2.0693221766431655</v>
      </c>
      <c r="O95" s="29">
        <f>Table2[[#This Row],[Hot water demand (MWh)]]+Table2[[#This Row],[Space heating demand (MWh)]]</f>
        <v>20.256248273004289</v>
      </c>
      <c r="P95" s="35">
        <v>5.7528644122128263</v>
      </c>
      <c r="Q95" s="35">
        <v>29.079499192694112</v>
      </c>
      <c r="R95" t="s">
        <v>199</v>
      </c>
      <c r="S95" s="17">
        <v>7922.0163286198649</v>
      </c>
      <c r="T95" s="29">
        <v>31.857773751454882</v>
      </c>
      <c r="U95" s="17">
        <v>224.02379269729093</v>
      </c>
      <c r="V95" s="29">
        <v>10.454730748677669</v>
      </c>
      <c r="W95" s="29">
        <v>1.1895471546123744</v>
      </c>
      <c r="X95" s="29">
        <v>14.460631435952012</v>
      </c>
      <c r="Y95" s="29">
        <v>5.7528644122128272</v>
      </c>
    </row>
    <row r="96" spans="2:25">
      <c r="B96">
        <v>89</v>
      </c>
      <c r="C96" t="s">
        <v>23</v>
      </c>
      <c r="D96" t="s">
        <v>50</v>
      </c>
      <c r="F96" t="s">
        <v>204</v>
      </c>
      <c r="G96" t="s">
        <v>205</v>
      </c>
      <c r="H96" t="s">
        <v>197</v>
      </c>
      <c r="J96" t="s">
        <v>201</v>
      </c>
      <c r="K96" t="s">
        <v>201</v>
      </c>
      <c r="L96" t="s">
        <v>78</v>
      </c>
      <c r="M96" s="29">
        <v>10.88294184368084</v>
      </c>
      <c r="N96" s="29">
        <v>1.4550300150864235</v>
      </c>
      <c r="O96" s="29">
        <f>Table2[[#This Row],[Hot water demand (MWh)]]+Table2[[#This Row],[Space heating demand (MWh)]]</f>
        <v>12.337971858767263</v>
      </c>
      <c r="P96" s="34">
        <v>4.9508951475081027</v>
      </c>
      <c r="Q96" s="34">
        <v>0</v>
      </c>
      <c r="R96" t="s">
        <v>199</v>
      </c>
      <c r="S96" s="17">
        <v>1115.9872236783697</v>
      </c>
      <c r="T96" s="29">
        <v>16.681113665530582</v>
      </c>
      <c r="U96" s="17">
        <v>144.47157190635451</v>
      </c>
      <c r="V96" s="29">
        <v>10.346861494467834</v>
      </c>
      <c r="W96" s="29">
        <v>1.3833570235546486</v>
      </c>
      <c r="X96" s="29">
        <v>0</v>
      </c>
      <c r="Y96" s="29">
        <v>4.9508951475081018</v>
      </c>
    </row>
    <row r="97" spans="2:25">
      <c r="B97" s="3">
        <v>90</v>
      </c>
      <c r="C97" t="s">
        <v>23</v>
      </c>
      <c r="D97" t="s">
        <v>50</v>
      </c>
      <c r="F97" t="s">
        <v>204</v>
      </c>
      <c r="G97" t="s">
        <v>200</v>
      </c>
      <c r="H97" t="s">
        <v>197</v>
      </c>
      <c r="J97" t="s">
        <v>201</v>
      </c>
      <c r="K97" t="s">
        <v>201</v>
      </c>
      <c r="L97" t="s">
        <v>77</v>
      </c>
      <c r="M97" s="29">
        <v>13.860834935884869</v>
      </c>
      <c r="N97" s="29">
        <v>0.754415825200074</v>
      </c>
      <c r="O97" s="29">
        <f>Table2[[#This Row],[Hot water demand (MWh)]]+Table2[[#This Row],[Space heating demand (MWh)]]</f>
        <v>14.615250761084942</v>
      </c>
      <c r="P97" s="35">
        <v>3.7696051302038214</v>
      </c>
      <c r="Q97" s="35">
        <v>0</v>
      </c>
      <c r="R97" t="s">
        <v>199</v>
      </c>
      <c r="S97" s="17">
        <v>12559.521764808407</v>
      </c>
      <c r="T97" s="29">
        <v>19.000710146018466</v>
      </c>
      <c r="U97" s="17">
        <v>126.26582466567608</v>
      </c>
      <c r="V97" s="29">
        <v>14.444899780813817</v>
      </c>
      <c r="W97" s="29">
        <v>0.78620523500082617</v>
      </c>
      <c r="X97" s="29">
        <v>0</v>
      </c>
      <c r="Y97" s="29">
        <v>3.7696051302038209</v>
      </c>
    </row>
    <row r="98" spans="2:25">
      <c r="B98" s="3">
        <v>91</v>
      </c>
      <c r="C98" t="s">
        <v>23</v>
      </c>
      <c r="D98" t="s">
        <v>50</v>
      </c>
      <c r="F98" t="s">
        <v>204</v>
      </c>
      <c r="G98" t="s">
        <v>200</v>
      </c>
      <c r="H98" t="s">
        <v>197</v>
      </c>
      <c r="J98" t="s">
        <v>201</v>
      </c>
      <c r="K98" t="s">
        <v>201</v>
      </c>
      <c r="L98" t="s">
        <v>78</v>
      </c>
      <c r="M98" s="29">
        <v>13.860834935884869</v>
      </c>
      <c r="N98" s="29">
        <v>0.754415825200074</v>
      </c>
      <c r="O98" s="29">
        <f>Table2[[#This Row],[Hot water demand (MWh)]]+Table2[[#This Row],[Space heating demand (MWh)]]</f>
        <v>14.615250761084942</v>
      </c>
      <c r="P98" s="34">
        <v>3.7696051302038214</v>
      </c>
      <c r="Q98" s="34">
        <v>0</v>
      </c>
      <c r="R98" t="s">
        <v>199</v>
      </c>
      <c r="S98" s="17">
        <v>12559.521764808407</v>
      </c>
      <c r="T98" s="29">
        <v>19.000710146018466</v>
      </c>
      <c r="U98" s="17">
        <v>126.26582466567608</v>
      </c>
      <c r="V98" s="29">
        <v>14.444899780813817</v>
      </c>
      <c r="W98" s="29">
        <v>0.78620523500082617</v>
      </c>
      <c r="X98" s="29">
        <v>0</v>
      </c>
      <c r="Y98" s="29">
        <v>3.7696051302038209</v>
      </c>
    </row>
    <row r="99" spans="2:25">
      <c r="B99">
        <v>92</v>
      </c>
      <c r="C99" t="s">
        <v>23</v>
      </c>
      <c r="D99" t="s">
        <v>50</v>
      </c>
      <c r="F99" t="s">
        <v>204</v>
      </c>
      <c r="G99" t="s">
        <v>200</v>
      </c>
      <c r="H99" t="s">
        <v>197</v>
      </c>
      <c r="J99" t="s">
        <v>198</v>
      </c>
      <c r="K99" t="s">
        <v>198</v>
      </c>
      <c r="L99" t="s">
        <v>77</v>
      </c>
      <c r="M99" s="29">
        <v>4.8213208104587402</v>
      </c>
      <c r="N99" s="29">
        <v>0.48691713721857854</v>
      </c>
      <c r="O99" s="29">
        <f>Table2[[#This Row],[Hot water demand (MWh)]]+Table2[[#This Row],[Space heating demand (MWh)]]</f>
        <v>5.3082379476773189</v>
      </c>
      <c r="P99" s="35">
        <v>4.4355874434050921</v>
      </c>
      <c r="Q99" s="35">
        <v>0</v>
      </c>
      <c r="R99" t="s">
        <v>199</v>
      </c>
      <c r="S99" s="17">
        <v>1645.9878449570601</v>
      </c>
      <c r="T99" s="29">
        <v>10.051317358684438</v>
      </c>
      <c r="U99" s="17">
        <v>121.79818594104309</v>
      </c>
      <c r="V99" s="29">
        <v>5.1006069760491988</v>
      </c>
      <c r="W99" s="29">
        <v>0.51512293923014818</v>
      </c>
      <c r="X99" s="29">
        <v>0</v>
      </c>
      <c r="Y99" s="29">
        <v>4.4355874434050921</v>
      </c>
    </row>
    <row r="100" spans="2:25">
      <c r="B100" s="3">
        <v>93</v>
      </c>
      <c r="C100" t="s">
        <v>23</v>
      </c>
      <c r="D100" t="s">
        <v>50</v>
      </c>
      <c r="F100" t="s">
        <v>204</v>
      </c>
      <c r="G100" t="s">
        <v>200</v>
      </c>
      <c r="H100" t="s">
        <v>197</v>
      </c>
      <c r="J100" t="s">
        <v>198</v>
      </c>
      <c r="K100" t="s">
        <v>201</v>
      </c>
      <c r="L100" t="s">
        <v>77</v>
      </c>
      <c r="M100" s="29">
        <v>6.6959938187343084</v>
      </c>
      <c r="N100" s="29">
        <v>0.55220687251918776</v>
      </c>
      <c r="O100" s="29">
        <f>Table2[[#This Row],[Hot water demand (MWh)]]+Table2[[#This Row],[Space heating demand (MWh)]]</f>
        <v>7.248200691253496</v>
      </c>
      <c r="P100" s="34">
        <v>5.1940162233170497</v>
      </c>
      <c r="Q100" s="34">
        <v>0</v>
      </c>
      <c r="R100" t="s">
        <v>199</v>
      </c>
      <c r="S100" s="17">
        <v>2804.8976541615211</v>
      </c>
      <c r="T100" s="29">
        <v>12.709485554153764</v>
      </c>
      <c r="U100" s="17">
        <v>130.0266134397871</v>
      </c>
      <c r="V100" s="29">
        <v>6.942900497346332</v>
      </c>
      <c r="W100" s="29">
        <v>0.5725688334903849</v>
      </c>
      <c r="X100" s="29">
        <v>0</v>
      </c>
      <c r="Y100" s="29">
        <v>5.1940162233170488</v>
      </c>
    </row>
    <row r="101" spans="2:25">
      <c r="B101" s="3">
        <v>94</v>
      </c>
      <c r="C101" t="s">
        <v>23</v>
      </c>
      <c r="D101" t="s">
        <v>50</v>
      </c>
      <c r="F101" t="s">
        <v>204</v>
      </c>
      <c r="G101" t="s">
        <v>196</v>
      </c>
      <c r="H101" t="s">
        <v>202</v>
      </c>
      <c r="J101" t="s">
        <v>198</v>
      </c>
      <c r="K101" t="s">
        <v>198</v>
      </c>
      <c r="L101" t="s">
        <v>77</v>
      </c>
      <c r="M101" s="29">
        <v>6.0784363715375571</v>
      </c>
      <c r="N101" s="29">
        <v>0.89499832832177983</v>
      </c>
      <c r="O101" s="29">
        <f>Table2[[#This Row],[Hot water demand (MWh)]]+Table2[[#This Row],[Space heating demand (MWh)]]</f>
        <v>6.9734346998593368</v>
      </c>
      <c r="P101" s="35">
        <v>11.694594786546027</v>
      </c>
      <c r="Q101" s="35">
        <v>147.85455051633232</v>
      </c>
      <c r="R101" t="s">
        <v>199</v>
      </c>
      <c r="S101" s="17">
        <v>1054.4026444452822</v>
      </c>
      <c r="T101" s="29">
        <v>93.173978062322817</v>
      </c>
      <c r="U101" s="17">
        <v>174.99115044247787</v>
      </c>
      <c r="V101" s="29">
        <v>7.2614366022609032</v>
      </c>
      <c r="W101" s="29">
        <v>1.0691851033712736</v>
      </c>
      <c r="X101" s="29">
        <v>73.148761570144615</v>
      </c>
      <c r="Y101" s="29">
        <v>11.694594786546027</v>
      </c>
    </row>
    <row r="102" spans="2:25">
      <c r="B102">
        <v>95</v>
      </c>
      <c r="C102" t="s">
        <v>23</v>
      </c>
      <c r="D102" t="s">
        <v>50</v>
      </c>
      <c r="F102" t="s">
        <v>204</v>
      </c>
      <c r="G102" t="s">
        <v>196</v>
      </c>
      <c r="H102" t="s">
        <v>202</v>
      </c>
      <c r="J102" t="s">
        <v>198</v>
      </c>
      <c r="K102" t="s">
        <v>201</v>
      </c>
      <c r="L102" t="s">
        <v>77</v>
      </c>
      <c r="M102" s="29">
        <v>10.093529373759834</v>
      </c>
      <c r="N102" s="29">
        <v>0.89248996043246187</v>
      </c>
      <c r="O102" s="29">
        <f>Table2[[#This Row],[Hot water demand (MWh)]]+Table2[[#This Row],[Space heating demand (MWh)]]</f>
        <v>10.986019334192296</v>
      </c>
      <c r="P102" s="34">
        <v>17.506560149126496</v>
      </c>
      <c r="Q102" s="34">
        <v>235.01534745327632</v>
      </c>
      <c r="R102" t="s">
        <v>199</v>
      </c>
      <c r="S102" s="17">
        <v>796.86713128873544</v>
      </c>
      <c r="T102" s="29">
        <v>148.07467223215676</v>
      </c>
      <c r="U102" s="17">
        <v>215.84777517564402</v>
      </c>
      <c r="V102" s="29">
        <v>12.333071358737477</v>
      </c>
      <c r="W102" s="29">
        <v>1.0905147210038966</v>
      </c>
      <c r="X102" s="29">
        <v>117.1445260032889</v>
      </c>
      <c r="Y102" s="29">
        <v>17.506560149126496</v>
      </c>
    </row>
    <row r="103" spans="2:25">
      <c r="B103" s="3">
        <v>96</v>
      </c>
      <c r="C103" t="s">
        <v>23</v>
      </c>
      <c r="D103" t="s">
        <v>50</v>
      </c>
      <c r="F103" t="s">
        <v>204</v>
      </c>
      <c r="G103" t="s">
        <v>196</v>
      </c>
      <c r="H103" t="s">
        <v>202</v>
      </c>
      <c r="J103" t="s">
        <v>201</v>
      </c>
      <c r="K103" t="s">
        <v>198</v>
      </c>
      <c r="L103" t="s">
        <v>77</v>
      </c>
      <c r="M103" s="29">
        <v>13.355785394000051</v>
      </c>
      <c r="N103" s="29">
        <v>0.54594848565302501</v>
      </c>
      <c r="O103" s="29">
        <f>Table2[[#This Row],[Hot water demand (MWh)]]+Table2[[#This Row],[Space heating demand (MWh)]]</f>
        <v>13.901733879653076</v>
      </c>
      <c r="P103" s="35">
        <v>10.989658065136251</v>
      </c>
      <c r="Q103" s="35">
        <v>116.52809497503473</v>
      </c>
      <c r="R103" t="s">
        <v>199</v>
      </c>
      <c r="S103" s="17">
        <v>1009.6138595484915</v>
      </c>
      <c r="T103" s="29">
        <v>86.805888342124177</v>
      </c>
      <c r="U103" s="17">
        <v>166.82255083179297</v>
      </c>
      <c r="V103" s="29">
        <v>16.872838597093555</v>
      </c>
      <c r="W103" s="29">
        <v>0.68971613491853478</v>
      </c>
      <c r="X103" s="29">
        <v>58.253675544975842</v>
      </c>
      <c r="Y103" s="29">
        <v>10.989658065136252</v>
      </c>
    </row>
    <row r="104" spans="2:25">
      <c r="B104" s="3">
        <v>97</v>
      </c>
      <c r="C104" t="s">
        <v>23</v>
      </c>
      <c r="D104" t="s">
        <v>50</v>
      </c>
      <c r="F104" t="s">
        <v>204</v>
      </c>
      <c r="G104" t="s">
        <v>200</v>
      </c>
      <c r="H104" t="s">
        <v>202</v>
      </c>
      <c r="J104" t="s">
        <v>198</v>
      </c>
      <c r="K104" t="s">
        <v>198</v>
      </c>
      <c r="L104" t="s">
        <v>77</v>
      </c>
      <c r="M104" s="29">
        <v>10.576238323713858</v>
      </c>
      <c r="N104" s="29">
        <v>0.84084561287015891</v>
      </c>
      <c r="O104" s="29">
        <f>Table2[[#This Row],[Hot water demand (MWh)]]+Table2[[#This Row],[Space heating demand (MWh)]]</f>
        <v>11.417083936584017</v>
      </c>
      <c r="P104" s="34">
        <v>5.5425752486902047</v>
      </c>
      <c r="Q104" s="34">
        <v>0</v>
      </c>
      <c r="R104" t="s">
        <v>199</v>
      </c>
      <c r="S104" s="17">
        <v>347.11308295012833</v>
      </c>
      <c r="T104" s="29">
        <v>19.942958439782998</v>
      </c>
      <c r="U104" s="17">
        <v>211.02688172043011</v>
      </c>
      <c r="V104" s="29">
        <v>13.339823498518404</v>
      </c>
      <c r="W104" s="29">
        <v>1.0605596925743903</v>
      </c>
      <c r="X104" s="29">
        <v>0</v>
      </c>
      <c r="Y104" s="29">
        <v>5.5425752486902038</v>
      </c>
    </row>
    <row r="105" spans="2:25">
      <c r="B105">
        <v>98</v>
      </c>
      <c r="C105" t="s">
        <v>23</v>
      </c>
      <c r="D105" t="s">
        <v>50</v>
      </c>
      <c r="F105" t="s">
        <v>204</v>
      </c>
      <c r="G105" t="s">
        <v>205</v>
      </c>
      <c r="H105" t="s">
        <v>203</v>
      </c>
      <c r="J105" t="s">
        <v>198</v>
      </c>
      <c r="K105" t="s">
        <v>201</v>
      </c>
      <c r="L105" t="s">
        <v>77</v>
      </c>
      <c r="M105" s="29">
        <v>23.280442915759519</v>
      </c>
      <c r="N105" s="29">
        <v>1.9177877091070541</v>
      </c>
      <c r="O105" s="29">
        <f>Table2[[#This Row],[Hot water demand (MWh)]]+Table2[[#This Row],[Space heating demand (MWh)]]</f>
        <v>25.198230624866572</v>
      </c>
      <c r="P105" s="35">
        <v>25.069213662535283</v>
      </c>
      <c r="Q105" s="35">
        <v>0</v>
      </c>
      <c r="R105" t="s">
        <v>199</v>
      </c>
      <c r="S105" s="17">
        <v>20.528193077695764</v>
      </c>
      <c r="T105" s="29">
        <v>59.085630719801735</v>
      </c>
      <c r="U105" s="17">
        <v>693</v>
      </c>
      <c r="V105" s="29">
        <v>31.427494544750537</v>
      </c>
      <c r="W105" s="29">
        <v>2.5889225125159196</v>
      </c>
      <c r="X105" s="29">
        <v>0</v>
      </c>
      <c r="Y105" s="29">
        <v>25.069213662535287</v>
      </c>
    </row>
    <row r="106" spans="2:25">
      <c r="B106" s="3">
        <v>99</v>
      </c>
      <c r="C106" t="s">
        <v>23</v>
      </c>
      <c r="D106" t="s">
        <v>50</v>
      </c>
      <c r="F106" t="s">
        <v>204</v>
      </c>
      <c r="G106" t="s">
        <v>205</v>
      </c>
      <c r="H106" t="s">
        <v>203</v>
      </c>
      <c r="J106" t="s">
        <v>201</v>
      </c>
      <c r="K106" t="s">
        <v>201</v>
      </c>
      <c r="L106" t="s">
        <v>78</v>
      </c>
      <c r="M106" s="29">
        <v>37.755806557545718</v>
      </c>
      <c r="N106" s="29">
        <v>7.1631147569323526</v>
      </c>
      <c r="O106" s="29">
        <f>Table2[[#This Row],[Hot water demand (MWh)]]+Table2[[#This Row],[Space heating demand (MWh)]]</f>
        <v>44.918921314478069</v>
      </c>
      <c r="P106" s="34">
        <v>12.998785766922051</v>
      </c>
      <c r="Q106" s="34">
        <v>0</v>
      </c>
      <c r="R106" t="s">
        <v>199</v>
      </c>
      <c r="S106" s="17">
        <v>91.443769164281122</v>
      </c>
      <c r="T106" s="29">
        <v>71.550730733254582</v>
      </c>
      <c r="U106" s="17">
        <v>437.48979591836735</v>
      </c>
      <c r="V106" s="29">
        <v>49.214803985161112</v>
      </c>
      <c r="W106" s="29">
        <v>9.3371409811714212</v>
      </c>
      <c r="X106" s="29">
        <v>0</v>
      </c>
      <c r="Y106" s="29">
        <v>12.998785766922051</v>
      </c>
    </row>
    <row r="107" spans="2:25">
      <c r="B107" s="3">
        <v>100</v>
      </c>
      <c r="C107" t="s">
        <v>23</v>
      </c>
      <c r="D107" t="s">
        <v>50</v>
      </c>
      <c r="F107" t="s">
        <v>204</v>
      </c>
      <c r="G107" t="s">
        <v>200</v>
      </c>
      <c r="H107" t="s">
        <v>203</v>
      </c>
      <c r="J107" t="s">
        <v>201</v>
      </c>
      <c r="K107" t="s">
        <v>201</v>
      </c>
      <c r="L107" t="s">
        <v>78</v>
      </c>
      <c r="M107" s="29">
        <v>26.871055110956249</v>
      </c>
      <c r="N107" s="29">
        <v>2.8253892698365375</v>
      </c>
      <c r="O107" s="29">
        <f>Table2[[#This Row],[Hot water demand (MWh)]]+Table2[[#This Row],[Space heating demand (MWh)]]</f>
        <v>29.696444380792787</v>
      </c>
      <c r="P107" s="35">
        <v>5.6606061435589394</v>
      </c>
      <c r="Q107" s="35">
        <v>0</v>
      </c>
      <c r="R107" t="s">
        <v>199</v>
      </c>
      <c r="S107" s="17">
        <v>1254.0859771101411</v>
      </c>
      <c r="T107" s="29">
        <v>44.806895691746774</v>
      </c>
      <c r="U107" s="17">
        <v>258.40029761904759</v>
      </c>
      <c r="V107" s="29">
        <v>35.421819876832139</v>
      </c>
      <c r="W107" s="29">
        <v>3.7244696713556991</v>
      </c>
      <c r="X107" s="29">
        <v>0</v>
      </c>
      <c r="Y107" s="29">
        <v>5.6606061435589403</v>
      </c>
    </row>
    <row r="108" spans="2:25">
      <c r="B108">
        <v>101</v>
      </c>
      <c r="C108" t="s">
        <v>23</v>
      </c>
      <c r="D108" t="s">
        <v>50</v>
      </c>
      <c r="F108" t="s">
        <v>204</v>
      </c>
      <c r="G108" t="s">
        <v>200</v>
      </c>
      <c r="H108" t="s">
        <v>203</v>
      </c>
      <c r="J108" t="s">
        <v>198</v>
      </c>
      <c r="K108" t="s">
        <v>198</v>
      </c>
      <c r="L108" t="s">
        <v>77</v>
      </c>
      <c r="M108" s="29">
        <v>5.1756776336199382</v>
      </c>
      <c r="N108" s="29">
        <v>1.3523824816711243</v>
      </c>
      <c r="O108" s="29">
        <f>Table2[[#This Row],[Hot water demand (MWh)]]+Table2[[#This Row],[Space heating demand (MWh)]]</f>
        <v>6.528060115291062</v>
      </c>
      <c r="P108" s="34">
        <v>4.420296242138761</v>
      </c>
      <c r="Q108" s="34">
        <v>0</v>
      </c>
      <c r="R108" t="s">
        <v>199</v>
      </c>
      <c r="S108" s="17">
        <v>61.584579233087283</v>
      </c>
      <c r="T108" s="29">
        <v>12.922884764761744</v>
      </c>
      <c r="U108" s="17">
        <v>217.96969696969697</v>
      </c>
      <c r="V108" s="29">
        <v>6.7411537987118049</v>
      </c>
      <c r="W108" s="29">
        <v>1.7614347239111787</v>
      </c>
      <c r="X108" s="29">
        <v>0</v>
      </c>
      <c r="Y108" s="29">
        <v>4.420296242138761</v>
      </c>
    </row>
    <row r="109" spans="2:25">
      <c r="B109" s="3">
        <v>102</v>
      </c>
      <c r="C109" t="s">
        <v>23</v>
      </c>
      <c r="D109" t="s">
        <v>50</v>
      </c>
      <c r="F109" t="s">
        <v>204</v>
      </c>
      <c r="G109" t="s">
        <v>200</v>
      </c>
      <c r="H109" t="s">
        <v>203</v>
      </c>
      <c r="J109" t="s">
        <v>198</v>
      </c>
      <c r="K109" t="s">
        <v>201</v>
      </c>
      <c r="L109" t="s">
        <v>77</v>
      </c>
      <c r="M109" s="29">
        <v>18.714480130269298</v>
      </c>
      <c r="N109" s="29">
        <v>2.0584305309012412</v>
      </c>
      <c r="O109" s="29">
        <f>Table2[[#This Row],[Hot water demand (MWh)]]+Table2[[#This Row],[Space heating demand (MWh)]]</f>
        <v>20.772910661170538</v>
      </c>
      <c r="P109" s="35">
        <v>7.0821994909422861</v>
      </c>
      <c r="Q109" s="35">
        <v>0</v>
      </c>
      <c r="R109" t="s">
        <v>199</v>
      </c>
      <c r="S109" s="17">
        <v>147.42975028526956</v>
      </c>
      <c r="T109" s="29">
        <v>35.17160417741831</v>
      </c>
      <c r="U109" s="17">
        <v>280.03797468354429</v>
      </c>
      <c r="V109" s="29">
        <v>25.305967683130991</v>
      </c>
      <c r="W109" s="29">
        <v>2.7834370033450351</v>
      </c>
      <c r="X109" s="29">
        <v>0</v>
      </c>
      <c r="Y109" s="29">
        <v>7.082199490942287</v>
      </c>
    </row>
    <row r="110" spans="2:25">
      <c r="B110" s="3">
        <v>103</v>
      </c>
      <c r="C110" t="s">
        <v>23</v>
      </c>
      <c r="D110" t="s">
        <v>50</v>
      </c>
      <c r="F110" t="s">
        <v>204</v>
      </c>
      <c r="G110" t="s">
        <v>200</v>
      </c>
      <c r="H110" t="s">
        <v>203</v>
      </c>
      <c r="J110" t="s">
        <v>201</v>
      </c>
      <c r="K110" t="s">
        <v>201</v>
      </c>
      <c r="L110" t="s">
        <v>77</v>
      </c>
      <c r="M110" s="29">
        <v>26.871055110956249</v>
      </c>
      <c r="N110" s="29">
        <v>2.8253892698365375</v>
      </c>
      <c r="O110" s="29">
        <f>Table2[[#This Row],[Hot water demand (MWh)]]+Table2[[#This Row],[Space heating demand (MWh)]]</f>
        <v>29.696444380792787</v>
      </c>
      <c r="P110" s="34">
        <v>5.6606061435589394</v>
      </c>
      <c r="Q110" s="34">
        <v>0</v>
      </c>
      <c r="R110" t="s">
        <v>199</v>
      </c>
      <c r="S110" s="17">
        <v>1254.0859771101411</v>
      </c>
      <c r="T110" s="29">
        <v>44.806895691746774</v>
      </c>
      <c r="U110" s="17">
        <v>258.40029761904759</v>
      </c>
      <c r="V110" s="29">
        <v>35.421819876832139</v>
      </c>
      <c r="W110" s="29">
        <v>3.7244696713556991</v>
      </c>
      <c r="X110" s="29">
        <v>0</v>
      </c>
      <c r="Y110" s="29">
        <v>5.6606061435589403</v>
      </c>
    </row>
    <row r="111" spans="2:25">
      <c r="B111">
        <v>104</v>
      </c>
      <c r="C111" t="s">
        <v>23</v>
      </c>
      <c r="D111" t="s">
        <v>52</v>
      </c>
      <c r="F111" t="s">
        <v>195</v>
      </c>
      <c r="G111" t="s">
        <v>196</v>
      </c>
      <c r="H111" t="s">
        <v>197</v>
      </c>
      <c r="J111" t="s">
        <v>198</v>
      </c>
      <c r="K111" t="s">
        <v>198</v>
      </c>
      <c r="L111" t="s">
        <v>77</v>
      </c>
      <c r="M111" s="29">
        <v>57.039062871010707</v>
      </c>
      <c r="N111" s="29">
        <v>27.939229630849876</v>
      </c>
      <c r="O111" s="29">
        <f>Table2[[#This Row],[Hot water demand (MWh)]]+Table2[[#This Row],[Space heating demand (MWh)]]</f>
        <v>84.978292501860579</v>
      </c>
      <c r="P111" s="35">
        <v>64.374510602613697</v>
      </c>
      <c r="Q111" s="35">
        <v>549.04417087635238</v>
      </c>
      <c r="R111" t="s">
        <v>199</v>
      </c>
      <c r="S111" s="17">
        <v>56.197381923427521</v>
      </c>
      <c r="T111" s="29">
        <v>373.0973180745242</v>
      </c>
      <c r="U111" s="17">
        <v>3038.2452830188681</v>
      </c>
      <c r="V111" s="29">
        <v>28.501661763659875</v>
      </c>
      <c r="W111" s="29">
        <v>13.960861781276256</v>
      </c>
      <c r="X111" s="29">
        <v>266.2602839269743</v>
      </c>
      <c r="Y111" s="29">
        <v>64.374510602613711</v>
      </c>
    </row>
    <row r="112" spans="2:25">
      <c r="B112" s="3">
        <v>105</v>
      </c>
      <c r="C112" t="s">
        <v>23</v>
      </c>
      <c r="D112" t="s">
        <v>52</v>
      </c>
      <c r="F112" t="s">
        <v>195</v>
      </c>
      <c r="G112" t="s">
        <v>200</v>
      </c>
      <c r="H112" t="s">
        <v>197</v>
      </c>
      <c r="J112" t="s">
        <v>198</v>
      </c>
      <c r="K112" t="s">
        <v>201</v>
      </c>
      <c r="L112" t="s">
        <v>77</v>
      </c>
      <c r="M112" s="29">
        <v>49.006996877974501</v>
      </c>
      <c r="N112" s="29">
        <v>3.2255309985732472</v>
      </c>
      <c r="O112" s="29">
        <f>Table2[[#This Row],[Hot water demand (MWh)]]+Table2[[#This Row],[Space heating demand (MWh)]]</f>
        <v>52.232527876547749</v>
      </c>
      <c r="P112" s="34">
        <v>43.919765485423461</v>
      </c>
      <c r="Q112" s="34">
        <v>0</v>
      </c>
      <c r="R112" t="s">
        <v>199</v>
      </c>
      <c r="S112" s="17">
        <v>119.81705957259076</v>
      </c>
      <c r="T112" s="29">
        <v>97.79010620010277</v>
      </c>
      <c r="U112" s="17">
        <v>2670.0265486725662</v>
      </c>
      <c r="V112" s="29">
        <v>50.54366936747617</v>
      </c>
      <c r="W112" s="29">
        <v>3.3266713472031384</v>
      </c>
      <c r="X112" s="29">
        <v>0</v>
      </c>
      <c r="Y112" s="29">
        <v>43.919765485423461</v>
      </c>
    </row>
    <row r="113" spans="2:25">
      <c r="B113" s="3">
        <v>106</v>
      </c>
      <c r="C113" t="s">
        <v>23</v>
      </c>
      <c r="D113" t="s">
        <v>52</v>
      </c>
      <c r="F113" t="s">
        <v>195</v>
      </c>
      <c r="G113" t="s">
        <v>200</v>
      </c>
      <c r="H113" t="s">
        <v>197</v>
      </c>
      <c r="J113" t="s">
        <v>198</v>
      </c>
      <c r="K113" t="s">
        <v>198</v>
      </c>
      <c r="L113" t="s">
        <v>77</v>
      </c>
      <c r="M113" s="29">
        <v>43.663813068672361</v>
      </c>
      <c r="N113" s="29">
        <v>1.5689901026444688</v>
      </c>
      <c r="O113" s="29">
        <f>Table2[[#This Row],[Hot water demand (MWh)]]+Table2[[#This Row],[Space heating demand (MWh)]]</f>
        <v>45.232803171316831</v>
      </c>
      <c r="P113" s="35">
        <v>28.962882539721377</v>
      </c>
      <c r="Q113" s="35">
        <v>0</v>
      </c>
      <c r="R113" t="s">
        <v>199</v>
      </c>
      <c r="S113" s="17">
        <v>75.283285218176502</v>
      </c>
      <c r="T113" s="29">
        <v>67.860530707082248</v>
      </c>
      <c r="U113" s="17">
        <v>2200.3380281690143</v>
      </c>
      <c r="V113" s="29">
        <v>37.548405566596372</v>
      </c>
      <c r="W113" s="29">
        <v>1.3492426007644935</v>
      </c>
      <c r="X113" s="29">
        <v>0</v>
      </c>
      <c r="Y113" s="29">
        <v>28.962882539721381</v>
      </c>
    </row>
    <row r="114" spans="2:25">
      <c r="B114">
        <v>107</v>
      </c>
      <c r="C114" t="s">
        <v>23</v>
      </c>
      <c r="D114" t="s">
        <v>52</v>
      </c>
      <c r="F114" t="s">
        <v>195</v>
      </c>
      <c r="G114" t="s">
        <v>200</v>
      </c>
      <c r="H114" t="s">
        <v>197</v>
      </c>
      <c r="J114" t="s">
        <v>201</v>
      </c>
      <c r="K114" t="s">
        <v>201</v>
      </c>
      <c r="L114" t="s">
        <v>77</v>
      </c>
      <c r="M114" s="29">
        <v>101.7653213523222</v>
      </c>
      <c r="N114" s="29">
        <v>8.2480367562974308</v>
      </c>
      <c r="O114" s="29">
        <f>Table2[[#This Row],[Hot water demand (MWh)]]+Table2[[#This Row],[Space heating demand (MWh)]]</f>
        <v>110.01335810861963</v>
      </c>
      <c r="P114" s="34">
        <v>31.299668358812234</v>
      </c>
      <c r="Q114" s="34">
        <v>0</v>
      </c>
      <c r="R114" t="s">
        <v>199</v>
      </c>
      <c r="S114" s="17">
        <v>382.77839385579881</v>
      </c>
      <c r="T114" s="29">
        <v>143.77801390515157</v>
      </c>
      <c r="U114" s="17">
        <v>2540.6814404432134</v>
      </c>
      <c r="V114" s="29">
        <v>104.04550116904329</v>
      </c>
      <c r="W114" s="29">
        <v>8.4328443772960551</v>
      </c>
      <c r="X114" s="29">
        <v>0</v>
      </c>
      <c r="Y114" s="29">
        <v>31.299668358812234</v>
      </c>
    </row>
    <row r="115" spans="2:25">
      <c r="B115" s="3">
        <v>108</v>
      </c>
      <c r="C115" t="s">
        <v>23</v>
      </c>
      <c r="D115" t="s">
        <v>52</v>
      </c>
      <c r="F115" t="s">
        <v>195</v>
      </c>
      <c r="G115" t="s">
        <v>196</v>
      </c>
      <c r="H115" t="s">
        <v>202</v>
      </c>
      <c r="J115" t="s">
        <v>198</v>
      </c>
      <c r="K115" t="s">
        <v>201</v>
      </c>
      <c r="L115" t="s">
        <v>77</v>
      </c>
      <c r="M115" s="29">
        <v>129.0058059772461</v>
      </c>
      <c r="N115" s="29">
        <v>13.001091291493678</v>
      </c>
      <c r="O115" s="29">
        <f>Table2[[#This Row],[Hot water demand (MWh)]]+Table2[[#This Row],[Space heating demand (MWh)]]</f>
        <v>142.00689726873978</v>
      </c>
      <c r="P115" s="35">
        <v>89.569775102297527</v>
      </c>
      <c r="Q115" s="35">
        <v>572.82330479243217</v>
      </c>
      <c r="R115" t="s">
        <v>199</v>
      </c>
      <c r="S115" s="17">
        <v>49.835414158511199</v>
      </c>
      <c r="T115" s="29">
        <v>535.35688023990167</v>
      </c>
      <c r="U115" s="17">
        <v>3597.5531914893618</v>
      </c>
      <c r="V115" s="29">
        <v>143.57823558830239</v>
      </c>
      <c r="W115" s="29">
        <v>14.469687888964838</v>
      </c>
      <c r="X115" s="29">
        <v>287.73918166033684</v>
      </c>
      <c r="Y115" s="29">
        <v>89.569775102297541</v>
      </c>
    </row>
    <row r="116" spans="2:25">
      <c r="B116" s="3">
        <v>109</v>
      </c>
      <c r="C116" t="s">
        <v>23</v>
      </c>
      <c r="D116" t="s">
        <v>52</v>
      </c>
      <c r="F116" t="s">
        <v>195</v>
      </c>
      <c r="G116" t="s">
        <v>196</v>
      </c>
      <c r="H116" t="s">
        <v>202</v>
      </c>
      <c r="J116" t="s">
        <v>198</v>
      </c>
      <c r="K116" t="s">
        <v>198</v>
      </c>
      <c r="L116" t="s">
        <v>77</v>
      </c>
      <c r="M116" s="29">
        <v>149.57356408114669</v>
      </c>
      <c r="N116" s="29">
        <v>27.575646546855772</v>
      </c>
      <c r="O116" s="29">
        <f>Table2[[#This Row],[Hot water demand (MWh)]]+Table2[[#This Row],[Space heating demand (MWh)]]</f>
        <v>177.14921062800246</v>
      </c>
      <c r="P116" s="34">
        <v>104.1105220885312</v>
      </c>
      <c r="Q116" s="34">
        <v>593.29056645846549</v>
      </c>
      <c r="R116" t="s">
        <v>199</v>
      </c>
      <c r="S116" s="17">
        <v>47.714758236872427</v>
      </c>
      <c r="T116" s="29">
        <v>560.18781923363701</v>
      </c>
      <c r="U116" s="17">
        <v>5460.7111111111108</v>
      </c>
      <c r="V116" s="29">
        <v>149.57356408114669</v>
      </c>
      <c r="W116" s="29">
        <v>27.575646546855772</v>
      </c>
      <c r="X116" s="29">
        <v>278.92808651710345</v>
      </c>
      <c r="Y116" s="29">
        <v>104.1105220885312</v>
      </c>
    </row>
    <row r="117" spans="2:25">
      <c r="B117">
        <v>110</v>
      </c>
      <c r="C117" t="s">
        <v>23</v>
      </c>
      <c r="D117" t="s">
        <v>52</v>
      </c>
      <c r="F117" t="s">
        <v>195</v>
      </c>
      <c r="G117" t="s">
        <v>200</v>
      </c>
      <c r="H117" t="s">
        <v>203</v>
      </c>
      <c r="J117" t="s">
        <v>198</v>
      </c>
      <c r="K117" t="s">
        <v>201</v>
      </c>
      <c r="L117" t="s">
        <v>77</v>
      </c>
      <c r="M117" s="29">
        <v>104.63074568348021</v>
      </c>
      <c r="N117" s="29">
        <v>6.3026729283774907</v>
      </c>
      <c r="O117" s="29">
        <f>Table2[[#This Row],[Hot water demand (MWh)]]+Table2[[#This Row],[Space heating demand (MWh)]]</f>
        <v>110.9334186118577</v>
      </c>
      <c r="P117" s="35">
        <v>42.653832223017332</v>
      </c>
      <c r="Q117" s="35">
        <v>0</v>
      </c>
      <c r="R117" t="s">
        <v>199</v>
      </c>
      <c r="S117" s="17">
        <v>58.318037845066307</v>
      </c>
      <c r="T117" s="29">
        <v>183.38222329559821</v>
      </c>
      <c r="U117" s="17">
        <v>3310.8363636363638</v>
      </c>
      <c r="V117" s="29">
        <v>132.73291926826684</v>
      </c>
      <c r="W117" s="29">
        <v>7.995471804314052</v>
      </c>
      <c r="X117" s="29">
        <v>0</v>
      </c>
      <c r="Y117" s="29">
        <v>42.653832223017339</v>
      </c>
    </row>
    <row r="118" spans="2:25">
      <c r="B118" s="3">
        <v>111</v>
      </c>
      <c r="C118" t="s">
        <v>23</v>
      </c>
      <c r="D118" t="s">
        <v>52</v>
      </c>
      <c r="F118" t="s">
        <v>195</v>
      </c>
      <c r="G118" t="s">
        <v>200</v>
      </c>
      <c r="H118" t="s">
        <v>203</v>
      </c>
      <c r="J118" t="s">
        <v>198</v>
      </c>
      <c r="K118" t="s">
        <v>198</v>
      </c>
      <c r="L118" t="s">
        <v>77</v>
      </c>
      <c r="M118" s="29">
        <v>111.94054932271786</v>
      </c>
      <c r="N118" s="29">
        <v>8.7396352381271942</v>
      </c>
      <c r="O118" s="29">
        <f>Table2[[#This Row],[Hot water demand (MWh)]]+Table2[[#This Row],[Space heating demand (MWh)]]</f>
        <v>120.68018456084505</v>
      </c>
      <c r="P118" s="34">
        <v>25.232326106945866</v>
      </c>
      <c r="Q118" s="34">
        <v>0</v>
      </c>
      <c r="R118" t="s">
        <v>199</v>
      </c>
      <c r="S118" s="17">
        <v>29.689182902942843</v>
      </c>
      <c r="T118" s="29">
        <v>179.94947863500278</v>
      </c>
      <c r="U118" s="17">
        <v>2172.5</v>
      </c>
      <c r="V118" s="29">
        <v>143.51256676198889</v>
      </c>
      <c r="W118" s="29">
        <v>11.204585766068021</v>
      </c>
      <c r="X118" s="29">
        <v>0</v>
      </c>
      <c r="Y118" s="29">
        <v>25.232326106945866</v>
      </c>
    </row>
    <row r="119" spans="2:25">
      <c r="B119" s="3">
        <v>112</v>
      </c>
      <c r="C119" t="s">
        <v>23</v>
      </c>
      <c r="D119" t="s">
        <v>52</v>
      </c>
      <c r="F119" t="s">
        <v>204</v>
      </c>
      <c r="G119" t="s">
        <v>200</v>
      </c>
      <c r="H119" t="s">
        <v>197</v>
      </c>
      <c r="J119" t="s">
        <v>201</v>
      </c>
      <c r="K119" t="s">
        <v>201</v>
      </c>
      <c r="L119" t="s">
        <v>77</v>
      </c>
      <c r="M119" s="29">
        <v>25.152108041262558</v>
      </c>
      <c r="N119" s="29">
        <v>0.84619500796970337</v>
      </c>
      <c r="O119" s="29">
        <f>Table2[[#This Row],[Hot water demand (MWh)]]+Table2[[#This Row],[Space heating demand (MWh)]]</f>
        <v>25.998303049232263</v>
      </c>
      <c r="P119" s="35">
        <v>5.529281229399027</v>
      </c>
      <c r="Q119" s="35">
        <v>0</v>
      </c>
      <c r="R119" t="s">
        <v>199</v>
      </c>
      <c r="S119" s="17">
        <v>3936.704872877398</v>
      </c>
      <c r="T119" s="29">
        <v>32.140655509505251</v>
      </c>
      <c r="U119" s="17">
        <v>389.53663466397171</v>
      </c>
      <c r="V119" s="29">
        <v>25.745224976884518</v>
      </c>
      <c r="W119" s="29">
        <v>0.86614930322170458</v>
      </c>
      <c r="X119" s="29">
        <v>0</v>
      </c>
      <c r="Y119" s="29">
        <v>5.5292812293990279</v>
      </c>
    </row>
    <row r="120" spans="2:25">
      <c r="B120">
        <v>113</v>
      </c>
      <c r="C120" t="s">
        <v>23</v>
      </c>
      <c r="D120" t="s">
        <v>52</v>
      </c>
      <c r="F120" t="s">
        <v>204</v>
      </c>
      <c r="G120" t="s">
        <v>205</v>
      </c>
      <c r="H120" t="s">
        <v>203</v>
      </c>
      <c r="J120" t="s">
        <v>201</v>
      </c>
      <c r="K120" t="s">
        <v>201</v>
      </c>
      <c r="L120" t="s">
        <v>77</v>
      </c>
      <c r="M120" s="29">
        <v>54.304456574895084</v>
      </c>
      <c r="N120" s="29">
        <v>1.3173945074983804</v>
      </c>
      <c r="O120" s="29">
        <f>Table2[[#This Row],[Hot water demand (MWh)]]+Table2[[#This Row],[Space heating demand (MWh)]]</f>
        <v>55.621851082393462</v>
      </c>
      <c r="P120" s="34">
        <v>16.249099847270475</v>
      </c>
      <c r="Q120" s="34">
        <v>0</v>
      </c>
      <c r="R120" t="s">
        <v>199</v>
      </c>
      <c r="S120" s="17">
        <v>119.3543670402445</v>
      </c>
      <c r="T120" s="29">
        <v>93.478853688153947</v>
      </c>
      <c r="U120" s="17">
        <v>588.31666666666672</v>
      </c>
      <c r="V120" s="29">
        <v>75.400579666605836</v>
      </c>
      <c r="W120" s="29">
        <v>1.8291741742776566</v>
      </c>
      <c r="X120" s="29">
        <v>0</v>
      </c>
      <c r="Y120" s="29">
        <v>16.249099847270475</v>
      </c>
    </row>
    <row r="121" spans="2:25">
      <c r="B121" s="3">
        <v>114</v>
      </c>
      <c r="C121" t="s">
        <v>23</v>
      </c>
      <c r="D121" t="s">
        <v>52</v>
      </c>
      <c r="F121" t="s">
        <v>204</v>
      </c>
      <c r="G121" t="s">
        <v>200</v>
      </c>
      <c r="H121" t="s">
        <v>203</v>
      </c>
      <c r="J121" t="s">
        <v>201</v>
      </c>
      <c r="K121" t="s">
        <v>201</v>
      </c>
      <c r="L121" t="s">
        <v>77</v>
      </c>
      <c r="M121" s="29">
        <v>68.465655724345638</v>
      </c>
      <c r="N121" s="29">
        <v>1.5966376285525192</v>
      </c>
      <c r="O121" s="29">
        <f>Table2[[#This Row],[Hot water demand (MWh)]]+Table2[[#This Row],[Space heating demand (MWh)]]</f>
        <v>70.062293352898152</v>
      </c>
      <c r="P121" s="35">
        <v>7.3037953498449726</v>
      </c>
      <c r="Q121" s="35">
        <v>0</v>
      </c>
      <c r="R121" t="s">
        <v>199</v>
      </c>
      <c r="S121" s="17">
        <v>755.91099125488176</v>
      </c>
      <c r="T121" s="29">
        <v>101.09633443100253</v>
      </c>
      <c r="U121" s="17">
        <v>537.26578947368421</v>
      </c>
      <c r="V121" s="29">
        <v>91.655116938548474</v>
      </c>
      <c r="W121" s="29">
        <v>2.1374221426091005</v>
      </c>
      <c r="X121" s="29">
        <v>0</v>
      </c>
      <c r="Y121" s="29">
        <v>7.3037953498449717</v>
      </c>
    </row>
    <row r="122" spans="2:25">
      <c r="B122" s="3">
        <v>115</v>
      </c>
      <c r="C122" t="s">
        <v>23</v>
      </c>
      <c r="D122" t="s">
        <v>52</v>
      </c>
      <c r="F122" t="s">
        <v>204</v>
      </c>
      <c r="G122" t="s">
        <v>200</v>
      </c>
      <c r="H122" t="s">
        <v>203</v>
      </c>
      <c r="J122" t="s">
        <v>198</v>
      </c>
      <c r="K122" t="s">
        <v>201</v>
      </c>
      <c r="L122" t="s">
        <v>77</v>
      </c>
      <c r="M122" s="29">
        <v>37.617429966987046</v>
      </c>
      <c r="N122" s="29">
        <v>1.2673267205717071</v>
      </c>
      <c r="O122" s="29">
        <f>Table2[[#This Row],[Hot water demand (MWh)]]+Table2[[#This Row],[Space heating demand (MWh)]]</f>
        <v>38.884756687558756</v>
      </c>
      <c r="P122" s="34">
        <v>8.5755586248202036</v>
      </c>
      <c r="Q122" s="34">
        <v>0</v>
      </c>
      <c r="R122" t="s">
        <v>199</v>
      </c>
      <c r="S122" s="17">
        <v>133.2790431949397</v>
      </c>
      <c r="T122" s="29">
        <v>56.463879006663355</v>
      </c>
      <c r="U122" s="17">
        <v>572.94029850746267</v>
      </c>
      <c r="V122" s="29">
        <v>46.327550733447055</v>
      </c>
      <c r="W122" s="29">
        <v>1.5607696483960884</v>
      </c>
      <c r="X122" s="29">
        <v>0</v>
      </c>
      <c r="Y122" s="29">
        <v>8.5755586248202054</v>
      </c>
    </row>
    <row r="123" spans="2:25">
      <c r="B123">
        <v>116</v>
      </c>
      <c r="C123" t="s">
        <v>24</v>
      </c>
      <c r="D123" t="s">
        <v>54</v>
      </c>
      <c r="F123" t="s">
        <v>195</v>
      </c>
      <c r="G123" t="s">
        <v>200</v>
      </c>
      <c r="H123" t="s">
        <v>203</v>
      </c>
      <c r="J123" t="s">
        <v>198</v>
      </c>
      <c r="K123" t="s">
        <v>198</v>
      </c>
      <c r="L123" t="s">
        <v>77</v>
      </c>
      <c r="M123" s="29">
        <v>119.63537492102049</v>
      </c>
      <c r="N123" s="29">
        <v>44.331622939348833</v>
      </c>
      <c r="O123" s="29">
        <f>Table2[[#This Row],[Hot water demand (MWh)]]+Table2[[#This Row],[Space heating demand (MWh)]]</f>
        <v>163.9669978603693</v>
      </c>
      <c r="P123" s="35">
        <v>223.79613910450638</v>
      </c>
      <c r="Q123" s="35">
        <v>0</v>
      </c>
      <c r="R123" t="s">
        <v>199</v>
      </c>
      <c r="S123" s="17">
        <v>480.90190816679944</v>
      </c>
      <c r="T123" s="29">
        <v>403.90926936361916</v>
      </c>
      <c r="U123" s="17">
        <v>4553.7</v>
      </c>
      <c r="V123" s="29">
        <v>131.41609072514262</v>
      </c>
      <c r="W123" s="29">
        <v>48.697039533970184</v>
      </c>
      <c r="X123" s="29">
        <v>0</v>
      </c>
      <c r="Y123" s="29">
        <v>223.79613910450635</v>
      </c>
    </row>
    <row r="124" spans="2:25">
      <c r="B124" s="3">
        <v>117</v>
      </c>
      <c r="C124" t="s">
        <v>24</v>
      </c>
      <c r="D124" t="s">
        <v>54</v>
      </c>
      <c r="F124" t="s">
        <v>195</v>
      </c>
      <c r="G124" t="s">
        <v>200</v>
      </c>
      <c r="H124" t="s">
        <v>203</v>
      </c>
      <c r="J124" t="s">
        <v>201</v>
      </c>
      <c r="K124" t="s">
        <v>201</v>
      </c>
      <c r="L124" t="s">
        <v>77</v>
      </c>
      <c r="M124" s="29">
        <v>313.74506604517637</v>
      </c>
      <c r="N124" s="29">
        <v>58.125083834445633</v>
      </c>
      <c r="O124" s="29">
        <f>Table2[[#This Row],[Hot water demand (MWh)]]+Table2[[#This Row],[Space heating demand (MWh)]]</f>
        <v>371.87014987962198</v>
      </c>
      <c r="P124" s="34">
        <v>202.40384617724106</v>
      </c>
      <c r="Q124" s="34">
        <v>0</v>
      </c>
      <c r="R124" t="s">
        <v>199</v>
      </c>
      <c r="S124" s="17">
        <v>400.75159013899952</v>
      </c>
      <c r="T124" s="29">
        <v>739.97061081300274</v>
      </c>
      <c r="U124" s="17">
        <v>2294.1799999999998</v>
      </c>
      <c r="V124" s="29">
        <v>453.54250705235529</v>
      </c>
      <c r="W124" s="29">
        <v>84.024257583406552</v>
      </c>
      <c r="X124" s="29">
        <v>0</v>
      </c>
      <c r="Y124" s="29">
        <v>202.40384617724106</v>
      </c>
    </row>
    <row r="125" spans="2:25">
      <c r="B125" s="3">
        <v>118</v>
      </c>
      <c r="C125" t="s">
        <v>24</v>
      </c>
      <c r="D125" t="s">
        <v>54</v>
      </c>
      <c r="F125" t="s">
        <v>195</v>
      </c>
      <c r="G125" t="s">
        <v>200</v>
      </c>
      <c r="H125" t="s">
        <v>202</v>
      </c>
      <c r="J125" t="s">
        <v>198</v>
      </c>
      <c r="K125" t="s">
        <v>198</v>
      </c>
      <c r="L125" t="s">
        <v>77</v>
      </c>
      <c r="M125" s="29">
        <v>140.92600887195579</v>
      </c>
      <c r="N125" s="29">
        <v>126.40417426864836</v>
      </c>
      <c r="O125" s="29">
        <f>Table2[[#This Row],[Hot water demand (MWh)]]+Table2[[#This Row],[Space heating demand (MWh)]]</f>
        <v>267.33018314060416</v>
      </c>
      <c r="P125" s="35">
        <v>221.56504780803056</v>
      </c>
      <c r="Q125" s="35">
        <v>0</v>
      </c>
      <c r="R125" t="s">
        <v>199</v>
      </c>
      <c r="S125" s="17">
        <v>1546.9011379365379</v>
      </c>
      <c r="T125" s="29">
        <v>491.2195701335994</v>
      </c>
      <c r="U125" s="17">
        <v>4690.948186528497</v>
      </c>
      <c r="V125" s="29">
        <v>142.15130951236077</v>
      </c>
      <c r="W125" s="29">
        <v>127.50321281320804</v>
      </c>
      <c r="X125" s="29">
        <v>0</v>
      </c>
      <c r="Y125" s="29">
        <v>221.56504780803058</v>
      </c>
    </row>
    <row r="126" spans="2:25">
      <c r="B126">
        <v>119</v>
      </c>
      <c r="C126" t="s">
        <v>24</v>
      </c>
      <c r="D126" t="s">
        <v>54</v>
      </c>
      <c r="F126" t="s">
        <v>195</v>
      </c>
      <c r="G126" t="s">
        <v>200</v>
      </c>
      <c r="H126" t="s">
        <v>202</v>
      </c>
      <c r="J126" t="s">
        <v>201</v>
      </c>
      <c r="K126" t="s">
        <v>198</v>
      </c>
      <c r="L126" t="s">
        <v>77</v>
      </c>
      <c r="M126" s="29">
        <v>308.67160425913772</v>
      </c>
      <c r="N126" s="29">
        <v>87.049884453615576</v>
      </c>
      <c r="O126" s="29">
        <f>Table2[[#This Row],[Hot water demand (MWh)]]+Table2[[#This Row],[Space heating demand (MWh)]]</f>
        <v>395.72148871275328</v>
      </c>
      <c r="P126" s="34">
        <v>256.33562778319447</v>
      </c>
      <c r="Q126" s="34">
        <v>0</v>
      </c>
      <c r="R126" t="s">
        <v>199</v>
      </c>
      <c r="S126" s="17">
        <v>80.150318027799898</v>
      </c>
      <c r="T126" s="29">
        <v>733.12002349067552</v>
      </c>
      <c r="U126" s="17">
        <v>5591.4</v>
      </c>
      <c r="V126" s="29">
        <v>371.90248320221866</v>
      </c>
      <c r="W126" s="29">
        <v>104.88191250526233</v>
      </c>
      <c r="X126" s="29">
        <v>0</v>
      </c>
      <c r="Y126" s="29">
        <v>256.33562778319447</v>
      </c>
    </row>
    <row r="127" spans="2:25">
      <c r="B127" s="3">
        <v>120</v>
      </c>
      <c r="C127" t="s">
        <v>24</v>
      </c>
      <c r="D127" t="s">
        <v>54</v>
      </c>
      <c r="F127" t="s">
        <v>195</v>
      </c>
      <c r="G127" t="s">
        <v>200</v>
      </c>
      <c r="H127" t="s">
        <v>202</v>
      </c>
      <c r="J127" t="s">
        <v>201</v>
      </c>
      <c r="K127" t="s">
        <v>201</v>
      </c>
      <c r="L127" t="s">
        <v>77</v>
      </c>
      <c r="M127" s="29">
        <v>353.49026322079385</v>
      </c>
      <c r="N127" s="29">
        <v>37.213736555433108</v>
      </c>
      <c r="O127" s="29">
        <f>Table2[[#This Row],[Hot water demand (MWh)]]+Table2[[#This Row],[Space heating demand (MWh)]]</f>
        <v>390.70399977622696</v>
      </c>
      <c r="P127" s="35">
        <v>250.12215320560733</v>
      </c>
      <c r="Q127" s="35">
        <v>0</v>
      </c>
      <c r="R127" t="s">
        <v>199</v>
      </c>
      <c r="S127" s="17">
        <v>384.72152653343954</v>
      </c>
      <c r="T127" s="29">
        <v>793.09138231153122</v>
      </c>
      <c r="U127" s="17">
        <v>2763.0416666666665</v>
      </c>
      <c r="V127" s="29">
        <v>491.2525488026065</v>
      </c>
      <c r="W127" s="29">
        <v>51.716680303317212</v>
      </c>
      <c r="X127" s="29">
        <v>0</v>
      </c>
      <c r="Y127" s="29">
        <v>250.12215320560733</v>
      </c>
    </row>
    <row r="128" spans="2:25">
      <c r="B128" s="3">
        <v>121</v>
      </c>
      <c r="C128" t="s">
        <v>24</v>
      </c>
      <c r="D128" t="s">
        <v>54</v>
      </c>
      <c r="F128" t="s">
        <v>195</v>
      </c>
      <c r="G128" t="s">
        <v>196</v>
      </c>
      <c r="H128" t="s">
        <v>202</v>
      </c>
      <c r="J128" t="s">
        <v>198</v>
      </c>
      <c r="K128" t="s">
        <v>198</v>
      </c>
      <c r="L128" t="s">
        <v>77</v>
      </c>
      <c r="M128" s="29">
        <v>320.16266591084286</v>
      </c>
      <c r="N128" s="29">
        <v>127.58828330477748</v>
      </c>
      <c r="O128" s="29">
        <f>Table2[[#This Row],[Hot water demand (MWh)]]+Table2[[#This Row],[Space heating demand (MWh)]]</f>
        <v>447.75094921562032</v>
      </c>
      <c r="P128" s="34">
        <v>1719.1015174228201</v>
      </c>
      <c r="Q128" s="34">
        <v>380.08157355069739</v>
      </c>
      <c r="R128" t="s">
        <v>199</v>
      </c>
      <c r="S128" s="17">
        <v>80.150318027799898</v>
      </c>
      <c r="T128" s="29">
        <v>2323.7941667676823</v>
      </c>
      <c r="U128" s="17">
        <v>12608.4</v>
      </c>
      <c r="V128" s="29">
        <v>374.91158431090565</v>
      </c>
      <c r="W128" s="29">
        <v>149.40631911974219</v>
      </c>
      <c r="X128" s="29">
        <v>80.374745914214913</v>
      </c>
      <c r="Y128" s="29">
        <v>1719.1015174228201</v>
      </c>
    </row>
    <row r="129" spans="2:25">
      <c r="B129">
        <v>122</v>
      </c>
      <c r="C129" t="s">
        <v>24</v>
      </c>
      <c r="D129" t="s">
        <v>54</v>
      </c>
      <c r="F129" t="s">
        <v>195</v>
      </c>
      <c r="G129" t="s">
        <v>196</v>
      </c>
      <c r="H129" t="s">
        <v>202</v>
      </c>
      <c r="J129" t="s">
        <v>201</v>
      </c>
      <c r="K129" t="s">
        <v>201</v>
      </c>
      <c r="L129" t="s">
        <v>77</v>
      </c>
      <c r="M129" s="29">
        <v>62.39454924747951</v>
      </c>
      <c r="N129" s="29">
        <v>12.644277404096686</v>
      </c>
      <c r="O129" s="29">
        <f>Table2[[#This Row],[Hot water demand (MWh)]]+Table2[[#This Row],[Space heating demand (MWh)]]</f>
        <v>75.038826651576201</v>
      </c>
      <c r="P129" s="35">
        <v>145.81102680308737</v>
      </c>
      <c r="Q129" s="35">
        <v>53.913941030259451</v>
      </c>
      <c r="R129" t="s">
        <v>199</v>
      </c>
      <c r="S129" s="17">
        <v>24.045095408339971</v>
      </c>
      <c r="T129" s="29">
        <v>247.21740725788811</v>
      </c>
      <c r="U129" s="17">
        <v>1538</v>
      </c>
      <c r="V129" s="29">
        <v>72.28376085007109</v>
      </c>
      <c r="W129" s="29">
        <v>14.648329622104024</v>
      </c>
      <c r="X129" s="29">
        <v>14.47428998262561</v>
      </c>
      <c r="Y129" s="29">
        <v>145.81102680308737</v>
      </c>
    </row>
    <row r="130" spans="2:25">
      <c r="B130" s="3">
        <v>123</v>
      </c>
      <c r="C130" t="s">
        <v>24</v>
      </c>
      <c r="D130" t="s">
        <v>54</v>
      </c>
      <c r="F130" t="s">
        <v>204</v>
      </c>
      <c r="G130" t="s">
        <v>200</v>
      </c>
      <c r="H130" t="s">
        <v>203</v>
      </c>
      <c r="J130" t="s">
        <v>198</v>
      </c>
      <c r="K130" t="s">
        <v>198</v>
      </c>
      <c r="L130" t="s">
        <v>77</v>
      </c>
      <c r="M130" s="29">
        <v>19.180836606425597</v>
      </c>
      <c r="N130" s="29">
        <v>4.9431649151646848</v>
      </c>
      <c r="O130" s="29">
        <f>Table2[[#This Row],[Hot water demand (MWh)]]+Table2[[#This Row],[Space heating demand (MWh)]]</f>
        <v>24.12400152159028</v>
      </c>
      <c r="P130" s="34">
        <v>24.362685918961539</v>
      </c>
      <c r="Q130" s="34">
        <v>0</v>
      </c>
      <c r="R130" t="s">
        <v>199</v>
      </c>
      <c r="S130" s="17">
        <v>1182.0463502755238</v>
      </c>
      <c r="T130" s="29">
        <v>54.183131401546994</v>
      </c>
      <c r="U130" s="17">
        <v>427.52702702702703</v>
      </c>
      <c r="V130" s="29">
        <v>23.710042126319195</v>
      </c>
      <c r="W130" s="29">
        <v>6.1104033562662616</v>
      </c>
      <c r="X130" s="29">
        <v>0</v>
      </c>
      <c r="Y130" s="29">
        <v>24.362685918961539</v>
      </c>
    </row>
    <row r="131" spans="2:25">
      <c r="B131" s="3">
        <v>124</v>
      </c>
      <c r="C131" t="s">
        <v>24</v>
      </c>
      <c r="D131" t="s">
        <v>54</v>
      </c>
      <c r="F131" t="s">
        <v>204</v>
      </c>
      <c r="G131" t="s">
        <v>200</v>
      </c>
      <c r="H131" t="s">
        <v>203</v>
      </c>
      <c r="J131" t="s">
        <v>198</v>
      </c>
      <c r="K131" t="s">
        <v>201</v>
      </c>
      <c r="L131" t="s">
        <v>77</v>
      </c>
      <c r="M131" s="29">
        <v>31.332138074463668</v>
      </c>
      <c r="N131" s="29">
        <v>3.2664875707695562</v>
      </c>
      <c r="O131" s="29">
        <f>Table2[[#This Row],[Hot water demand (MWh)]]+Table2[[#This Row],[Space heating demand (MWh)]]</f>
        <v>34.598625645233227</v>
      </c>
      <c r="P131" s="35">
        <v>23.340259253626265</v>
      </c>
      <c r="Q131" s="35">
        <v>0</v>
      </c>
      <c r="R131" t="s">
        <v>199</v>
      </c>
      <c r="S131" s="17">
        <v>734.78556909019051</v>
      </c>
      <c r="T131" s="29">
        <v>66.737324999603175</v>
      </c>
      <c r="U131" s="17">
        <v>371.23913043478262</v>
      </c>
      <c r="V131" s="29">
        <v>39.299909479695195</v>
      </c>
      <c r="W131" s="29">
        <v>4.0971562662817238</v>
      </c>
      <c r="X131" s="29">
        <v>0</v>
      </c>
      <c r="Y131" s="29">
        <v>23.340259253626261</v>
      </c>
    </row>
    <row r="132" spans="2:25">
      <c r="B132">
        <v>125</v>
      </c>
      <c r="C132" t="s">
        <v>24</v>
      </c>
      <c r="D132" t="s">
        <v>54</v>
      </c>
      <c r="F132" t="s">
        <v>204</v>
      </c>
      <c r="G132" t="s">
        <v>200</v>
      </c>
      <c r="H132" t="s">
        <v>203</v>
      </c>
      <c r="J132" t="s">
        <v>201</v>
      </c>
      <c r="K132" t="s">
        <v>198</v>
      </c>
      <c r="L132" t="s">
        <v>77</v>
      </c>
      <c r="M132" s="29">
        <v>729.59846416330811</v>
      </c>
      <c r="N132" s="29">
        <v>2.6329540887229346</v>
      </c>
      <c r="O132" s="29">
        <f>Table2[[#This Row],[Hot water demand (MWh)]]+Table2[[#This Row],[Space heating demand (MWh)]]</f>
        <v>732.23141825203106</v>
      </c>
      <c r="P132" s="34">
        <v>21.285982500617258</v>
      </c>
      <c r="Q132" s="34">
        <v>0</v>
      </c>
      <c r="R132" t="s">
        <v>199</v>
      </c>
      <c r="S132" s="17">
        <v>463.23438051338098</v>
      </c>
      <c r="T132" s="29">
        <v>1142.5153880214084</v>
      </c>
      <c r="U132" s="17">
        <v>406.10344827586209</v>
      </c>
      <c r="V132" s="29">
        <v>1117.1976944058686</v>
      </c>
      <c r="W132" s="29">
        <v>4.0317111149227376</v>
      </c>
      <c r="X132" s="29">
        <v>0</v>
      </c>
      <c r="Y132" s="29">
        <v>21.285982500617262</v>
      </c>
    </row>
    <row r="133" spans="2:25">
      <c r="B133" s="3">
        <v>126</v>
      </c>
      <c r="C133" t="s">
        <v>24</v>
      </c>
      <c r="D133" t="s">
        <v>54</v>
      </c>
      <c r="F133" t="s">
        <v>204</v>
      </c>
      <c r="G133" t="s">
        <v>200</v>
      </c>
      <c r="H133" t="s">
        <v>203</v>
      </c>
      <c r="J133" t="s">
        <v>201</v>
      </c>
      <c r="K133" t="s">
        <v>201</v>
      </c>
      <c r="L133" t="s">
        <v>77</v>
      </c>
      <c r="M133" s="29">
        <v>44.737016886534292</v>
      </c>
      <c r="N133" s="29">
        <v>4.1168921198844295</v>
      </c>
      <c r="O133" s="29">
        <f>Table2[[#This Row],[Hot water demand (MWh)]]+Table2[[#This Row],[Space heating demand (MWh)]]</f>
        <v>48.853909006418718</v>
      </c>
      <c r="P133" s="35">
        <v>27.24512564684175</v>
      </c>
      <c r="Q133" s="35">
        <v>0</v>
      </c>
      <c r="R133" t="s">
        <v>199</v>
      </c>
      <c r="S133" s="17">
        <v>1709.1751281010952</v>
      </c>
      <c r="T133" s="29">
        <v>95.230761442904637</v>
      </c>
      <c r="U133" s="17">
        <v>379.77570093457945</v>
      </c>
      <c r="V133" s="29">
        <v>62.256523551690165</v>
      </c>
      <c r="W133" s="29">
        <v>5.7291122443727165</v>
      </c>
      <c r="X133" s="29">
        <v>0</v>
      </c>
      <c r="Y133" s="29">
        <v>27.245125646841746</v>
      </c>
    </row>
    <row r="134" spans="2:25">
      <c r="B134" s="3">
        <v>127</v>
      </c>
      <c r="C134" t="s">
        <v>24</v>
      </c>
      <c r="D134" t="s">
        <v>55</v>
      </c>
      <c r="F134" t="s">
        <v>195</v>
      </c>
      <c r="G134" t="s">
        <v>200</v>
      </c>
      <c r="H134" t="s">
        <v>203</v>
      </c>
      <c r="J134" t="s">
        <v>201</v>
      </c>
      <c r="K134" t="s">
        <v>198</v>
      </c>
      <c r="L134" t="s">
        <v>77</v>
      </c>
      <c r="M134" s="29">
        <v>183.11904934396696</v>
      </c>
      <c r="N134" s="29">
        <v>132.86339288763344</v>
      </c>
      <c r="O134" s="29">
        <f>Table2[[#This Row],[Hot water demand (MWh)]]+Table2[[#This Row],[Space heating demand (MWh)]]</f>
        <v>315.98244223160043</v>
      </c>
      <c r="P134" s="34">
        <v>264.55368342395991</v>
      </c>
      <c r="Q134" s="34">
        <v>0</v>
      </c>
      <c r="R134" t="s">
        <v>199</v>
      </c>
      <c r="S134" s="17">
        <v>205.8673154177051</v>
      </c>
      <c r="T134" s="29">
        <v>615.34519106074345</v>
      </c>
      <c r="U134" s="17">
        <v>2251.8000000000002</v>
      </c>
      <c r="V134" s="29">
        <v>203.29169855995443</v>
      </c>
      <c r="W134" s="29">
        <v>147.49980907682908</v>
      </c>
      <c r="X134" s="29">
        <v>0</v>
      </c>
      <c r="Y134" s="29">
        <v>264.55368342395991</v>
      </c>
    </row>
    <row r="135" spans="2:25">
      <c r="B135">
        <v>128</v>
      </c>
      <c r="C135" t="s">
        <v>24</v>
      </c>
      <c r="D135" t="s">
        <v>55</v>
      </c>
      <c r="F135" t="s">
        <v>195</v>
      </c>
      <c r="G135" t="s">
        <v>200</v>
      </c>
      <c r="H135" t="s">
        <v>203</v>
      </c>
      <c r="J135" t="s">
        <v>201</v>
      </c>
      <c r="K135" t="s">
        <v>201</v>
      </c>
      <c r="L135" t="s">
        <v>77</v>
      </c>
      <c r="M135" s="29">
        <v>318.88510392005867</v>
      </c>
      <c r="N135" s="29">
        <v>114.93603518367924</v>
      </c>
      <c r="O135" s="29">
        <f>Table2[[#This Row],[Hot water demand (MWh)]]+Table2[[#This Row],[Space heating demand (MWh)]]</f>
        <v>433.82113910373789</v>
      </c>
      <c r="P135" s="35">
        <v>373.87221638712572</v>
      </c>
      <c r="Q135" s="35">
        <v>0</v>
      </c>
      <c r="R135" t="s">
        <v>199</v>
      </c>
      <c r="S135" s="17">
        <v>631.32643394762897</v>
      </c>
      <c r="T135" s="29">
        <v>969.81633305100627</v>
      </c>
      <c r="U135" s="17">
        <v>2174.608695652174</v>
      </c>
      <c r="V135" s="29">
        <v>438.05542064068504</v>
      </c>
      <c r="W135" s="29">
        <v>157.88869602319531</v>
      </c>
      <c r="X135" s="29">
        <v>0</v>
      </c>
      <c r="Y135" s="29">
        <v>373.87221638712583</v>
      </c>
    </row>
    <row r="136" spans="2:25">
      <c r="B136" s="3">
        <v>129</v>
      </c>
      <c r="C136" t="s">
        <v>24</v>
      </c>
      <c r="D136" t="s">
        <v>55</v>
      </c>
      <c r="F136" t="s">
        <v>195</v>
      </c>
      <c r="G136" t="s">
        <v>200</v>
      </c>
      <c r="H136" t="s">
        <v>202</v>
      </c>
      <c r="J136" t="s">
        <v>198</v>
      </c>
      <c r="K136" t="s">
        <v>198</v>
      </c>
      <c r="L136" t="s">
        <v>77</v>
      </c>
      <c r="M136" s="29">
        <v>190.15261545481246</v>
      </c>
      <c r="N136" s="29">
        <v>177.19658637907673</v>
      </c>
      <c r="O136" s="29">
        <f>Table2[[#This Row],[Hot water demand (MWh)]]+Table2[[#This Row],[Space heating demand (MWh)]]</f>
        <v>367.3492018338892</v>
      </c>
      <c r="P136" s="34">
        <v>396.82115715909833</v>
      </c>
      <c r="Q136" s="34">
        <v>0</v>
      </c>
      <c r="R136" t="s">
        <v>199</v>
      </c>
      <c r="S136" s="17">
        <v>1948.8772526209416</v>
      </c>
      <c r="T136" s="29">
        <v>777.43251428464578</v>
      </c>
      <c r="U136" s="17">
        <v>3495.5070422535209</v>
      </c>
      <c r="V136" s="29">
        <v>197.01756439899731</v>
      </c>
      <c r="W136" s="29">
        <v>183.59379272655019</v>
      </c>
      <c r="X136" s="29">
        <v>0</v>
      </c>
      <c r="Y136" s="29">
        <v>396.82115715909839</v>
      </c>
    </row>
    <row r="137" spans="2:25">
      <c r="B137" s="3">
        <v>130</v>
      </c>
      <c r="C137" t="s">
        <v>24</v>
      </c>
      <c r="D137" t="s">
        <v>55</v>
      </c>
      <c r="F137" t="s">
        <v>195</v>
      </c>
      <c r="G137" t="s">
        <v>200</v>
      </c>
      <c r="H137" t="s">
        <v>202</v>
      </c>
      <c r="J137" t="s">
        <v>201</v>
      </c>
      <c r="K137" t="s">
        <v>198</v>
      </c>
      <c r="L137" t="s">
        <v>77</v>
      </c>
      <c r="M137" s="29">
        <v>319.07653532437587</v>
      </c>
      <c r="N137" s="29">
        <v>191.02199734992897</v>
      </c>
      <c r="O137" s="29">
        <f>Table2[[#This Row],[Hot water demand (MWh)]]+Table2[[#This Row],[Space heating demand (MWh)]]</f>
        <v>510.09853267430481</v>
      </c>
      <c r="P137" s="35">
        <v>369.49762529489641</v>
      </c>
      <c r="Q137" s="35">
        <v>0</v>
      </c>
      <c r="R137" t="s">
        <v>199</v>
      </c>
      <c r="S137" s="17">
        <v>260.76526619575981</v>
      </c>
      <c r="T137" s="29">
        <v>942.40611786638897</v>
      </c>
      <c r="U137" s="17">
        <v>3022.3157894736842</v>
      </c>
      <c r="V137" s="29">
        <v>358.36538464293255</v>
      </c>
      <c r="W137" s="29">
        <v>214.54310792855995</v>
      </c>
      <c r="X137" s="29">
        <v>0</v>
      </c>
      <c r="Y137" s="29">
        <v>369.49762529489641</v>
      </c>
    </row>
    <row r="138" spans="2:25">
      <c r="B138">
        <v>131</v>
      </c>
      <c r="C138" t="s">
        <v>24</v>
      </c>
      <c r="D138" t="s">
        <v>55</v>
      </c>
      <c r="F138" t="s">
        <v>195</v>
      </c>
      <c r="G138" t="s">
        <v>196</v>
      </c>
      <c r="H138" t="s">
        <v>202</v>
      </c>
      <c r="J138" t="s">
        <v>198</v>
      </c>
      <c r="K138" t="s">
        <v>198</v>
      </c>
      <c r="L138" t="s">
        <v>77</v>
      </c>
      <c r="M138" s="29">
        <v>285.99880822436722</v>
      </c>
      <c r="N138" s="29">
        <v>225.31363452342572</v>
      </c>
      <c r="O138" s="29">
        <f>Table2[[#This Row],[Hot water demand (MWh)]]+Table2[[#This Row],[Space heating demand (MWh)]]</f>
        <v>511.31244274779294</v>
      </c>
      <c r="P138" s="34">
        <v>1386.4130470662412</v>
      </c>
      <c r="Q138" s="34">
        <v>412.1842337806458</v>
      </c>
      <c r="R138" t="s">
        <v>199</v>
      </c>
      <c r="S138" s="17">
        <v>260.76526619575981</v>
      </c>
      <c r="T138" s="29">
        <v>2009.7407683877004</v>
      </c>
      <c r="U138" s="17">
        <v>5444.105263157895</v>
      </c>
      <c r="V138" s="29">
        <v>285.99880822436722</v>
      </c>
      <c r="W138" s="29">
        <v>225.31363452342572</v>
      </c>
      <c r="X138" s="29">
        <v>112.01527857366612</v>
      </c>
      <c r="Y138" s="29">
        <v>1386.4130470662412</v>
      </c>
    </row>
    <row r="139" spans="2:25">
      <c r="B139" s="3">
        <v>132</v>
      </c>
      <c r="C139" t="s">
        <v>24</v>
      </c>
      <c r="D139" t="s">
        <v>55</v>
      </c>
      <c r="F139" t="s">
        <v>195</v>
      </c>
      <c r="G139" t="s">
        <v>196</v>
      </c>
      <c r="H139" t="s">
        <v>202</v>
      </c>
      <c r="J139" t="s">
        <v>201</v>
      </c>
      <c r="K139" t="s">
        <v>198</v>
      </c>
      <c r="L139" t="s">
        <v>77</v>
      </c>
      <c r="M139" s="29">
        <v>569.35477632166896</v>
      </c>
      <c r="N139" s="29">
        <v>533.0611538387659</v>
      </c>
      <c r="O139" s="29">
        <f>Table2[[#This Row],[Hot water demand (MWh)]]+Table2[[#This Row],[Space heating demand (MWh)]]</f>
        <v>1102.415930160435</v>
      </c>
      <c r="P139" s="35">
        <v>3294.0198565554538</v>
      </c>
      <c r="Q139" s="35">
        <v>1414.8332291478564</v>
      </c>
      <c r="R139" t="s">
        <v>199</v>
      </c>
      <c r="S139" s="17">
        <v>82.346926167082046</v>
      </c>
      <c r="T139" s="29">
        <v>5103.852401289817</v>
      </c>
      <c r="U139" s="17">
        <v>7784.666666666667</v>
      </c>
      <c r="V139" s="29">
        <v>569.35477632166896</v>
      </c>
      <c r="W139" s="29">
        <v>533.0611538387659</v>
      </c>
      <c r="X139" s="29">
        <v>707.4166145739282</v>
      </c>
      <c r="Y139" s="29">
        <v>3294.0198565554538</v>
      </c>
    </row>
    <row r="140" spans="2:25">
      <c r="B140" s="3">
        <v>133</v>
      </c>
      <c r="C140" t="s">
        <v>24</v>
      </c>
      <c r="D140" t="s">
        <v>55</v>
      </c>
      <c r="F140" t="s">
        <v>204</v>
      </c>
      <c r="G140" t="s">
        <v>196</v>
      </c>
      <c r="H140" t="s">
        <v>197</v>
      </c>
      <c r="J140" t="s">
        <v>198</v>
      </c>
      <c r="K140" t="s">
        <v>198</v>
      </c>
      <c r="L140" t="s">
        <v>77</v>
      </c>
      <c r="M140" s="29">
        <v>17.651283958830039</v>
      </c>
      <c r="N140" s="29">
        <v>6.4118915586472891</v>
      </c>
      <c r="O140" s="29">
        <f>Table2[[#This Row],[Hot water demand (MWh)]]+Table2[[#This Row],[Space heating demand (MWh)]]</f>
        <v>24.063175517477326</v>
      </c>
      <c r="P140" s="34">
        <v>34.916844033738172</v>
      </c>
      <c r="Q140" s="34">
        <v>14.34771280797368</v>
      </c>
      <c r="R140" t="s">
        <v>199</v>
      </c>
      <c r="S140" s="17">
        <v>441.34987592081501</v>
      </c>
      <c r="T140" s="29">
        <v>48.472011830775266</v>
      </c>
      <c r="U140" s="17">
        <v>292.3125</v>
      </c>
      <c r="V140" s="29">
        <v>6.0376249258475676</v>
      </c>
      <c r="W140" s="29">
        <v>2.1931886873846671</v>
      </c>
      <c r="X140" s="29">
        <v>5.3243541838048571</v>
      </c>
      <c r="Y140" s="29">
        <v>34.916844033738172</v>
      </c>
    </row>
    <row r="141" spans="2:25">
      <c r="B141">
        <v>134</v>
      </c>
      <c r="C141" t="s">
        <v>24</v>
      </c>
      <c r="D141" t="s">
        <v>55</v>
      </c>
      <c r="F141" t="s">
        <v>204</v>
      </c>
      <c r="G141" t="s">
        <v>196</v>
      </c>
      <c r="H141" t="s">
        <v>197</v>
      </c>
      <c r="J141" t="s">
        <v>201</v>
      </c>
      <c r="K141" t="s">
        <v>198</v>
      </c>
      <c r="L141" t="s">
        <v>77</v>
      </c>
      <c r="M141" s="29">
        <v>19.954915678768064</v>
      </c>
      <c r="N141" s="29">
        <v>2.3922806626481505</v>
      </c>
      <c r="O141" s="29">
        <f>Table2[[#This Row],[Hot water demand (MWh)]]+Table2[[#This Row],[Space heating demand (MWh)]]</f>
        <v>22.347196341416215</v>
      </c>
      <c r="P141" s="35">
        <v>27.50403724089437</v>
      </c>
      <c r="Q141" s="35">
        <v>7.7776564097876699</v>
      </c>
      <c r="R141" t="s">
        <v>199</v>
      </c>
      <c r="S141" s="17">
        <v>413.76550867576407</v>
      </c>
      <c r="T141" s="29">
        <v>41.962628605145731</v>
      </c>
      <c r="U141" s="17">
        <v>162.6</v>
      </c>
      <c r="V141" s="29">
        <v>10.192830145798956</v>
      </c>
      <c r="W141" s="29">
        <v>1.2219600848224357</v>
      </c>
      <c r="X141" s="29">
        <v>3.0438011336299775</v>
      </c>
      <c r="Y141" s="29">
        <v>27.50403724089437</v>
      </c>
    </row>
    <row r="142" spans="2:25">
      <c r="B142" s="3">
        <v>135</v>
      </c>
      <c r="C142" t="s">
        <v>24</v>
      </c>
      <c r="D142" t="s">
        <v>55</v>
      </c>
      <c r="F142" t="s">
        <v>204</v>
      </c>
      <c r="G142" t="s">
        <v>196</v>
      </c>
      <c r="H142" t="s">
        <v>197</v>
      </c>
      <c r="J142" t="s">
        <v>201</v>
      </c>
      <c r="K142" t="s">
        <v>201</v>
      </c>
      <c r="L142" t="s">
        <v>77</v>
      </c>
      <c r="M142" s="29">
        <v>21.357675645759976</v>
      </c>
      <c r="N142" s="29">
        <v>3.2173674509531227</v>
      </c>
      <c r="O142" s="29">
        <f>Table2[[#This Row],[Hot water demand (MWh)]]+Table2[[#This Row],[Space heating demand (MWh)]]</f>
        <v>24.575043096713099</v>
      </c>
      <c r="P142" s="34">
        <v>24.646172186500117</v>
      </c>
      <c r="Q142" s="34">
        <v>9.8299968966531086</v>
      </c>
      <c r="R142" t="s">
        <v>199</v>
      </c>
      <c r="S142" s="17">
        <v>799.94665010647725</v>
      </c>
      <c r="T142" s="29">
        <v>42.576534292004332</v>
      </c>
      <c r="U142" s="17">
        <v>170.95402298850576</v>
      </c>
      <c r="V142" s="29">
        <v>11.372806679560737</v>
      </c>
      <c r="W142" s="29">
        <v>1.713224727432598</v>
      </c>
      <c r="X142" s="29">
        <v>4.8443306985108698</v>
      </c>
      <c r="Y142" s="29">
        <v>24.64617218650012</v>
      </c>
    </row>
    <row r="143" spans="2:25">
      <c r="B143" s="3">
        <v>136</v>
      </c>
      <c r="C143" t="s">
        <v>24</v>
      </c>
      <c r="D143" t="s">
        <v>55</v>
      </c>
      <c r="F143" t="s">
        <v>204</v>
      </c>
      <c r="G143" t="s">
        <v>200</v>
      </c>
      <c r="H143" t="s">
        <v>197</v>
      </c>
      <c r="J143" t="s">
        <v>201</v>
      </c>
      <c r="K143" t="s">
        <v>198</v>
      </c>
      <c r="L143" t="s">
        <v>77</v>
      </c>
      <c r="M143" s="29">
        <v>19.8913070336387</v>
      </c>
      <c r="N143" s="29">
        <v>5.292641956462969</v>
      </c>
      <c r="O143" s="29">
        <f>Table2[[#This Row],[Hot water demand (MWh)]]+Table2[[#This Row],[Space heating demand (MWh)]]</f>
        <v>25.183948990101669</v>
      </c>
      <c r="P143" s="35">
        <v>29.946982143171233</v>
      </c>
      <c r="Q143" s="35">
        <v>0</v>
      </c>
      <c r="R143" t="s">
        <v>199</v>
      </c>
      <c r="S143" s="17">
        <v>487.32382132923323</v>
      </c>
      <c r="T143" s="29">
        <v>55.72287719387905</v>
      </c>
      <c r="U143" s="17">
        <v>144.73584905660377</v>
      </c>
      <c r="V143" s="29">
        <v>20.358850104167381</v>
      </c>
      <c r="W143" s="29">
        <v>5.4170449465404369</v>
      </c>
      <c r="X143" s="29">
        <v>0</v>
      </c>
      <c r="Y143" s="29">
        <v>29.946982143171233</v>
      </c>
    </row>
    <row r="144" spans="2:25">
      <c r="B144">
        <v>137</v>
      </c>
      <c r="C144" t="s">
        <v>24</v>
      </c>
      <c r="D144" t="s">
        <v>55</v>
      </c>
      <c r="F144" t="s">
        <v>204</v>
      </c>
      <c r="G144" t="s">
        <v>200</v>
      </c>
      <c r="H144" t="s">
        <v>197</v>
      </c>
      <c r="J144" t="s">
        <v>201</v>
      </c>
      <c r="K144" t="s">
        <v>201</v>
      </c>
      <c r="L144" t="s">
        <v>77</v>
      </c>
      <c r="M144" s="29">
        <v>24.752352205684076</v>
      </c>
      <c r="N144" s="29">
        <v>3.5074585804468756</v>
      </c>
      <c r="O144" s="29">
        <f>Table2[[#This Row],[Hot water demand (MWh)]]+Table2[[#This Row],[Space heating demand (MWh)]]</f>
        <v>28.259810786130952</v>
      </c>
      <c r="P144" s="34">
        <v>21.198853911852577</v>
      </c>
      <c r="Q144" s="34">
        <v>0</v>
      </c>
      <c r="R144" t="s">
        <v>199</v>
      </c>
      <c r="S144" s="17">
        <v>2942.3325061387668</v>
      </c>
      <c r="T144" s="29">
        <v>48.842563681957955</v>
      </c>
      <c r="U144" s="17">
        <v>125.253125</v>
      </c>
      <c r="V144" s="29">
        <v>24.21271839644325</v>
      </c>
      <c r="W144" s="29">
        <v>3.4309913736621276</v>
      </c>
      <c r="X144" s="29">
        <v>0</v>
      </c>
      <c r="Y144" s="29">
        <v>21.198853911852581</v>
      </c>
    </row>
    <row r="145" spans="2:25">
      <c r="B145" s="3">
        <v>138</v>
      </c>
      <c r="C145" t="s">
        <v>24</v>
      </c>
      <c r="D145" t="s">
        <v>55</v>
      </c>
      <c r="F145" t="s">
        <v>204</v>
      </c>
      <c r="G145" t="s">
        <v>200</v>
      </c>
      <c r="H145" t="s">
        <v>202</v>
      </c>
      <c r="J145" t="s">
        <v>198</v>
      </c>
      <c r="K145" t="s">
        <v>198</v>
      </c>
      <c r="L145" t="s">
        <v>77</v>
      </c>
      <c r="M145" s="29">
        <v>25.794738168823258</v>
      </c>
      <c r="N145" s="29">
        <v>18.576914446784677</v>
      </c>
      <c r="O145" s="29">
        <f>Table2[[#This Row],[Hot water demand (MWh)]]+Table2[[#This Row],[Space heating demand (MWh)]]</f>
        <v>44.371652615607935</v>
      </c>
      <c r="P145" s="35">
        <v>52.049810500248924</v>
      </c>
      <c r="Q145" s="35">
        <v>0</v>
      </c>
      <c r="R145" t="s">
        <v>199</v>
      </c>
      <c r="S145" s="17">
        <v>956.25806449509923</v>
      </c>
      <c r="T145" s="29">
        <v>101.51356353197754</v>
      </c>
      <c r="U145" s="17">
        <v>430.17307692307691</v>
      </c>
      <c r="V145" s="29">
        <v>28.754947879763481</v>
      </c>
      <c r="W145" s="29">
        <v>20.708805151965127</v>
      </c>
      <c r="X145" s="29">
        <v>0</v>
      </c>
      <c r="Y145" s="29">
        <v>52.049810500248924</v>
      </c>
    </row>
    <row r="146" spans="2:25">
      <c r="B146" s="3">
        <v>139</v>
      </c>
      <c r="C146" t="s">
        <v>24</v>
      </c>
      <c r="D146" t="s">
        <v>55</v>
      </c>
      <c r="F146" t="s">
        <v>204</v>
      </c>
      <c r="G146" t="s">
        <v>200</v>
      </c>
      <c r="H146" t="s">
        <v>202</v>
      </c>
      <c r="J146" t="s">
        <v>201</v>
      </c>
      <c r="K146" t="s">
        <v>198</v>
      </c>
      <c r="L146" t="s">
        <v>77</v>
      </c>
      <c r="M146" s="29">
        <v>43.776739763382757</v>
      </c>
      <c r="N146" s="29">
        <v>15.514490075231569</v>
      </c>
      <c r="O146" s="29">
        <f>Table2[[#This Row],[Hot water demand (MWh)]]+Table2[[#This Row],[Space heating demand (MWh)]]</f>
        <v>59.291229838614328</v>
      </c>
      <c r="P146" s="34">
        <v>57.556158820941306</v>
      </c>
      <c r="Q146" s="34">
        <v>0</v>
      </c>
      <c r="R146" t="s">
        <v>199</v>
      </c>
      <c r="S146" s="17">
        <v>331.01240694061124</v>
      </c>
      <c r="T146" s="29">
        <v>132.51882361440357</v>
      </c>
      <c r="U146" s="17">
        <v>325.61111111111109</v>
      </c>
      <c r="V146" s="29">
        <v>55.347495364244999</v>
      </c>
      <c r="W146" s="29">
        <v>19.615169429217243</v>
      </c>
      <c r="X146" s="29">
        <v>0</v>
      </c>
      <c r="Y146" s="29">
        <v>57.556158820941313</v>
      </c>
    </row>
    <row r="147" spans="2:25">
      <c r="B147">
        <v>140</v>
      </c>
      <c r="C147" t="s">
        <v>24</v>
      </c>
      <c r="D147" t="s">
        <v>55</v>
      </c>
      <c r="F147" t="s">
        <v>204</v>
      </c>
      <c r="G147" t="s">
        <v>200</v>
      </c>
      <c r="H147" t="s">
        <v>202</v>
      </c>
      <c r="J147" t="s">
        <v>201</v>
      </c>
      <c r="K147" t="s">
        <v>201</v>
      </c>
      <c r="L147" t="s">
        <v>77</v>
      </c>
      <c r="M147" s="29">
        <v>60.390441712979175</v>
      </c>
      <c r="N147" s="29">
        <v>14.458994730566129</v>
      </c>
      <c r="O147" s="29">
        <f>Table2[[#This Row],[Hot water demand (MWh)]]+Table2[[#This Row],[Space heating demand (MWh)]]</f>
        <v>74.849436443545301</v>
      </c>
      <c r="P147" s="35">
        <v>43.518655646880667</v>
      </c>
      <c r="Q147" s="35">
        <v>0</v>
      </c>
      <c r="R147" t="s">
        <v>199</v>
      </c>
      <c r="S147" s="17">
        <v>1507.9454093961178</v>
      </c>
      <c r="T147" s="29">
        <v>147.96400054822504</v>
      </c>
      <c r="U147" s="17">
        <v>278.85365853658539</v>
      </c>
      <c r="V147" s="29">
        <v>84.269178408765086</v>
      </c>
      <c r="W147" s="29">
        <v>20.176166492579263</v>
      </c>
      <c r="X147" s="29">
        <v>0</v>
      </c>
      <c r="Y147" s="29">
        <v>43.51865564688066</v>
      </c>
    </row>
    <row r="148" spans="2:25">
      <c r="B148" s="3">
        <v>141</v>
      </c>
      <c r="C148" t="s">
        <v>24</v>
      </c>
      <c r="D148" t="s">
        <v>55</v>
      </c>
      <c r="F148" t="s">
        <v>204</v>
      </c>
      <c r="G148" t="s">
        <v>200</v>
      </c>
      <c r="H148" t="s">
        <v>203</v>
      </c>
      <c r="J148" t="s">
        <v>198</v>
      </c>
      <c r="K148" t="s">
        <v>198</v>
      </c>
      <c r="L148" t="s">
        <v>77</v>
      </c>
      <c r="M148" s="29">
        <v>21.333457845108818</v>
      </c>
      <c r="N148" s="29">
        <v>8.074457224860069</v>
      </c>
      <c r="O148" s="29">
        <f>Table2[[#This Row],[Hot water demand (MWh)]]+Table2[[#This Row],[Space heating demand (MWh)]]</f>
        <v>29.407915069968887</v>
      </c>
      <c r="P148" s="34">
        <v>44.16311407662252</v>
      </c>
      <c r="Q148" s="34">
        <v>0</v>
      </c>
      <c r="R148" t="s">
        <v>199</v>
      </c>
      <c r="S148" s="17">
        <v>524.10297765596783</v>
      </c>
      <c r="T148" s="29">
        <v>78.049163544075796</v>
      </c>
      <c r="U148" s="17">
        <v>381.45614035087721</v>
      </c>
      <c r="V148" s="29">
        <v>24.582042151958351</v>
      </c>
      <c r="W148" s="29">
        <v>9.3040073154949159</v>
      </c>
      <c r="X148" s="29">
        <v>0</v>
      </c>
      <c r="Y148" s="29">
        <v>44.16311407662252</v>
      </c>
    </row>
    <row r="149" spans="2:25">
      <c r="B149" s="3">
        <v>142</v>
      </c>
      <c r="C149" t="s">
        <v>24</v>
      </c>
      <c r="D149" t="s">
        <v>55</v>
      </c>
      <c r="F149" t="s">
        <v>204</v>
      </c>
      <c r="G149" t="s">
        <v>200</v>
      </c>
      <c r="H149" t="s">
        <v>203</v>
      </c>
      <c r="J149" t="s">
        <v>201</v>
      </c>
      <c r="K149" t="s">
        <v>201</v>
      </c>
      <c r="L149" t="s">
        <v>77</v>
      </c>
      <c r="M149" s="29">
        <v>47.044294677003187</v>
      </c>
      <c r="N149" s="29">
        <v>18.528744163693666</v>
      </c>
      <c r="O149" s="29">
        <f>Table2[[#This Row],[Hot water demand (MWh)]]+Table2[[#This Row],[Space heating demand (MWh)]]</f>
        <v>65.573038840696853</v>
      </c>
      <c r="P149" s="35">
        <v>61.743494753125574</v>
      </c>
      <c r="Q149" s="35">
        <v>0</v>
      </c>
      <c r="R149" t="s">
        <v>199</v>
      </c>
      <c r="S149" s="17">
        <v>1747.0099255198927</v>
      </c>
      <c r="T149" s="29">
        <v>152.07998467973869</v>
      </c>
      <c r="U149" s="17">
        <v>351.7842105263158</v>
      </c>
      <c r="V149" s="29">
        <v>64.810424029885525</v>
      </c>
      <c r="W149" s="29">
        <v>25.526065896727566</v>
      </c>
      <c r="X149" s="29">
        <v>0</v>
      </c>
      <c r="Y149" s="29">
        <v>61.743494753125582</v>
      </c>
    </row>
    <row r="150" spans="2:25">
      <c r="B150">
        <v>143</v>
      </c>
      <c r="C150" t="s">
        <v>24</v>
      </c>
      <c r="D150" t="s">
        <v>49</v>
      </c>
      <c r="F150" t="s">
        <v>195</v>
      </c>
      <c r="G150" t="s">
        <v>205</v>
      </c>
      <c r="H150" t="s">
        <v>202</v>
      </c>
      <c r="J150" t="s">
        <v>198</v>
      </c>
      <c r="K150" t="s">
        <v>198</v>
      </c>
      <c r="L150" t="s">
        <v>77</v>
      </c>
      <c r="M150" s="29">
        <v>185.51816871806471</v>
      </c>
      <c r="N150" s="29">
        <v>14.136323798612811</v>
      </c>
      <c r="O150" s="29">
        <f>Table2[[#This Row],[Hot water demand (MWh)]]+Table2[[#This Row],[Space heating demand (MWh)]]</f>
        <v>199.65449251667752</v>
      </c>
      <c r="P150" s="34">
        <v>395.21924506293584</v>
      </c>
      <c r="Q150" s="34">
        <v>0</v>
      </c>
      <c r="R150" t="s">
        <v>199</v>
      </c>
      <c r="S150" s="17">
        <v>11.783276369180744</v>
      </c>
      <c r="T150" s="29">
        <v>612.9822485463842</v>
      </c>
      <c r="U150" s="17">
        <v>3167.695652173913</v>
      </c>
      <c r="V150" s="29">
        <v>202.3445258434156</v>
      </c>
      <c r="W150" s="29">
        <v>15.418477640032735</v>
      </c>
      <c r="X150" s="29">
        <v>0</v>
      </c>
      <c r="Y150" s="29">
        <v>395.2192450629359</v>
      </c>
    </row>
    <row r="151" spans="2:25">
      <c r="B151" s="3">
        <v>144</v>
      </c>
      <c r="C151" t="s">
        <v>24</v>
      </c>
      <c r="D151" t="s">
        <v>49</v>
      </c>
      <c r="F151" t="s">
        <v>195</v>
      </c>
      <c r="G151" t="s">
        <v>205</v>
      </c>
      <c r="H151" t="s">
        <v>202</v>
      </c>
      <c r="J151" t="s">
        <v>201</v>
      </c>
      <c r="K151" t="s">
        <v>201</v>
      </c>
      <c r="L151" t="s">
        <v>77</v>
      </c>
      <c r="M151" s="29">
        <v>324.07887752644461</v>
      </c>
      <c r="N151" s="29">
        <v>29.131854480316086</v>
      </c>
      <c r="O151" s="29">
        <f>Table2[[#This Row],[Hot water demand (MWh)]]+Table2[[#This Row],[Space heating demand (MWh)]]</f>
        <v>353.21073200676068</v>
      </c>
      <c r="P151" s="35">
        <v>440.35829389509513</v>
      </c>
      <c r="Q151" s="35">
        <v>0</v>
      </c>
      <c r="R151" t="s">
        <v>199</v>
      </c>
      <c r="S151" s="17">
        <v>25.103501829993757</v>
      </c>
      <c r="T151" s="29">
        <v>881.01298977654073</v>
      </c>
      <c r="U151" s="17">
        <v>2729.1224489795918</v>
      </c>
      <c r="V151" s="29">
        <v>404.31070258443418</v>
      </c>
      <c r="W151" s="29">
        <v>36.343993297011444</v>
      </c>
      <c r="X151" s="29">
        <v>0</v>
      </c>
      <c r="Y151" s="29">
        <v>440.35829389509519</v>
      </c>
    </row>
    <row r="152" spans="2:25">
      <c r="B152" s="3">
        <v>145</v>
      </c>
      <c r="C152" t="s">
        <v>24</v>
      </c>
      <c r="D152" t="s">
        <v>49</v>
      </c>
      <c r="F152" t="s">
        <v>195</v>
      </c>
      <c r="G152" t="s">
        <v>200</v>
      </c>
      <c r="H152" t="s">
        <v>203</v>
      </c>
      <c r="J152" t="s">
        <v>201</v>
      </c>
      <c r="K152" t="s">
        <v>201</v>
      </c>
      <c r="L152" t="s">
        <v>77</v>
      </c>
      <c r="M152" s="29">
        <v>316.55145773041221</v>
      </c>
      <c r="N152" s="29">
        <v>13.791163670733233</v>
      </c>
      <c r="O152" s="29">
        <f>Table2[[#This Row],[Hot water demand (MWh)]]+Table2[[#This Row],[Space heating demand (MWh)]]</f>
        <v>330.34262140114544</v>
      </c>
      <c r="P152" s="34">
        <v>430.2830502513832</v>
      </c>
      <c r="Q152" s="34">
        <v>0</v>
      </c>
      <c r="R152" t="s">
        <v>199</v>
      </c>
      <c r="S152" s="17">
        <v>49.182370932232665</v>
      </c>
      <c r="T152" s="29">
        <v>888.5674354943784</v>
      </c>
      <c r="U152" s="17">
        <v>2811.0520833333335</v>
      </c>
      <c r="V152" s="29">
        <v>439.15190110328564</v>
      </c>
      <c r="W152" s="29">
        <v>19.132484139709604</v>
      </c>
      <c r="X152" s="29">
        <v>0</v>
      </c>
      <c r="Y152" s="29">
        <v>430.28305025138326</v>
      </c>
    </row>
    <row r="153" spans="2:25">
      <c r="B153">
        <v>146</v>
      </c>
      <c r="C153" t="s">
        <v>24</v>
      </c>
      <c r="D153" t="s">
        <v>49</v>
      </c>
      <c r="F153" t="s">
        <v>195</v>
      </c>
      <c r="G153" t="s">
        <v>200</v>
      </c>
      <c r="H153" t="s">
        <v>202</v>
      </c>
      <c r="J153" t="s">
        <v>201</v>
      </c>
      <c r="K153" t="s">
        <v>198</v>
      </c>
      <c r="L153" t="s">
        <v>77</v>
      </c>
      <c r="M153" s="29">
        <v>236.23504398072328</v>
      </c>
      <c r="N153" s="29">
        <v>6.5388350254811343</v>
      </c>
      <c r="O153" s="29">
        <f>Table2[[#This Row],[Hot water demand (MWh)]]+Table2[[#This Row],[Space heating demand (MWh)]]</f>
        <v>242.77387900620442</v>
      </c>
      <c r="P153" s="35">
        <v>205.09634137748111</v>
      </c>
      <c r="Q153" s="35">
        <v>0</v>
      </c>
      <c r="R153" t="s">
        <v>199</v>
      </c>
      <c r="S153" s="17">
        <v>6.1477963665290831</v>
      </c>
      <c r="T153" s="29">
        <v>496.05231946410476</v>
      </c>
      <c r="U153" s="17">
        <v>1681.0833333333333</v>
      </c>
      <c r="V153" s="29">
        <v>283.11941367461253</v>
      </c>
      <c r="W153" s="29">
        <v>7.8365644120112092</v>
      </c>
      <c r="X153" s="29">
        <v>0</v>
      </c>
      <c r="Y153" s="29">
        <v>205.09634137748114</v>
      </c>
    </row>
    <row r="154" spans="2:25">
      <c r="B154" s="3">
        <v>147</v>
      </c>
      <c r="C154" t="s">
        <v>24</v>
      </c>
      <c r="D154" t="s">
        <v>49</v>
      </c>
      <c r="F154" t="s">
        <v>195</v>
      </c>
      <c r="G154" t="s">
        <v>200</v>
      </c>
      <c r="H154" t="s">
        <v>202</v>
      </c>
      <c r="J154" t="s">
        <v>201</v>
      </c>
      <c r="K154" t="s">
        <v>201</v>
      </c>
      <c r="L154" t="s">
        <v>77</v>
      </c>
      <c r="M154" s="29">
        <v>426.89624663748907</v>
      </c>
      <c r="N154" s="29">
        <v>26.485321976007075</v>
      </c>
      <c r="O154" s="29">
        <f>Table2[[#This Row],[Hot water demand (MWh)]]+Table2[[#This Row],[Space heating demand (MWh)]]</f>
        <v>453.38156861349614</v>
      </c>
      <c r="P154" s="34">
        <v>481.33308880985658</v>
      </c>
      <c r="Q154" s="34">
        <v>0</v>
      </c>
      <c r="R154" t="s">
        <v>199</v>
      </c>
      <c r="S154" s="17">
        <v>90.679996406303985</v>
      </c>
      <c r="T154" s="29">
        <v>1071.679605297129</v>
      </c>
      <c r="U154" s="17">
        <v>2924.2090395480227</v>
      </c>
      <c r="V154" s="29">
        <v>555.86007361224517</v>
      </c>
      <c r="W154" s="29">
        <v>34.486442875027244</v>
      </c>
      <c r="X154" s="29">
        <v>0</v>
      </c>
      <c r="Y154" s="29">
        <v>481.33308880985658</v>
      </c>
    </row>
    <row r="155" spans="2:25">
      <c r="B155" s="3">
        <v>148</v>
      </c>
      <c r="C155" t="s">
        <v>24</v>
      </c>
      <c r="D155" t="s">
        <v>49</v>
      </c>
      <c r="F155" t="s">
        <v>195</v>
      </c>
      <c r="G155" t="s">
        <v>196</v>
      </c>
      <c r="H155" t="s">
        <v>197</v>
      </c>
      <c r="J155" t="s">
        <v>198</v>
      </c>
      <c r="K155" t="s">
        <v>198</v>
      </c>
      <c r="L155" t="s">
        <v>77</v>
      </c>
      <c r="M155" s="29">
        <v>131.78062411669501</v>
      </c>
      <c r="N155" s="29">
        <v>32.978361697825036</v>
      </c>
      <c r="O155" s="29">
        <f>Table2[[#This Row],[Hot water demand (MWh)]]+Table2[[#This Row],[Space heating demand (MWh)]]</f>
        <v>164.75898581452003</v>
      </c>
      <c r="P155" s="35">
        <v>451.27242937211787</v>
      </c>
      <c r="Q155" s="35">
        <v>295.98970706393891</v>
      </c>
      <c r="R155" t="s">
        <v>199</v>
      </c>
      <c r="S155" s="17">
        <v>90.167680042426554</v>
      </c>
      <c r="T155" s="29">
        <v>625.22147433334794</v>
      </c>
      <c r="U155" s="17">
        <v>3001.9886363636365</v>
      </c>
      <c r="V155" s="29">
        <v>53.999531413387736</v>
      </c>
      <c r="W155" s="29">
        <v>13.513489486032555</v>
      </c>
      <c r="X155" s="29">
        <v>106.43602406180985</v>
      </c>
      <c r="Y155" s="29">
        <v>451.27242937211781</v>
      </c>
    </row>
    <row r="156" spans="2:25">
      <c r="B156">
        <v>149</v>
      </c>
      <c r="C156" t="s">
        <v>24</v>
      </c>
      <c r="D156" t="s">
        <v>49</v>
      </c>
      <c r="F156" t="s">
        <v>195</v>
      </c>
      <c r="G156" t="s">
        <v>196</v>
      </c>
      <c r="H156" t="s">
        <v>197</v>
      </c>
      <c r="J156" t="s">
        <v>201</v>
      </c>
      <c r="K156" t="s">
        <v>198</v>
      </c>
      <c r="L156" t="s">
        <v>77</v>
      </c>
      <c r="M156" s="29">
        <v>212.02177171494432</v>
      </c>
      <c r="N156" s="29">
        <v>49.187417851442959</v>
      </c>
      <c r="O156" s="29">
        <f>Table2[[#This Row],[Hot water demand (MWh)]]+Table2[[#This Row],[Space heating demand (MWh)]]</f>
        <v>261.20918956638729</v>
      </c>
      <c r="P156" s="34">
        <v>455.60229102014409</v>
      </c>
      <c r="Q156" s="34">
        <v>245.94282500999853</v>
      </c>
      <c r="R156" t="s">
        <v>199</v>
      </c>
      <c r="S156" s="17">
        <v>26.128134557748602</v>
      </c>
      <c r="T156" s="29">
        <v>650.1093935010324</v>
      </c>
      <c r="U156" s="17">
        <v>3527.5294117647059</v>
      </c>
      <c r="V156" s="29">
        <v>91.370615334013081</v>
      </c>
      <c r="W156" s="29">
        <v>21.197278937089386</v>
      </c>
      <c r="X156" s="29">
        <v>81.939208209785633</v>
      </c>
      <c r="Y156" s="29">
        <v>455.60229102014409</v>
      </c>
    </row>
    <row r="157" spans="2:25">
      <c r="B157" s="3">
        <v>150</v>
      </c>
      <c r="C157" t="s">
        <v>24</v>
      </c>
      <c r="D157" t="s">
        <v>49</v>
      </c>
      <c r="F157" t="s">
        <v>195</v>
      </c>
      <c r="G157" t="s">
        <v>196</v>
      </c>
      <c r="H157" t="s">
        <v>202</v>
      </c>
      <c r="J157" t="s">
        <v>198</v>
      </c>
      <c r="K157" t="s">
        <v>198</v>
      </c>
      <c r="L157" t="s">
        <v>77</v>
      </c>
      <c r="M157" s="29">
        <v>222.6752271921294</v>
      </c>
      <c r="N157" s="29">
        <v>46.526069640224712</v>
      </c>
      <c r="O157" s="29">
        <f>Table2[[#This Row],[Hot water demand (MWh)]]+Table2[[#This Row],[Space heating demand (MWh)]]</f>
        <v>269.2012968323541</v>
      </c>
      <c r="P157" s="35">
        <v>1020.4947146896768</v>
      </c>
      <c r="Q157" s="35">
        <v>638.40831372998957</v>
      </c>
      <c r="R157" t="s">
        <v>199</v>
      </c>
      <c r="S157" s="17">
        <v>200.31569827607265</v>
      </c>
      <c r="T157" s="29">
        <v>1507.9232643885541</v>
      </c>
      <c r="U157" s="17">
        <v>6501.4066496163687</v>
      </c>
      <c r="V157" s="29">
        <v>222.6752271921294</v>
      </c>
      <c r="W157" s="29">
        <v>46.526069640224712</v>
      </c>
      <c r="X157" s="29">
        <v>218.22725286652329</v>
      </c>
      <c r="Y157" s="29">
        <v>1020.4947146896768</v>
      </c>
    </row>
    <row r="158" spans="2:25">
      <c r="B158" s="3">
        <v>151</v>
      </c>
      <c r="C158" t="s">
        <v>24</v>
      </c>
      <c r="D158" t="s">
        <v>49</v>
      </c>
      <c r="F158" t="s">
        <v>195</v>
      </c>
      <c r="G158" t="s">
        <v>196</v>
      </c>
      <c r="H158" t="s">
        <v>202</v>
      </c>
      <c r="J158" t="s">
        <v>201</v>
      </c>
      <c r="K158" t="s">
        <v>201</v>
      </c>
      <c r="L158" t="s">
        <v>77</v>
      </c>
      <c r="M158" s="29">
        <v>479.3361588298352</v>
      </c>
      <c r="N158" s="29">
        <v>41.761777729945202</v>
      </c>
      <c r="O158" s="29">
        <f>Table2[[#This Row],[Hot water demand (MWh)]]+Table2[[#This Row],[Space heating demand (MWh)]]</f>
        <v>521.09793655978035</v>
      </c>
      <c r="P158" s="34">
        <v>870.33253969364318</v>
      </c>
      <c r="Q158" s="34">
        <v>504.11682897215206</v>
      </c>
      <c r="R158" t="s">
        <v>199</v>
      </c>
      <c r="S158" s="17">
        <v>176.23682917383374</v>
      </c>
      <c r="T158" s="29">
        <v>1722.0253795484859</v>
      </c>
      <c r="U158" s="17">
        <v>3948.3546511627906</v>
      </c>
      <c r="V158" s="29">
        <v>562.70366335488302</v>
      </c>
      <c r="W158" s="29">
        <v>49.025104582596036</v>
      </c>
      <c r="X158" s="29">
        <v>239.96407191736367</v>
      </c>
      <c r="Y158" s="29">
        <v>870.33253969364318</v>
      </c>
    </row>
    <row r="159" spans="2:25">
      <c r="B159">
        <v>152</v>
      </c>
      <c r="C159" t="s">
        <v>24</v>
      </c>
      <c r="D159" t="s">
        <v>49</v>
      </c>
      <c r="F159" t="s">
        <v>204</v>
      </c>
      <c r="G159" t="s">
        <v>196</v>
      </c>
      <c r="H159" t="s">
        <v>197</v>
      </c>
      <c r="J159" t="s">
        <v>198</v>
      </c>
      <c r="K159" t="s">
        <v>198</v>
      </c>
      <c r="L159" t="s">
        <v>77</v>
      </c>
      <c r="M159" s="29">
        <v>16.343389509212766</v>
      </c>
      <c r="N159" s="29">
        <v>2.9444968095508552</v>
      </c>
      <c r="O159" s="29">
        <f>Table2[[#This Row],[Hot water demand (MWh)]]+Table2[[#This Row],[Space heating demand (MWh)]]</f>
        <v>19.287886318763622</v>
      </c>
      <c r="P159" s="35">
        <v>54.742054145344383</v>
      </c>
      <c r="Q159" s="35">
        <v>51.231321023148723</v>
      </c>
      <c r="R159" t="s">
        <v>199</v>
      </c>
      <c r="S159" s="17">
        <v>208.25614619633379</v>
      </c>
      <c r="T159" s="29">
        <v>87.239298801181135</v>
      </c>
      <c r="U159" s="17">
        <v>275.33156966490299</v>
      </c>
      <c r="V159" s="29">
        <v>7.8325156014459276</v>
      </c>
      <c r="W159" s="29">
        <v>1.4111403993776399</v>
      </c>
      <c r="X159" s="29">
        <v>23.253588655013196</v>
      </c>
      <c r="Y159" s="29">
        <v>54.742054145344383</v>
      </c>
    </row>
    <row r="160" spans="2:25">
      <c r="B160" s="3">
        <v>153</v>
      </c>
      <c r="C160" t="s">
        <v>24</v>
      </c>
      <c r="D160" t="s">
        <v>49</v>
      </c>
      <c r="F160" t="s">
        <v>204</v>
      </c>
      <c r="G160" t="s">
        <v>196</v>
      </c>
      <c r="H160" t="s">
        <v>197</v>
      </c>
      <c r="J160" t="s">
        <v>201</v>
      </c>
      <c r="K160" t="s">
        <v>198</v>
      </c>
      <c r="L160" t="s">
        <v>77</v>
      </c>
      <c r="M160" s="29">
        <v>26.922638277354494</v>
      </c>
      <c r="N160" s="29">
        <v>3.0583897284319557</v>
      </c>
      <c r="O160" s="29">
        <f>Table2[[#This Row],[Hot water demand (MWh)]]+Table2[[#This Row],[Space heating demand (MWh)]]</f>
        <v>29.981028005786449</v>
      </c>
      <c r="P160" s="34">
        <v>48.552681316445728</v>
      </c>
      <c r="Q160" s="34">
        <v>33.144944899828843</v>
      </c>
      <c r="R160" t="s">
        <v>199</v>
      </c>
      <c r="S160" s="17">
        <v>97.333119474477002</v>
      </c>
      <c r="T160" s="29">
        <v>77.596923666085402</v>
      </c>
      <c r="U160" s="17">
        <v>263.06792452830189</v>
      </c>
      <c r="V160" s="29">
        <v>12.834008048722554</v>
      </c>
      <c r="W160" s="29">
        <v>1.4579328365393422</v>
      </c>
      <c r="X160" s="29">
        <v>14.752301464377782</v>
      </c>
      <c r="Y160" s="29">
        <v>48.552681316445728</v>
      </c>
    </row>
    <row r="161" spans="2:31">
      <c r="B161" s="3">
        <v>154</v>
      </c>
      <c r="C161" t="s">
        <v>24</v>
      </c>
      <c r="D161" t="s">
        <v>49</v>
      </c>
      <c r="F161" t="s">
        <v>204</v>
      </c>
      <c r="G161" t="s">
        <v>196</v>
      </c>
      <c r="H161" t="s">
        <v>197</v>
      </c>
      <c r="J161" t="s">
        <v>201</v>
      </c>
      <c r="K161" t="s">
        <v>201</v>
      </c>
      <c r="L161" t="s">
        <v>77</v>
      </c>
      <c r="M161" s="29">
        <v>37.692030993625089</v>
      </c>
      <c r="N161" s="29">
        <v>3.7295870100051425</v>
      </c>
      <c r="O161" s="29">
        <f>Table2[[#This Row],[Hot water demand (MWh)]]+Table2[[#This Row],[Space heating demand (MWh)]]</f>
        <v>41.421618003630229</v>
      </c>
      <c r="P161" s="35">
        <v>51.360726061583605</v>
      </c>
      <c r="Q161" s="35">
        <v>27.32704604776076</v>
      </c>
      <c r="R161" t="s">
        <v>199</v>
      </c>
      <c r="S161" s="17">
        <v>424.59277778300157</v>
      </c>
      <c r="T161" s="29">
        <v>88.494192311275583</v>
      </c>
      <c r="U161" s="17">
        <v>284.72577854671277</v>
      </c>
      <c r="V161" s="29">
        <v>21.567669773815009</v>
      </c>
      <c r="W161" s="29">
        <v>2.1340983466267898</v>
      </c>
      <c r="X161" s="29">
        <v>13.431698129250194</v>
      </c>
      <c r="Y161" s="29">
        <v>51.360726061583598</v>
      </c>
    </row>
    <row r="162" spans="2:31">
      <c r="B162">
        <v>155</v>
      </c>
      <c r="C162" t="s">
        <v>24</v>
      </c>
      <c r="D162" t="s">
        <v>49</v>
      </c>
      <c r="F162" t="s">
        <v>204</v>
      </c>
      <c r="G162" t="s">
        <v>196</v>
      </c>
      <c r="H162" t="s">
        <v>202</v>
      </c>
      <c r="J162" t="s">
        <v>201</v>
      </c>
      <c r="K162" t="s">
        <v>198</v>
      </c>
      <c r="L162" t="s">
        <v>77</v>
      </c>
      <c r="M162" s="29">
        <v>47.455969417999235</v>
      </c>
      <c r="N162" s="29">
        <v>5.3365332311741085</v>
      </c>
      <c r="O162" s="29">
        <f>Table2[[#This Row],[Hot water demand (MWh)]]+Table2[[#This Row],[Space heating demand (MWh)]]</f>
        <v>52.792502649173343</v>
      </c>
      <c r="P162" s="34">
        <v>125.86032569958891</v>
      </c>
      <c r="Q162" s="34">
        <v>119.18566818761711</v>
      </c>
      <c r="R162" t="s">
        <v>199</v>
      </c>
      <c r="S162" s="17">
        <v>44.442669646836663</v>
      </c>
      <c r="T162" s="29">
        <v>245.78018800336065</v>
      </c>
      <c r="U162" s="17">
        <v>437.32231404958679</v>
      </c>
      <c r="V162" s="29">
        <v>56.615432845743953</v>
      </c>
      <c r="W162" s="29">
        <v>6.3665360224213652</v>
      </c>
      <c r="X162" s="29">
        <v>56.937893435606391</v>
      </c>
      <c r="Y162" s="29">
        <v>125.86032569958891</v>
      </c>
    </row>
    <row r="163" spans="2:31">
      <c r="B163" s="3">
        <v>156</v>
      </c>
      <c r="C163" t="s">
        <v>24</v>
      </c>
      <c r="D163" t="s">
        <v>49</v>
      </c>
      <c r="F163" t="s">
        <v>204</v>
      </c>
      <c r="G163" t="s">
        <v>196</v>
      </c>
      <c r="H163" t="s">
        <v>202</v>
      </c>
      <c r="J163" t="s">
        <v>201</v>
      </c>
      <c r="K163" t="s">
        <v>201</v>
      </c>
      <c r="L163" t="s">
        <v>77</v>
      </c>
      <c r="M163" s="29">
        <v>58.237717848927332</v>
      </c>
      <c r="N163" s="29">
        <v>3.4922587267277345</v>
      </c>
      <c r="O163" s="29">
        <f>Table2[[#This Row],[Hot water demand (MWh)]]+Table2[[#This Row],[Space heating demand (MWh)]]</f>
        <v>61.729976575655066</v>
      </c>
      <c r="P163" s="35">
        <v>102.42231808211535</v>
      </c>
      <c r="Q163" s="35">
        <v>82.622975820084505</v>
      </c>
      <c r="R163" t="s">
        <v>199</v>
      </c>
      <c r="S163" s="17">
        <v>172.62855152077054</v>
      </c>
      <c r="T163" s="29">
        <v>216.87305118544077</v>
      </c>
      <c r="U163" s="17">
        <v>393.41702127659573</v>
      </c>
      <c r="V163" s="29">
        <v>69.075709449305151</v>
      </c>
      <c r="W163" s="29">
        <v>4.1421652159346847</v>
      </c>
      <c r="X163" s="29">
        <v>41.232858438085593</v>
      </c>
      <c r="Y163" s="29">
        <v>102.42231808211535</v>
      </c>
    </row>
    <row r="164" spans="2:31">
      <c r="B164" s="3">
        <v>157</v>
      </c>
      <c r="C164" t="s">
        <v>24</v>
      </c>
      <c r="D164" t="s">
        <v>49</v>
      </c>
      <c r="F164" t="s">
        <v>204</v>
      </c>
      <c r="G164" t="s">
        <v>200</v>
      </c>
      <c r="H164" t="s">
        <v>197</v>
      </c>
      <c r="J164" t="s">
        <v>201</v>
      </c>
      <c r="K164" t="s">
        <v>198</v>
      </c>
      <c r="L164" t="s">
        <v>77</v>
      </c>
      <c r="M164" s="29">
        <v>19.983943669265301</v>
      </c>
      <c r="N164" s="29">
        <v>0.99115457029639231</v>
      </c>
      <c r="O164" s="29">
        <f>Table2[[#This Row],[Hot water demand (MWh)]]+Table2[[#This Row],[Space heating demand (MWh)]]</f>
        <v>20.975098239561692</v>
      </c>
      <c r="P164" s="34">
        <v>32.663296894990957</v>
      </c>
      <c r="Q164" s="34">
        <v>0</v>
      </c>
      <c r="R164" t="s">
        <v>199</v>
      </c>
      <c r="S164" s="17">
        <v>154.63110678775402</v>
      </c>
      <c r="T164" s="29">
        <v>52.848771896093268</v>
      </c>
      <c r="U164" s="17">
        <v>161.17102137767222</v>
      </c>
      <c r="V164" s="29">
        <v>19.231633184847528</v>
      </c>
      <c r="W164" s="29">
        <v>0.95384181625478814</v>
      </c>
      <c r="X164" s="29">
        <v>0</v>
      </c>
      <c r="Y164" s="29">
        <v>32.663296894990957</v>
      </c>
    </row>
    <row r="165" spans="2:31">
      <c r="B165">
        <v>158</v>
      </c>
      <c r="C165" t="s">
        <v>24</v>
      </c>
      <c r="D165" t="s">
        <v>49</v>
      </c>
      <c r="F165" t="s">
        <v>204</v>
      </c>
      <c r="G165" t="s">
        <v>200</v>
      </c>
      <c r="H165" t="s">
        <v>197</v>
      </c>
      <c r="J165" t="s">
        <v>201</v>
      </c>
      <c r="K165" t="s">
        <v>201</v>
      </c>
      <c r="L165" t="s">
        <v>77</v>
      </c>
      <c r="M165" s="29">
        <v>30.341308620505643</v>
      </c>
      <c r="N165" s="29">
        <v>1.1919627098013097</v>
      </c>
      <c r="O165" s="29">
        <f>Table2[[#This Row],[Hot water demand (MWh)]]+Table2[[#This Row],[Space heating demand (MWh)]]</f>
        <v>31.533271330306953</v>
      </c>
      <c r="P165" s="35">
        <v>31.037501471493218</v>
      </c>
      <c r="Q165" s="35">
        <v>0</v>
      </c>
      <c r="R165" t="s">
        <v>199</v>
      </c>
      <c r="S165" s="17">
        <v>1227.1318949593497</v>
      </c>
      <c r="T165" s="29">
        <v>62.213844839290751</v>
      </c>
      <c r="U165" s="17">
        <v>174.04190362167017</v>
      </c>
      <c r="V165" s="29">
        <v>29.997872592180279</v>
      </c>
      <c r="W165" s="29">
        <v>1.1784707756172503</v>
      </c>
      <c r="X165" s="29">
        <v>0</v>
      </c>
      <c r="Y165" s="29">
        <v>31.037501471493222</v>
      </c>
    </row>
    <row r="166" spans="2:31">
      <c r="B166" s="3">
        <v>159</v>
      </c>
      <c r="C166" t="s">
        <v>24</v>
      </c>
      <c r="D166" t="s">
        <v>49</v>
      </c>
      <c r="F166" t="s">
        <v>204</v>
      </c>
      <c r="G166" t="s">
        <v>200</v>
      </c>
      <c r="H166" t="s">
        <v>202</v>
      </c>
      <c r="J166" t="s">
        <v>201</v>
      </c>
      <c r="K166" t="s">
        <v>198</v>
      </c>
      <c r="L166" t="s">
        <v>77</v>
      </c>
      <c r="M166" s="29">
        <v>29.427017131592983</v>
      </c>
      <c r="N166" s="29">
        <v>3.0590482508751644</v>
      </c>
      <c r="O166" s="29">
        <f>Table2[[#This Row],[Hot water demand (MWh)]]+Table2[[#This Row],[Space heating demand (MWh)]]</f>
        <v>32.486065382468148</v>
      </c>
      <c r="P166" s="34">
        <v>38.969357655618531</v>
      </c>
      <c r="Q166" s="34">
        <v>0</v>
      </c>
      <c r="R166" t="s">
        <v>199</v>
      </c>
      <c r="S166" s="17">
        <v>48.482912342003637</v>
      </c>
      <c r="T166" s="29">
        <v>79.029647962285253</v>
      </c>
      <c r="U166" s="17">
        <v>236.88636363636363</v>
      </c>
      <c r="V166" s="29">
        <v>36.288015654461688</v>
      </c>
      <c r="W166" s="29">
        <v>3.7722746522050374</v>
      </c>
      <c r="X166" s="29">
        <v>0</v>
      </c>
      <c r="Y166" s="29">
        <v>38.969357655618531</v>
      </c>
    </row>
    <row r="167" spans="2:31">
      <c r="B167" s="3">
        <v>160</v>
      </c>
      <c r="C167" t="s">
        <v>24</v>
      </c>
      <c r="D167" t="s">
        <v>49</v>
      </c>
      <c r="F167" t="s">
        <v>204</v>
      </c>
      <c r="G167" t="s">
        <v>200</v>
      </c>
      <c r="H167" t="s">
        <v>202</v>
      </c>
      <c r="J167" t="s">
        <v>201</v>
      </c>
      <c r="K167" t="s">
        <v>201</v>
      </c>
      <c r="L167" t="s">
        <v>77</v>
      </c>
      <c r="M167" s="29">
        <v>47.537258347196982</v>
      </c>
      <c r="N167" s="29">
        <v>1.8341263381316757</v>
      </c>
      <c r="O167" s="29">
        <f>Table2[[#This Row],[Hot water demand (MWh)]]+Table2[[#This Row],[Space heating demand (MWh)]]</f>
        <v>49.371384685328657</v>
      </c>
      <c r="P167" s="35">
        <v>43.500622743119784</v>
      </c>
      <c r="Q167" s="35">
        <v>0</v>
      </c>
      <c r="R167" t="s">
        <v>199</v>
      </c>
      <c r="S167" s="17">
        <v>470.1373318012474</v>
      </c>
      <c r="T167" s="29">
        <v>107.56672924357061</v>
      </c>
      <c r="U167" s="17">
        <v>264.01640624999999</v>
      </c>
      <c r="V167" s="29">
        <v>61.686077379069019</v>
      </c>
      <c r="W167" s="29">
        <v>2.3800291213818041</v>
      </c>
      <c r="X167" s="29">
        <v>0</v>
      </c>
      <c r="Y167" s="29">
        <v>43.500622743119784</v>
      </c>
    </row>
    <row r="168" spans="2:31">
      <c r="B168">
        <v>161</v>
      </c>
      <c r="C168" t="s">
        <v>24</v>
      </c>
      <c r="D168" t="s">
        <v>49</v>
      </c>
      <c r="F168" t="s">
        <v>204</v>
      </c>
      <c r="G168" t="s">
        <v>200</v>
      </c>
      <c r="H168" t="s">
        <v>203</v>
      </c>
      <c r="J168" t="s">
        <v>201</v>
      </c>
      <c r="K168" t="s">
        <v>201</v>
      </c>
      <c r="L168" t="s">
        <v>77</v>
      </c>
      <c r="M168" s="29">
        <v>43.329463417695209</v>
      </c>
      <c r="N168" s="29">
        <v>1.99030487666967</v>
      </c>
      <c r="O168" s="29">
        <f>Table2[[#This Row],[Hot water demand (MWh)]]+Table2[[#This Row],[Space heating demand (MWh)]]</f>
        <v>45.319768294364877</v>
      </c>
      <c r="P168" s="34">
        <v>40.006204708776707</v>
      </c>
      <c r="Q168" s="34">
        <v>0</v>
      </c>
      <c r="R168" t="s">
        <v>199</v>
      </c>
      <c r="S168" s="17">
        <v>257.84094290974662</v>
      </c>
      <c r="T168" s="29">
        <v>102.51266860772886</v>
      </c>
      <c r="U168" s="17">
        <v>266.24074074074076</v>
      </c>
      <c r="V168" s="29">
        <v>59.761372196068713</v>
      </c>
      <c r="W168" s="29">
        <v>2.7450917028834425</v>
      </c>
      <c r="X168" s="29">
        <v>0</v>
      </c>
      <c r="Y168" s="29">
        <v>40.006204708776707</v>
      </c>
    </row>
    <row r="169" spans="2:31">
      <c r="B169" s="3">
        <v>162</v>
      </c>
      <c r="C169" t="s">
        <v>17</v>
      </c>
      <c r="H169" t="s">
        <v>197</v>
      </c>
      <c r="J169" t="s">
        <v>80</v>
      </c>
      <c r="L169" t="s">
        <v>75</v>
      </c>
      <c r="M169" s="29">
        <v>3.0952923467097158</v>
      </c>
      <c r="N169" s="29">
        <v>2.7151490645395815</v>
      </c>
      <c r="O169" s="29">
        <f>Table2[[#This Row],[Hot water demand (MWh)]]+Table2[[#This Row],[Space heating demand (MWh)]]</f>
        <v>5.8104414112492968</v>
      </c>
      <c r="P169" s="29">
        <v>3.6460979565001677</v>
      </c>
      <c r="Q169" s="29">
        <v>0</v>
      </c>
      <c r="R169" t="s">
        <v>199</v>
      </c>
      <c r="S169" s="17">
        <v>8706.0566737072768</v>
      </c>
      <c r="T169" s="29"/>
      <c r="U169" s="29">
        <v>109.7242195720796</v>
      </c>
      <c r="V169" s="29">
        <v>0.76350427193780224</v>
      </c>
      <c r="W169" s="29">
        <v>1.230783721847305</v>
      </c>
      <c r="X169" s="29">
        <v>0</v>
      </c>
      <c r="Y169" s="29">
        <v>3.6460979565001677</v>
      </c>
      <c r="Z169" s="28">
        <v>2.2272886706418801E-2</v>
      </c>
      <c r="AA169" s="28">
        <v>6.3124671225670698E-3</v>
      </c>
      <c r="AB169" s="28">
        <v>4.92809540512101E-2</v>
      </c>
      <c r="AC169" s="28">
        <v>0.5327120828922014</v>
      </c>
      <c r="AD169" s="28">
        <v>0.4672879171077986</v>
      </c>
      <c r="AE169" s="28">
        <v>0.95071904594878986</v>
      </c>
    </row>
    <row r="170" spans="2:31">
      <c r="B170" s="3">
        <v>163</v>
      </c>
      <c r="C170" t="s">
        <v>17</v>
      </c>
      <c r="H170" t="s">
        <v>197</v>
      </c>
      <c r="J170" t="s">
        <v>81</v>
      </c>
      <c r="L170" t="s">
        <v>75</v>
      </c>
      <c r="M170" s="29">
        <v>4.6557836883389641</v>
      </c>
      <c r="N170" s="29">
        <v>2.0414609468713696</v>
      </c>
      <c r="O170" s="29">
        <f>Table2[[#This Row],[Hot water demand (MWh)]]+Table2[[#This Row],[Space heating demand (MWh)]]</f>
        <v>6.6972446352103336</v>
      </c>
      <c r="P170" s="29">
        <v>3.7366956429031837</v>
      </c>
      <c r="Q170" s="29">
        <v>0</v>
      </c>
      <c r="R170" t="s">
        <v>199</v>
      </c>
      <c r="S170" s="17">
        <v>520.65333667733796</v>
      </c>
      <c r="T170" s="29"/>
      <c r="U170" s="29">
        <v>95.697360703812393</v>
      </c>
      <c r="V170" s="29">
        <v>2.807638643228517</v>
      </c>
      <c r="W170" s="29">
        <v>1.6339560924986483</v>
      </c>
      <c r="X170" s="29">
        <v>0</v>
      </c>
      <c r="Y170" s="29">
        <v>3.7366956429031841</v>
      </c>
      <c r="Z170" s="28">
        <v>9.3841642228739003E-2</v>
      </c>
      <c r="AA170" s="28">
        <v>3.7790697674418602E-2</v>
      </c>
      <c r="AB170" s="28">
        <v>0.26099706744868034</v>
      </c>
      <c r="AC170" s="28">
        <v>0.69517897910753934</v>
      </c>
      <c r="AD170" s="28">
        <v>0.30482102089246077</v>
      </c>
      <c r="AE170" s="28">
        <v>0.73900293255131966</v>
      </c>
    </row>
    <row r="171" spans="2:31">
      <c r="B171">
        <v>164</v>
      </c>
      <c r="C171" t="s">
        <v>17</v>
      </c>
      <c r="H171" t="s">
        <v>197</v>
      </c>
      <c r="J171" t="s">
        <v>82</v>
      </c>
      <c r="L171" t="s">
        <v>75</v>
      </c>
      <c r="M171" s="29">
        <v>4.5115731723732599</v>
      </c>
      <c r="N171" s="29">
        <v>1.9770146955779917</v>
      </c>
      <c r="O171" s="29">
        <f>Table2[[#This Row],[Hot water demand (MWh)]]+Table2[[#This Row],[Space heating demand (MWh)]]</f>
        <v>6.4885878679512512</v>
      </c>
      <c r="P171" s="29">
        <v>3.7690004777770749</v>
      </c>
      <c r="Q171" s="29">
        <v>0</v>
      </c>
      <c r="R171" t="s">
        <v>199</v>
      </c>
      <c r="S171" s="17">
        <v>1838.318525980982</v>
      </c>
      <c r="T171" s="29"/>
      <c r="U171" s="29">
        <v>97.341196013288936</v>
      </c>
      <c r="V171" s="29">
        <v>4.6394566178821988</v>
      </c>
      <c r="W171" s="29">
        <v>1.9649474623881138</v>
      </c>
      <c r="X171" s="29">
        <v>0</v>
      </c>
      <c r="Y171" s="29">
        <v>3.7690004777770754</v>
      </c>
      <c r="Z171" s="28">
        <v>5.7308970099667775E-2</v>
      </c>
      <c r="AA171" s="28">
        <v>5.2845528455284556E-2</v>
      </c>
      <c r="AB171" s="28">
        <v>0.1079734219269103</v>
      </c>
      <c r="AC171" s="28">
        <v>0.69530894305323987</v>
      </c>
      <c r="AD171" s="28">
        <v>0.30469105694676013</v>
      </c>
      <c r="AE171" s="28">
        <v>0.89202657807308972</v>
      </c>
    </row>
    <row r="172" spans="2:31">
      <c r="B172" s="3">
        <v>165</v>
      </c>
      <c r="C172" t="s">
        <v>17</v>
      </c>
      <c r="H172" t="s">
        <v>197</v>
      </c>
      <c r="J172" t="s">
        <v>83</v>
      </c>
      <c r="L172" t="s">
        <v>75</v>
      </c>
      <c r="M172" s="29">
        <v>4.6254605505709367</v>
      </c>
      <c r="N172" s="29">
        <v>1.9099036853865548</v>
      </c>
      <c r="O172" s="29">
        <f>Table2[[#This Row],[Hot water demand (MWh)]]+Table2[[#This Row],[Space heating demand (MWh)]]</f>
        <v>6.5353642359574913</v>
      </c>
      <c r="P172" s="29">
        <v>3.7051698974208831</v>
      </c>
      <c r="Q172" s="29">
        <v>0</v>
      </c>
      <c r="R172" t="s">
        <v>199</v>
      </c>
      <c r="S172" s="17">
        <v>5560.7608568295163</v>
      </c>
      <c r="T172" s="29"/>
      <c r="U172" s="29">
        <v>87.108951125754942</v>
      </c>
      <c r="V172" s="29">
        <v>4.9088657289738311</v>
      </c>
      <c r="W172" s="29">
        <v>1.9563203670534823</v>
      </c>
      <c r="X172" s="29">
        <v>0</v>
      </c>
      <c r="Y172" s="29">
        <v>3.7051698974208831</v>
      </c>
      <c r="Z172" s="28">
        <v>5.1070840197693576E-2</v>
      </c>
      <c r="AA172" s="28">
        <v>4.288816503800217E-2</v>
      </c>
      <c r="AB172" s="28">
        <v>0.17957166392092258</v>
      </c>
      <c r="AC172" s="28">
        <v>0.70775864719547088</v>
      </c>
      <c r="AD172" s="28">
        <v>0.29224135280452906</v>
      </c>
      <c r="AE172" s="28">
        <v>0.82042833607907739</v>
      </c>
    </row>
    <row r="173" spans="2:31">
      <c r="B173" s="3">
        <v>166</v>
      </c>
      <c r="C173" t="s">
        <v>17</v>
      </c>
      <c r="H173" t="s">
        <v>197</v>
      </c>
      <c r="J173" t="s">
        <v>84</v>
      </c>
      <c r="L173" t="s">
        <v>75</v>
      </c>
      <c r="M173" s="29">
        <v>5.0992614619791619</v>
      </c>
      <c r="N173" s="29">
        <v>1.842391068582691</v>
      </c>
      <c r="O173" s="29">
        <f>Table2[[#This Row],[Hot water demand (MWh)]]+Table2[[#This Row],[Space heating demand (MWh)]]</f>
        <v>6.9416525305618526</v>
      </c>
      <c r="P173" s="29">
        <v>3.648046310382993</v>
      </c>
      <c r="Q173" s="29">
        <v>0</v>
      </c>
      <c r="R173" t="s">
        <v>199</v>
      </c>
      <c r="S173" s="17">
        <v>3581.9728089297209</v>
      </c>
      <c r="T173" s="29"/>
      <c r="U173" s="29">
        <v>78.629539641943552</v>
      </c>
      <c r="V173" s="29">
        <v>5.4413752875873636</v>
      </c>
      <c r="W173" s="29">
        <v>1.9610674506687762</v>
      </c>
      <c r="X173" s="29">
        <v>0</v>
      </c>
      <c r="Y173" s="29">
        <v>3.648046310382993</v>
      </c>
      <c r="Z173" s="28">
        <v>0.13682864450127877</v>
      </c>
      <c r="AA173" s="28">
        <v>8.1081081081081086E-2</v>
      </c>
      <c r="AB173" s="28">
        <v>0.3393009377664109</v>
      </c>
      <c r="AC173" s="28">
        <v>0.7345889814462423</v>
      </c>
      <c r="AD173" s="28">
        <v>0.2654110185537577</v>
      </c>
      <c r="AE173" s="28">
        <v>0.6606990622335891</v>
      </c>
    </row>
    <row r="174" spans="2:31">
      <c r="B174">
        <v>167</v>
      </c>
      <c r="C174" t="s">
        <v>17</v>
      </c>
      <c r="H174" t="s">
        <v>197</v>
      </c>
      <c r="J174" t="s">
        <v>85</v>
      </c>
      <c r="L174" t="s">
        <v>75</v>
      </c>
      <c r="M174" s="29">
        <v>6.4147178536166773</v>
      </c>
      <c r="N174" s="29">
        <v>1.822639638808486</v>
      </c>
      <c r="O174" s="29">
        <f>Table2[[#This Row],[Hot water demand (MWh)]]+Table2[[#This Row],[Space heating demand (MWh)]]</f>
        <v>8.2373574924251631</v>
      </c>
      <c r="P174" s="29">
        <v>3.6736520115203506</v>
      </c>
      <c r="Q174" s="29">
        <v>0</v>
      </c>
      <c r="R174" t="s">
        <v>199</v>
      </c>
      <c r="S174" s="17">
        <v>2078.032818820695</v>
      </c>
      <c r="T174" s="29"/>
      <c r="U174" s="29">
        <v>78.850477590007387</v>
      </c>
      <c r="V174" s="29">
        <v>6.8897415746842148</v>
      </c>
      <c r="W174" s="29">
        <v>1.9707043709022791</v>
      </c>
      <c r="X174" s="29">
        <v>0</v>
      </c>
      <c r="Y174" s="29">
        <v>3.6736520115203515</v>
      </c>
      <c r="Z174" s="28">
        <v>0.36590742101396034</v>
      </c>
      <c r="AA174" s="28">
        <v>0.15661815661815662</v>
      </c>
      <c r="AB174" s="28">
        <v>0.42615723732549599</v>
      </c>
      <c r="AC174" s="28">
        <v>0.77873491098516323</v>
      </c>
      <c r="AD174" s="28">
        <v>0.22126508901483669</v>
      </c>
      <c r="AE174" s="28">
        <v>0.57384276267450396</v>
      </c>
    </row>
    <row r="175" spans="2:31">
      <c r="B175" s="3">
        <v>168</v>
      </c>
      <c r="C175" t="s">
        <v>17</v>
      </c>
      <c r="H175" t="s">
        <v>197</v>
      </c>
      <c r="J175" t="s">
        <v>86</v>
      </c>
      <c r="L175" t="s">
        <v>75</v>
      </c>
      <c r="M175" s="29">
        <v>8.8185546479740218</v>
      </c>
      <c r="N175" s="29">
        <v>1.9759224696673121</v>
      </c>
      <c r="O175" s="29">
        <f>Table2[[#This Row],[Hot water demand (MWh)]]+Table2[[#This Row],[Space heating demand (MWh)]]</f>
        <v>10.794477117641334</v>
      </c>
      <c r="P175" s="29">
        <v>3.6888904136396086</v>
      </c>
      <c r="Q175" s="29">
        <v>0</v>
      </c>
      <c r="R175" t="s">
        <v>199</v>
      </c>
      <c r="S175" s="17">
        <v>6690.6244026982258</v>
      </c>
      <c r="T175" s="29"/>
      <c r="U175" s="29">
        <v>78.035577361935381</v>
      </c>
      <c r="V175" s="29">
        <v>9.5841912429147076</v>
      </c>
      <c r="W175" s="29">
        <v>2.183651914302966</v>
      </c>
      <c r="X175" s="29">
        <v>0</v>
      </c>
      <c r="Y175" s="29">
        <v>3.6888904136396086</v>
      </c>
      <c r="Z175" s="28">
        <v>0.64605203103605657</v>
      </c>
      <c r="AA175" s="28">
        <v>0.22344944774851316</v>
      </c>
      <c r="AB175" s="28">
        <v>0.45869465997261527</v>
      </c>
      <c r="AC175" s="28">
        <v>0.81695060834043776</v>
      </c>
      <c r="AD175" s="28">
        <v>0.18304939165956233</v>
      </c>
      <c r="AE175" s="28">
        <v>0.54130534002738473</v>
      </c>
    </row>
    <row r="176" spans="2:31">
      <c r="B176" s="3">
        <v>169</v>
      </c>
      <c r="C176" t="s">
        <v>17</v>
      </c>
      <c r="H176" t="s">
        <v>202</v>
      </c>
      <c r="J176" t="s">
        <v>80</v>
      </c>
      <c r="L176" t="s">
        <v>75</v>
      </c>
      <c r="M176" s="29">
        <v>2.9587301552491572</v>
      </c>
      <c r="N176" s="29">
        <v>2.8101811469921212</v>
      </c>
      <c r="O176" s="29">
        <f>Table2[[#This Row],[Hot water demand (MWh)]]+Table2[[#This Row],[Space heating demand (MWh)]]</f>
        <v>5.7689113022412783</v>
      </c>
      <c r="P176" s="29">
        <v>3.8350272868827497</v>
      </c>
      <c r="Q176" s="29">
        <v>0</v>
      </c>
      <c r="R176" t="s">
        <v>199</v>
      </c>
      <c r="S176" s="17">
        <v>20703.59359774147</v>
      </c>
      <c r="T176" s="29"/>
      <c r="U176" s="29">
        <v>117.33054638494465</v>
      </c>
      <c r="V176" s="29">
        <v>3.3503905125583007</v>
      </c>
      <c r="W176" s="29">
        <v>3.1221335934103531</v>
      </c>
      <c r="X176" s="29">
        <v>0</v>
      </c>
      <c r="Y176" s="29">
        <v>3.8350272868827497</v>
      </c>
      <c r="Z176" s="28">
        <v>2.0138659623638165E-2</v>
      </c>
      <c r="AA176" s="28">
        <v>7.335366356218577E-2</v>
      </c>
      <c r="AB176" s="28">
        <v>1.5103994717728624E-2</v>
      </c>
      <c r="AC176" s="28">
        <v>0.51287496032391089</v>
      </c>
      <c r="AD176" s="28">
        <v>0.48712503967608906</v>
      </c>
      <c r="AE176" s="28">
        <v>0.92664633643781424</v>
      </c>
    </row>
    <row r="177" spans="2:31">
      <c r="B177">
        <v>170</v>
      </c>
      <c r="C177" t="s">
        <v>17</v>
      </c>
      <c r="H177" t="s">
        <v>202</v>
      </c>
      <c r="J177" t="s">
        <v>81</v>
      </c>
      <c r="L177" t="s">
        <v>75</v>
      </c>
      <c r="M177" s="29">
        <v>4.2567290753626112</v>
      </c>
      <c r="N177" s="29">
        <v>2.3422002046203523</v>
      </c>
      <c r="O177" s="29">
        <f>Table2[[#This Row],[Hot water demand (MWh)]]+Table2[[#This Row],[Space heating demand (MWh)]]</f>
        <v>6.5989292799829631</v>
      </c>
      <c r="P177" s="29">
        <v>3.8718314356771315</v>
      </c>
      <c r="Q177" s="29">
        <v>0</v>
      </c>
      <c r="R177" t="s">
        <v>199</v>
      </c>
      <c r="S177" s="17">
        <v>41306.369101865675</v>
      </c>
      <c r="T177" s="29"/>
      <c r="U177" s="29">
        <v>95.671331651014469</v>
      </c>
      <c r="V177" s="29">
        <v>5.3255029825732274</v>
      </c>
      <c r="W177" s="29">
        <v>2.7963775612851367</v>
      </c>
      <c r="X177" s="29">
        <v>0</v>
      </c>
      <c r="Y177" s="29">
        <v>3.8718314356771306</v>
      </c>
      <c r="Z177" s="28">
        <v>6.1059860174574938E-2</v>
      </c>
      <c r="AA177" s="28">
        <v>7.0974138643311577E-2</v>
      </c>
      <c r="AB177" s="28">
        <v>5.2579324039217307E-2</v>
      </c>
      <c r="AC177" s="28">
        <v>0.64506359967743143</v>
      </c>
      <c r="AD177" s="28">
        <v>0.35493640032256857</v>
      </c>
      <c r="AE177" s="28">
        <v>0.92902586135668841</v>
      </c>
    </row>
    <row r="178" spans="2:31">
      <c r="B178" s="3">
        <v>171</v>
      </c>
      <c r="C178" t="s">
        <v>17</v>
      </c>
      <c r="H178" t="s">
        <v>202</v>
      </c>
      <c r="J178" t="s">
        <v>82</v>
      </c>
      <c r="L178" t="s">
        <v>75</v>
      </c>
      <c r="M178" s="29">
        <v>4.6224396499331633</v>
      </c>
      <c r="N178" s="29">
        <v>2.3384216078937947</v>
      </c>
      <c r="O178" s="29">
        <f>Table2[[#This Row],[Hot water demand (MWh)]]+Table2[[#This Row],[Space heating demand (MWh)]]</f>
        <v>6.9608612578269575</v>
      </c>
      <c r="P178" s="29">
        <v>3.8562937270087461</v>
      </c>
      <c r="Q178" s="29">
        <v>0</v>
      </c>
      <c r="R178" t="s">
        <v>199</v>
      </c>
      <c r="S178" s="17">
        <v>48879.687591894581</v>
      </c>
      <c r="T178" s="29"/>
      <c r="U178" s="29">
        <v>88.917482957525024</v>
      </c>
      <c r="V178" s="29">
        <v>6.1203149313180001</v>
      </c>
      <c r="W178" s="29">
        <v>2.9092046381876449</v>
      </c>
      <c r="X178" s="29">
        <v>0</v>
      </c>
      <c r="Y178" s="29">
        <v>3.8562937270087456</v>
      </c>
      <c r="Z178" s="28">
        <v>7.6210452718056279E-2</v>
      </c>
      <c r="AA178" s="28">
        <v>5.6358684265661013E-2</v>
      </c>
      <c r="AB178" s="28">
        <v>9.2151721726970809E-2</v>
      </c>
      <c r="AC178" s="28">
        <v>0.66406145428277019</v>
      </c>
      <c r="AD178" s="28">
        <v>0.3359385457172297</v>
      </c>
      <c r="AE178" s="28">
        <v>0.90784827827302916</v>
      </c>
    </row>
    <row r="179" spans="2:31">
      <c r="B179" s="3">
        <v>172</v>
      </c>
      <c r="C179" t="s">
        <v>17</v>
      </c>
      <c r="H179" t="s">
        <v>202</v>
      </c>
      <c r="J179" t="s">
        <v>83</v>
      </c>
      <c r="L179" t="s">
        <v>75</v>
      </c>
      <c r="M179" s="29">
        <v>5.6642669042593647</v>
      </c>
      <c r="N179" s="29">
        <v>2.3193909140805959</v>
      </c>
      <c r="O179" s="29">
        <f>Table2[[#This Row],[Hot water demand (MWh)]]+Table2[[#This Row],[Space heating demand (MWh)]]</f>
        <v>7.9836578183399602</v>
      </c>
      <c r="P179" s="29">
        <v>3.8610866615920538</v>
      </c>
      <c r="Q179" s="29">
        <v>0</v>
      </c>
      <c r="R179" t="s">
        <v>199</v>
      </c>
      <c r="S179" s="17">
        <v>36812.274420282643</v>
      </c>
      <c r="T179" s="29"/>
      <c r="U179" s="29">
        <v>85.690507357377456</v>
      </c>
      <c r="V179" s="29">
        <v>7.6787483212884302</v>
      </c>
      <c r="W179" s="29">
        <v>2.9374942611420281</v>
      </c>
      <c r="X179" s="29">
        <v>0</v>
      </c>
      <c r="Y179" s="29">
        <v>3.8610866615920538</v>
      </c>
      <c r="Z179" s="28">
        <v>0.18409692243420137</v>
      </c>
      <c r="AA179" s="28">
        <v>7.6321392205868741E-2</v>
      </c>
      <c r="AB179" s="28">
        <v>0.18428259759550666</v>
      </c>
      <c r="AC179" s="28">
        <v>0.70948267487710714</v>
      </c>
      <c r="AD179" s="28">
        <v>0.29051732512289286</v>
      </c>
      <c r="AE179" s="28">
        <v>0.81571740240449331</v>
      </c>
    </row>
    <row r="180" spans="2:31">
      <c r="B180">
        <v>173</v>
      </c>
      <c r="C180" t="s">
        <v>17</v>
      </c>
      <c r="H180" t="s">
        <v>202</v>
      </c>
      <c r="J180" t="s">
        <v>84</v>
      </c>
      <c r="L180" t="s">
        <v>75</v>
      </c>
      <c r="M180" s="29">
        <v>7.2482782827761136</v>
      </c>
      <c r="N180" s="29">
        <v>2.2638951115059651</v>
      </c>
      <c r="O180" s="29">
        <f>Table2[[#This Row],[Hot water demand (MWh)]]+Table2[[#This Row],[Space heating demand (MWh)]]</f>
        <v>9.5121733942820796</v>
      </c>
      <c r="P180" s="29">
        <v>3.8701567380327342</v>
      </c>
      <c r="Q180" s="29">
        <v>0</v>
      </c>
      <c r="R180" t="s">
        <v>199</v>
      </c>
      <c r="S180" s="17">
        <v>19218.662693446542</v>
      </c>
      <c r="T180" s="29"/>
      <c r="U180" s="29">
        <v>84.517711389704004</v>
      </c>
      <c r="V180" s="29">
        <v>10.16941940885893</v>
      </c>
      <c r="W180" s="29">
        <v>2.9084672674045473</v>
      </c>
      <c r="X180" s="29">
        <v>0</v>
      </c>
      <c r="Y180" s="29">
        <v>3.8701567380327342</v>
      </c>
      <c r="Z180" s="28">
        <v>0.35422779407842092</v>
      </c>
      <c r="AA180" s="28">
        <v>7.9515301609764721E-2</v>
      </c>
      <c r="AB180" s="28">
        <v>0.23286209655908241</v>
      </c>
      <c r="AC180" s="28">
        <v>0.76200022669195355</v>
      </c>
      <c r="AD180" s="28">
        <v>0.23799977330804636</v>
      </c>
      <c r="AE180" s="28">
        <v>0.76713790344091759</v>
      </c>
    </row>
    <row r="181" spans="2:31">
      <c r="B181" s="3">
        <v>174</v>
      </c>
      <c r="C181" t="s">
        <v>17</v>
      </c>
      <c r="H181" t="s">
        <v>202</v>
      </c>
      <c r="J181" t="s">
        <v>85</v>
      </c>
      <c r="L181" t="s">
        <v>75</v>
      </c>
      <c r="M181" s="29">
        <v>8.1478934424317941</v>
      </c>
      <c r="N181" s="29">
        <v>2.3228084387646577</v>
      </c>
      <c r="O181" s="29">
        <f>Table2[[#This Row],[Hot water demand (MWh)]]+Table2[[#This Row],[Space heating demand (MWh)]]</f>
        <v>10.470701881196451</v>
      </c>
      <c r="P181" s="29">
        <v>3.8711100954936652</v>
      </c>
      <c r="Q181" s="29">
        <v>0</v>
      </c>
      <c r="R181" t="s">
        <v>199</v>
      </c>
      <c r="S181" s="17">
        <v>9382.9178313963694</v>
      </c>
      <c r="T181" s="29"/>
      <c r="U181" s="29">
        <v>82.094154070296696</v>
      </c>
      <c r="V181" s="29">
        <v>12.061601491194782</v>
      </c>
      <c r="W181" s="29">
        <v>3.0523742190197836</v>
      </c>
      <c r="X181" s="29">
        <v>0</v>
      </c>
      <c r="Y181" s="29">
        <v>3.8711100954936652</v>
      </c>
      <c r="Z181" s="28">
        <v>0.44727736295756693</v>
      </c>
      <c r="AA181" s="28">
        <v>7.5853350189633378E-2</v>
      </c>
      <c r="AB181" s="28">
        <v>0.27590602804589326</v>
      </c>
      <c r="AC181" s="28">
        <v>0.77816115241175809</v>
      </c>
      <c r="AD181" s="28">
        <v>0.22183884758824199</v>
      </c>
      <c r="AE181" s="28">
        <v>0.72409397195410674</v>
      </c>
    </row>
    <row r="182" spans="2:31">
      <c r="B182" s="3">
        <v>175</v>
      </c>
      <c r="C182" t="s">
        <v>17</v>
      </c>
      <c r="H182" t="s">
        <v>202</v>
      </c>
      <c r="J182" t="s">
        <v>86</v>
      </c>
      <c r="L182" t="s">
        <v>75</v>
      </c>
      <c r="M182" s="29">
        <v>8.3157295965194979</v>
      </c>
      <c r="N182" s="29">
        <v>2.386647229223962</v>
      </c>
      <c r="O182" s="29">
        <f>Table2[[#This Row],[Hot water demand (MWh)]]+Table2[[#This Row],[Space heating demand (MWh)]]</f>
        <v>10.70237682574346</v>
      </c>
      <c r="P182" s="29">
        <v>3.804820241749173</v>
      </c>
      <c r="Q182" s="29">
        <v>0</v>
      </c>
      <c r="R182" t="s">
        <v>199</v>
      </c>
      <c r="S182" s="17">
        <v>6626.6536787752902</v>
      </c>
      <c r="T182" s="29"/>
      <c r="U182" s="29">
        <v>72.686591026302153</v>
      </c>
      <c r="V182" s="29">
        <v>13.060233513589036</v>
      </c>
      <c r="W182" s="29">
        <v>3.1973818947767665</v>
      </c>
      <c r="X182" s="29">
        <v>0</v>
      </c>
      <c r="Y182" s="29">
        <v>3.8048202417491725</v>
      </c>
      <c r="Z182" s="28">
        <v>0.57632800412583807</v>
      </c>
      <c r="AA182" s="28">
        <v>7.0615034168564919E-2</v>
      </c>
      <c r="AB182" s="28">
        <v>0.43321299638989169</v>
      </c>
      <c r="AC182" s="28">
        <v>0.77699839315289954</v>
      </c>
      <c r="AD182" s="28">
        <v>0.22300160684710046</v>
      </c>
      <c r="AE182" s="28">
        <v>0.56678700361010836</v>
      </c>
    </row>
    <row r="183" spans="2:31">
      <c r="B183">
        <v>176</v>
      </c>
      <c r="C183" t="s">
        <v>17</v>
      </c>
      <c r="H183" t="s">
        <v>203</v>
      </c>
      <c r="J183" t="s">
        <v>80</v>
      </c>
      <c r="L183" t="s">
        <v>75</v>
      </c>
      <c r="M183" s="29">
        <v>4.2491304334291202</v>
      </c>
      <c r="N183" s="29">
        <v>2.5791786005838016</v>
      </c>
      <c r="O183" s="29">
        <f>Table2[[#This Row],[Hot water demand (MWh)]]+Table2[[#This Row],[Space heating demand (MWh)]]</f>
        <v>6.8283090340129213</v>
      </c>
      <c r="P183" s="29">
        <v>3.9568179944029236</v>
      </c>
      <c r="Q183" s="29">
        <v>0</v>
      </c>
      <c r="R183" t="s">
        <v>199</v>
      </c>
      <c r="S183" s="17">
        <v>1495.7339582474826</v>
      </c>
      <c r="T183" s="29"/>
      <c r="U183" s="29">
        <v>111.98961352657025</v>
      </c>
      <c r="V183" s="29">
        <v>4.8470711738128553</v>
      </c>
      <c r="W183" s="29">
        <v>2.8151435871975603</v>
      </c>
      <c r="X183" s="29">
        <v>0</v>
      </c>
      <c r="Y183" s="29">
        <v>3.956817994402924</v>
      </c>
      <c r="Z183" s="28">
        <v>5.6763285024154592E-2</v>
      </c>
      <c r="AA183" s="28">
        <v>2.1739130434782608E-2</v>
      </c>
      <c r="AB183" s="28">
        <v>1.932367149758454E-2</v>
      </c>
      <c r="AC183" s="28">
        <v>0.6222815066312184</v>
      </c>
      <c r="AD183" s="28">
        <v>0.37771849336878166</v>
      </c>
      <c r="AE183" s="28">
        <v>0.97826086956521741</v>
      </c>
    </row>
    <row r="184" spans="2:31">
      <c r="B184" s="3">
        <v>177</v>
      </c>
      <c r="C184" t="s">
        <v>17</v>
      </c>
      <c r="H184" t="s">
        <v>203</v>
      </c>
      <c r="J184" t="s">
        <v>81</v>
      </c>
      <c r="L184" t="s">
        <v>75</v>
      </c>
      <c r="M184" s="29">
        <v>4.8195017594290857</v>
      </c>
      <c r="N184" s="29">
        <v>2.6888382712723402</v>
      </c>
      <c r="O184" s="29">
        <f>Table2[[#This Row],[Hot water demand (MWh)]]+Table2[[#This Row],[Space heating demand (MWh)]]</f>
        <v>7.5083400307014259</v>
      </c>
      <c r="P184" s="29">
        <v>3.9945874674197444</v>
      </c>
      <c r="Q184" s="29">
        <v>0</v>
      </c>
      <c r="R184" t="s">
        <v>199</v>
      </c>
      <c r="S184" s="17">
        <v>12491.546281740752</v>
      </c>
      <c r="T184" s="29"/>
      <c r="U184" s="29">
        <v>97.971655820680269</v>
      </c>
      <c r="V184" s="29">
        <v>5.9272329713492899</v>
      </c>
      <c r="W184" s="29">
        <v>3.1214577765375839</v>
      </c>
      <c r="X184" s="29">
        <v>0</v>
      </c>
      <c r="Y184" s="29">
        <v>3.9945874674197444</v>
      </c>
      <c r="Z184" s="28">
        <v>4.092552422270427E-2</v>
      </c>
      <c r="AA184" s="28">
        <v>1.8355253649371295E-2</v>
      </c>
      <c r="AB184" s="28">
        <v>2.5885755603759941E-2</v>
      </c>
      <c r="AC184" s="28">
        <v>0.64188645422586832</v>
      </c>
      <c r="AD184" s="28">
        <v>0.35811354577413163</v>
      </c>
      <c r="AE184" s="28">
        <v>0.97411424439624006</v>
      </c>
    </row>
    <row r="185" spans="2:31">
      <c r="B185" s="3">
        <v>178</v>
      </c>
      <c r="C185" t="s">
        <v>17</v>
      </c>
      <c r="H185" t="s">
        <v>203</v>
      </c>
      <c r="J185" t="s">
        <v>82</v>
      </c>
      <c r="L185" t="s">
        <v>75</v>
      </c>
      <c r="M185" s="29">
        <v>5.4225884883030862</v>
      </c>
      <c r="N185" s="29">
        <v>2.7612056148554291</v>
      </c>
      <c r="O185" s="29">
        <f>Table2[[#This Row],[Hot water demand (MWh)]]+Table2[[#This Row],[Space heating demand (MWh)]]</f>
        <v>8.1837941031585153</v>
      </c>
      <c r="P185" s="29">
        <v>3.9959792196175989</v>
      </c>
      <c r="Q185" s="29">
        <v>0</v>
      </c>
      <c r="R185" t="s">
        <v>199</v>
      </c>
      <c r="S185" s="17">
        <v>18259.515519282071</v>
      </c>
      <c r="T185" s="29"/>
      <c r="U185" s="29">
        <v>91.30544123466575</v>
      </c>
      <c r="V185" s="29">
        <v>7.0512081731531593</v>
      </c>
      <c r="W185" s="29">
        <v>3.3155811283040446</v>
      </c>
      <c r="X185" s="29">
        <v>0</v>
      </c>
      <c r="Y185" s="29">
        <v>3.9959792196175985</v>
      </c>
      <c r="Z185" s="28">
        <v>5.8567471309853583E-2</v>
      </c>
      <c r="AA185" s="28">
        <v>1.1848341232227487E-2</v>
      </c>
      <c r="AB185" s="28">
        <v>8.5476850019786305E-2</v>
      </c>
      <c r="AC185" s="28">
        <v>0.66260079615275902</v>
      </c>
      <c r="AD185" s="28">
        <v>0.33739920384724109</v>
      </c>
      <c r="AE185" s="28">
        <v>0.91452314998021367</v>
      </c>
    </row>
    <row r="186" spans="2:31">
      <c r="B186">
        <v>179</v>
      </c>
      <c r="C186" t="s">
        <v>17</v>
      </c>
      <c r="H186" t="s">
        <v>203</v>
      </c>
      <c r="J186" t="s">
        <v>83</v>
      </c>
      <c r="L186" t="s">
        <v>75</v>
      </c>
      <c r="M186" s="29">
        <v>6.7031556386687718</v>
      </c>
      <c r="N186" s="29">
        <v>2.9254098449733466</v>
      </c>
      <c r="O186" s="29">
        <f>Table2[[#This Row],[Hot water demand (MWh)]]+Table2[[#This Row],[Space heating demand (MWh)]]</f>
        <v>9.6285654836421184</v>
      </c>
      <c r="P186" s="29">
        <v>3.993563621691929</v>
      </c>
      <c r="Q186" s="29">
        <v>0</v>
      </c>
      <c r="R186" t="s">
        <v>199</v>
      </c>
      <c r="S186" s="17">
        <v>16100.817354903156</v>
      </c>
      <c r="T186" s="29"/>
      <c r="U186" s="29">
        <v>87.952788062380449</v>
      </c>
      <c r="V186" s="29">
        <v>9.1219226383601324</v>
      </c>
      <c r="W186" s="29">
        <v>3.6337690137816168</v>
      </c>
      <c r="X186" s="29">
        <v>0</v>
      </c>
      <c r="Y186" s="29">
        <v>3.9935636216919281</v>
      </c>
      <c r="Z186" s="28">
        <v>0.16459104678559408</v>
      </c>
      <c r="AA186" s="28">
        <v>1.1409395973154362E-2</v>
      </c>
      <c r="AB186" s="28">
        <v>0.15000560978346236</v>
      </c>
      <c r="AC186" s="28">
        <v>0.6961738641188765</v>
      </c>
      <c r="AD186" s="28">
        <v>0.30382613588112356</v>
      </c>
      <c r="AE186" s="28">
        <v>0.84999439021653767</v>
      </c>
    </row>
    <row r="187" spans="2:31">
      <c r="B187" s="3">
        <v>180</v>
      </c>
      <c r="C187" t="s">
        <v>17</v>
      </c>
      <c r="H187" t="s">
        <v>203</v>
      </c>
      <c r="J187" t="s">
        <v>84</v>
      </c>
      <c r="L187" t="s">
        <v>75</v>
      </c>
      <c r="M187" s="29">
        <v>9.1955922105009478</v>
      </c>
      <c r="N187" s="29">
        <v>3.0930211643518182</v>
      </c>
      <c r="O187" s="29">
        <f>Table2[[#This Row],[Hot water demand (MWh)]]+Table2[[#This Row],[Space heating demand (MWh)]]</f>
        <v>12.288613374852766</v>
      </c>
      <c r="P187" s="29">
        <v>4.0368315768110374</v>
      </c>
      <c r="Q187" s="29">
        <v>0</v>
      </c>
      <c r="R187" t="s">
        <v>199</v>
      </c>
      <c r="S187" s="17">
        <v>8972.5973075063375</v>
      </c>
      <c r="T187" s="29"/>
      <c r="U187" s="29">
        <v>90.358184014495649</v>
      </c>
      <c r="V187" s="29">
        <v>13.012991460512445</v>
      </c>
      <c r="W187" s="29">
        <v>3.9254480757744568</v>
      </c>
      <c r="X187" s="29">
        <v>0</v>
      </c>
      <c r="Y187" s="29">
        <v>4.0368315768110392</v>
      </c>
      <c r="Z187" s="28">
        <v>0.34809744312462249</v>
      </c>
      <c r="AA187" s="28">
        <v>1.3621794871794872E-2</v>
      </c>
      <c r="AB187" s="28">
        <v>0.17555868733642038</v>
      </c>
      <c r="AC187" s="28">
        <v>0.74830185717443676</v>
      </c>
      <c r="AD187" s="28">
        <v>0.25169814282556324</v>
      </c>
      <c r="AE187" s="28">
        <v>0.82444131266357967</v>
      </c>
    </row>
    <row r="188" spans="2:31">
      <c r="B188" s="3">
        <v>181</v>
      </c>
      <c r="C188" t="s">
        <v>17</v>
      </c>
      <c r="H188" t="s">
        <v>203</v>
      </c>
      <c r="J188" t="s">
        <v>85</v>
      </c>
      <c r="L188" t="s">
        <v>75</v>
      </c>
      <c r="M188" s="29">
        <v>11.282028260573462</v>
      </c>
      <c r="N188" s="29">
        <v>3.298260557147231</v>
      </c>
      <c r="O188" s="29">
        <f>Table2[[#This Row],[Hot water demand (MWh)]]+Table2[[#This Row],[Space heating demand (MWh)]]</f>
        <v>14.580288817720692</v>
      </c>
      <c r="P188" s="29">
        <v>4.0838242520732759</v>
      </c>
      <c r="Q188" s="29">
        <v>0</v>
      </c>
      <c r="R188" t="s">
        <v>199</v>
      </c>
      <c r="S188" s="17">
        <v>4662.4267466627452</v>
      </c>
      <c r="T188" s="29"/>
      <c r="U188" s="29">
        <v>92.581053855094922</v>
      </c>
      <c r="V188" s="29">
        <v>16.741141007328711</v>
      </c>
      <c r="W188" s="29">
        <v>4.2836337596123979</v>
      </c>
      <c r="X188" s="29">
        <v>0</v>
      </c>
      <c r="Y188" s="29">
        <v>4.083824252073275</v>
      </c>
      <c r="Z188" s="28">
        <v>0.47927160015497872</v>
      </c>
      <c r="AA188" s="28">
        <v>1.9992310649750097E-2</v>
      </c>
      <c r="AB188" s="28">
        <v>0.17590081363812476</v>
      </c>
      <c r="AC188" s="28">
        <v>0.77378633589627055</v>
      </c>
      <c r="AD188" s="28">
        <v>0.22621366410372939</v>
      </c>
      <c r="AE188" s="28">
        <v>0.82409918636187518</v>
      </c>
    </row>
    <row r="189" spans="2:31">
      <c r="B189">
        <v>182</v>
      </c>
      <c r="C189" t="s">
        <v>17</v>
      </c>
      <c r="H189" t="s">
        <v>203</v>
      </c>
      <c r="J189" t="s">
        <v>86</v>
      </c>
      <c r="L189" t="s">
        <v>75</v>
      </c>
      <c r="M189" s="29">
        <v>12.857941128298956</v>
      </c>
      <c r="N189" s="29">
        <v>3.4799295496501004</v>
      </c>
      <c r="O189" s="29">
        <f>Table2[[#This Row],[Hot water demand (MWh)]]+Table2[[#This Row],[Space heating demand (MWh)]]</f>
        <v>16.337870677949056</v>
      </c>
      <c r="P189" s="29">
        <v>4.0619415001391594</v>
      </c>
      <c r="Q189" s="29">
        <v>0</v>
      </c>
      <c r="R189" t="s">
        <v>199</v>
      </c>
      <c r="S189" s="17">
        <v>3741.141337597267</v>
      </c>
      <c r="T189" s="29"/>
      <c r="U189" s="29">
        <v>88.747368421052727</v>
      </c>
      <c r="V189" s="29">
        <v>20.563677597222963</v>
      </c>
      <c r="W189" s="29">
        <v>4.7032840119028947</v>
      </c>
      <c r="X189" s="29">
        <v>0</v>
      </c>
      <c r="Y189" s="29">
        <v>4.0619415001391594</v>
      </c>
      <c r="Z189" s="28">
        <v>0.59053597295992277</v>
      </c>
      <c r="AA189" s="28">
        <v>3.0680728667305847E-2</v>
      </c>
      <c r="AB189" s="28">
        <v>0.2815065185900531</v>
      </c>
      <c r="AC189" s="28">
        <v>0.78700225884717634</v>
      </c>
      <c r="AD189" s="28">
        <v>0.21299774115282358</v>
      </c>
      <c r="AE189" s="28">
        <v>0.71849348140994684</v>
      </c>
    </row>
    <row r="190" spans="2:31">
      <c r="B190" s="3">
        <v>183</v>
      </c>
      <c r="C190" t="s">
        <v>17</v>
      </c>
      <c r="H190" t="s">
        <v>206</v>
      </c>
      <c r="J190" t="s">
        <v>80</v>
      </c>
      <c r="L190" t="s">
        <v>75</v>
      </c>
      <c r="M190" s="29">
        <v>1.6341279936584272</v>
      </c>
      <c r="N190" s="29">
        <v>1.2837170637034012</v>
      </c>
      <c r="O190" s="29">
        <f>Table2[[#This Row],[Hot water demand (MWh)]]+Table2[[#This Row],[Space heating demand (MWh)]]</f>
        <v>2.9178450573618284</v>
      </c>
      <c r="P190" s="29">
        <v>3.8198761255615676</v>
      </c>
      <c r="Q190" s="29">
        <v>0</v>
      </c>
      <c r="R190" t="s">
        <v>199</v>
      </c>
      <c r="S190" s="17">
        <v>13.653131382646711</v>
      </c>
      <c r="T190" s="29"/>
      <c r="U190" s="29">
        <v>92.26</v>
      </c>
      <c r="V190" s="29">
        <v>4.3074050893314837</v>
      </c>
      <c r="W190" s="29">
        <v>1.0823869184362356</v>
      </c>
      <c r="X190" s="29">
        <v>0</v>
      </c>
      <c r="Y190" s="29">
        <v>3.8198761255615676</v>
      </c>
      <c r="Z190" s="28">
        <v>0.2</v>
      </c>
      <c r="AA190" s="28">
        <v>0</v>
      </c>
      <c r="AB190" s="28">
        <v>0</v>
      </c>
      <c r="AC190" s="28">
        <v>0.76090366815077481</v>
      </c>
      <c r="AD190" s="28">
        <v>0.23909633184922524</v>
      </c>
      <c r="AE190" s="28">
        <v>1</v>
      </c>
    </row>
    <row r="191" spans="2:31">
      <c r="B191" s="3">
        <v>184</v>
      </c>
      <c r="C191" t="s">
        <v>17</v>
      </c>
      <c r="H191" t="s">
        <v>206</v>
      </c>
      <c r="J191" t="s">
        <v>81</v>
      </c>
      <c r="L191" t="s">
        <v>75</v>
      </c>
      <c r="M191" s="29">
        <v>1.5282472399272875</v>
      </c>
      <c r="N191" s="29">
        <v>1.8306893906346904</v>
      </c>
      <c r="O191" s="29">
        <f>Table2[[#This Row],[Hot water demand (MWh)]]+Table2[[#This Row],[Space heating demand (MWh)]]</f>
        <v>3.3589366305619777</v>
      </c>
      <c r="P191" s="29">
        <v>3.8550301738021022</v>
      </c>
      <c r="Q191" s="29">
        <v>0</v>
      </c>
      <c r="R191" t="s">
        <v>199</v>
      </c>
      <c r="S191" s="17">
        <v>87.380040848938947</v>
      </c>
      <c r="T191" s="29"/>
      <c r="U191" s="29">
        <v>88.990624999999994</v>
      </c>
      <c r="V191" s="29">
        <v>5.1511676898148151</v>
      </c>
      <c r="W191" s="29">
        <v>2.358933048711537</v>
      </c>
      <c r="X191" s="29">
        <v>0</v>
      </c>
      <c r="Y191" s="29">
        <v>3.8550301738021027</v>
      </c>
      <c r="Z191" s="28">
        <v>0.125</v>
      </c>
      <c r="AA191" s="28">
        <v>0</v>
      </c>
      <c r="AB191" s="28">
        <v>0.15625</v>
      </c>
      <c r="AC191" s="28">
        <v>0.67605914317573701</v>
      </c>
      <c r="AD191" s="28">
        <v>0.32394085682426288</v>
      </c>
      <c r="AE191" s="28">
        <v>0.84375</v>
      </c>
    </row>
    <row r="192" spans="2:31">
      <c r="B192">
        <v>185</v>
      </c>
      <c r="C192" t="s">
        <v>17</v>
      </c>
      <c r="H192" t="s">
        <v>206</v>
      </c>
      <c r="J192" t="s">
        <v>82</v>
      </c>
      <c r="L192" t="s">
        <v>75</v>
      </c>
      <c r="M192" s="29">
        <v>1.5044264507614122</v>
      </c>
      <c r="N192" s="29">
        <v>1.9996943410283619</v>
      </c>
      <c r="O192" s="29">
        <f>Table2[[#This Row],[Hot water demand (MWh)]]+Table2[[#This Row],[Space heating demand (MWh)]]</f>
        <v>3.5041207917897741</v>
      </c>
      <c r="P192" s="29">
        <v>3.7828445785016069</v>
      </c>
      <c r="Q192" s="29">
        <v>0</v>
      </c>
      <c r="R192" t="s">
        <v>199</v>
      </c>
      <c r="S192" s="17">
        <v>854.68602455368409</v>
      </c>
      <c r="T192" s="29"/>
      <c r="U192" s="29">
        <v>83.946325878594237</v>
      </c>
      <c r="V192" s="29">
        <v>5.7001236878079542</v>
      </c>
      <c r="W192" s="29">
        <v>2.6954100559176024</v>
      </c>
      <c r="X192" s="29">
        <v>0</v>
      </c>
      <c r="Y192" s="29">
        <v>3.7828445785016074</v>
      </c>
      <c r="Z192" s="28">
        <v>7.3482428115015971E-2</v>
      </c>
      <c r="AA192" s="28">
        <v>3.1948881789137379E-3</v>
      </c>
      <c r="AB192" s="28">
        <v>7.9872204472843447E-2</v>
      </c>
      <c r="AC192" s="28">
        <v>0.65287667276569639</v>
      </c>
      <c r="AD192" s="28">
        <v>0.34712332723430356</v>
      </c>
      <c r="AE192" s="28">
        <v>0.92012779552715651</v>
      </c>
    </row>
    <row r="193" spans="2:31">
      <c r="B193" s="3">
        <v>186</v>
      </c>
      <c r="C193" t="s">
        <v>17</v>
      </c>
      <c r="H193" t="s">
        <v>206</v>
      </c>
      <c r="J193" t="s">
        <v>83</v>
      </c>
      <c r="L193" t="s">
        <v>75</v>
      </c>
      <c r="M193" s="29">
        <v>1.5868640340379132</v>
      </c>
      <c r="N193" s="29">
        <v>2.0893598393043127</v>
      </c>
      <c r="O193" s="29">
        <f>Table2[[#This Row],[Hot water demand (MWh)]]+Table2[[#This Row],[Space heating demand (MWh)]]</f>
        <v>3.6762238733422259</v>
      </c>
      <c r="P193" s="29">
        <v>3.8052814342282959</v>
      </c>
      <c r="Q193" s="29">
        <v>0</v>
      </c>
      <c r="R193" t="s">
        <v>199</v>
      </c>
      <c r="S193" s="17">
        <v>6892.1007219600597</v>
      </c>
      <c r="T193" s="29"/>
      <c r="U193" s="29">
        <v>82.391085578447118</v>
      </c>
      <c r="V193" s="29">
        <v>6.9135736545978421</v>
      </c>
      <c r="W193" s="29">
        <v>3.0571312587363106</v>
      </c>
      <c r="X193" s="29">
        <v>0</v>
      </c>
      <c r="Y193" s="29">
        <v>3.8052814342282955</v>
      </c>
      <c r="Z193" s="28">
        <v>3.1695721077654518E-2</v>
      </c>
      <c r="AA193" s="28">
        <v>1.1876484560570072E-3</v>
      </c>
      <c r="AB193" s="28">
        <v>8.7163232963549928E-2</v>
      </c>
      <c r="AC193" s="28">
        <v>0.65502303874421564</v>
      </c>
      <c r="AD193" s="28">
        <v>0.34497696125578436</v>
      </c>
      <c r="AE193" s="28">
        <v>0.91283676703645011</v>
      </c>
    </row>
    <row r="194" spans="2:31">
      <c r="B194" s="3">
        <v>187</v>
      </c>
      <c r="C194" t="s">
        <v>17</v>
      </c>
      <c r="H194" t="s">
        <v>206</v>
      </c>
      <c r="J194" t="s">
        <v>84</v>
      </c>
      <c r="L194" t="s">
        <v>75</v>
      </c>
      <c r="M194" s="29">
        <v>1.6607774234688439</v>
      </c>
      <c r="N194" s="29">
        <v>2.1155094753229982</v>
      </c>
      <c r="O194" s="29">
        <f>Table2[[#This Row],[Hot water demand (MWh)]]+Table2[[#This Row],[Space heating demand (MWh)]]</f>
        <v>3.7762868987918421</v>
      </c>
      <c r="P194" s="29">
        <v>3.7699205643937952</v>
      </c>
      <c r="Q194" s="29">
        <v>0</v>
      </c>
      <c r="R194" t="s">
        <v>199</v>
      </c>
      <c r="S194" s="17">
        <v>8525.0152353246049</v>
      </c>
      <c r="T194" s="29"/>
      <c r="U194" s="29">
        <v>78.243049327354271</v>
      </c>
      <c r="V194" s="29">
        <v>8.0097845468129929</v>
      </c>
      <c r="W194" s="29">
        <v>3.2880869493111216</v>
      </c>
      <c r="X194" s="29">
        <v>0</v>
      </c>
      <c r="Y194" s="29">
        <v>3.7699205643937952</v>
      </c>
      <c r="Z194" s="28">
        <v>5.8616271620755923E-2</v>
      </c>
      <c r="AA194" s="28">
        <v>3.838771593090211E-3</v>
      </c>
      <c r="AB194" s="28">
        <v>0.19186418962203716</v>
      </c>
      <c r="AC194" s="28">
        <v>0.66246105653312015</v>
      </c>
      <c r="AD194" s="28">
        <v>0.33753894346687963</v>
      </c>
      <c r="AE194" s="28">
        <v>0.80813581037796278</v>
      </c>
    </row>
    <row r="195" spans="2:31">
      <c r="B195">
        <v>188</v>
      </c>
      <c r="C195" t="s">
        <v>17</v>
      </c>
      <c r="H195" t="s">
        <v>206</v>
      </c>
      <c r="J195" t="s">
        <v>85</v>
      </c>
      <c r="L195" t="s">
        <v>75</v>
      </c>
      <c r="M195" s="29">
        <v>1.8410534783346504</v>
      </c>
      <c r="N195" s="29">
        <v>2.0677002535354134</v>
      </c>
      <c r="O195" s="29">
        <f>Table2[[#This Row],[Hot water demand (MWh)]]+Table2[[#This Row],[Space heating demand (MWh)]]</f>
        <v>3.908753731870064</v>
      </c>
      <c r="P195" s="29">
        <v>3.7428818460378812</v>
      </c>
      <c r="Q195" s="29">
        <v>0</v>
      </c>
      <c r="R195" t="s">
        <v>199</v>
      </c>
      <c r="S195" s="17">
        <v>4052.2493943695436</v>
      </c>
      <c r="T195" s="29"/>
      <c r="U195" s="29">
        <v>73.227830188679292</v>
      </c>
      <c r="V195" s="29">
        <v>8.852089626271189</v>
      </c>
      <c r="W195" s="29">
        <v>3.2190811833166806</v>
      </c>
      <c r="X195" s="29">
        <v>0</v>
      </c>
      <c r="Y195" s="29">
        <v>3.7428818460378812</v>
      </c>
      <c r="Z195" s="28">
        <v>0.13005390835579514</v>
      </c>
      <c r="AA195" s="28">
        <v>7.3924731182795703E-3</v>
      </c>
      <c r="AB195" s="28">
        <v>0.31940700808625339</v>
      </c>
      <c r="AC195" s="28">
        <v>0.69001548209890273</v>
      </c>
      <c r="AD195" s="28">
        <v>0.30998451790109732</v>
      </c>
      <c r="AE195" s="28">
        <v>0.68059299191374656</v>
      </c>
    </row>
    <row r="196" spans="2:31">
      <c r="B196" s="3">
        <v>189</v>
      </c>
      <c r="C196" t="s">
        <v>17</v>
      </c>
      <c r="H196" t="s">
        <v>206</v>
      </c>
      <c r="J196" t="s">
        <v>86</v>
      </c>
      <c r="L196" t="s">
        <v>75</v>
      </c>
      <c r="M196" s="29">
        <v>3.010339326490834</v>
      </c>
      <c r="N196" s="29">
        <v>1.9209988040279022</v>
      </c>
      <c r="O196" s="29">
        <f>Table2[[#This Row],[Hot water demand (MWh)]]+Table2[[#This Row],[Space heating demand (MWh)]]</f>
        <v>4.9313381305187365</v>
      </c>
      <c r="P196" s="29">
        <v>3.7749748825298965</v>
      </c>
      <c r="Q196" s="29">
        <v>0</v>
      </c>
      <c r="R196" t="s">
        <v>199</v>
      </c>
      <c r="S196" s="17">
        <v>9846.638353164808</v>
      </c>
      <c r="T196" s="29"/>
      <c r="U196" s="29">
        <v>78.611564059899976</v>
      </c>
      <c r="V196" s="29">
        <v>18.286289720861767</v>
      </c>
      <c r="W196" s="29">
        <v>2.8961327692578878</v>
      </c>
      <c r="X196" s="29">
        <v>0</v>
      </c>
      <c r="Y196" s="29">
        <v>3.7749748825298965</v>
      </c>
      <c r="Z196" s="28">
        <v>0.50942872989462007</v>
      </c>
      <c r="AA196" s="28">
        <v>0.13539128080151638</v>
      </c>
      <c r="AB196" s="28">
        <v>0.40737659456461456</v>
      </c>
      <c r="AC196" s="28">
        <v>0.79665185859638943</v>
      </c>
      <c r="AD196" s="28">
        <v>0.20334814140361057</v>
      </c>
      <c r="AE196" s="28">
        <v>0.59262340543538539</v>
      </c>
    </row>
    <row r="197" spans="2:31">
      <c r="B197" s="3">
        <v>190</v>
      </c>
      <c r="C197" t="s">
        <v>17</v>
      </c>
      <c r="H197" t="s">
        <v>197</v>
      </c>
      <c r="J197" t="s">
        <v>80</v>
      </c>
      <c r="L197" t="s">
        <v>74</v>
      </c>
      <c r="M197" s="29">
        <v>3.6898041767832037</v>
      </c>
      <c r="N197" s="29">
        <v>2.8703182440295554</v>
      </c>
      <c r="O197" s="29">
        <f>Table2[[#This Row],[Hot water demand (MWh)]]+Table2[[#This Row],[Space heating demand (MWh)]]</f>
        <v>6.5601224208127586</v>
      </c>
      <c r="P197" s="29">
        <v>3.7143336012753889</v>
      </c>
      <c r="Q197" s="29">
        <v>0</v>
      </c>
      <c r="R197" t="s">
        <v>199</v>
      </c>
      <c r="S197" s="17">
        <v>19701.862324470276</v>
      </c>
      <c r="T197" s="29"/>
      <c r="U197" s="29">
        <v>123.18322054324594</v>
      </c>
      <c r="V197" s="29">
        <v>0.90419249993693351</v>
      </c>
      <c r="W197" s="29">
        <v>1.3226511153554452</v>
      </c>
      <c r="X197" s="29">
        <v>0</v>
      </c>
      <c r="Y197" s="29">
        <v>3.7143336012753885</v>
      </c>
      <c r="Z197" s="28">
        <v>1.0012051543524613E-2</v>
      </c>
      <c r="AA197" s="28">
        <v>6.1184759432650416E-3</v>
      </c>
      <c r="AB197" s="28">
        <v>4.0975247983684064E-2</v>
      </c>
      <c r="AC197" s="28">
        <v>0.56245965244137308</v>
      </c>
      <c r="AD197" s="28">
        <v>0.43754034755862692</v>
      </c>
      <c r="AE197" s="28">
        <v>0.95902475201631598</v>
      </c>
    </row>
    <row r="198" spans="2:31">
      <c r="B198">
        <v>191</v>
      </c>
      <c r="C198" t="s">
        <v>17</v>
      </c>
      <c r="H198" t="s">
        <v>197</v>
      </c>
      <c r="J198" t="s">
        <v>81</v>
      </c>
      <c r="L198" t="s">
        <v>74</v>
      </c>
      <c r="M198" s="29">
        <v>5.1535601499055259</v>
      </c>
      <c r="N198" s="29">
        <v>2.0493860007793638</v>
      </c>
      <c r="O198" s="29">
        <f>Table2[[#This Row],[Hot water demand (MWh)]]+Table2[[#This Row],[Space heating demand (MWh)]]</f>
        <v>7.2029461506848893</v>
      </c>
      <c r="P198" s="29">
        <v>3.7786228832880755</v>
      </c>
      <c r="Q198" s="29">
        <v>0</v>
      </c>
      <c r="R198" t="s">
        <v>199</v>
      </c>
      <c r="S198" s="17">
        <v>540.62772300391237</v>
      </c>
      <c r="T198" s="29"/>
      <c r="U198" s="29">
        <v>94.350675675675674</v>
      </c>
      <c r="V198" s="29">
        <v>2.4294263322453871</v>
      </c>
      <c r="W198" s="29">
        <v>1.4190571419456788</v>
      </c>
      <c r="X198" s="29">
        <v>0</v>
      </c>
      <c r="Y198" s="29">
        <v>3.7786228832880751</v>
      </c>
      <c r="Z198" s="28">
        <v>6.0810810810810814E-2</v>
      </c>
      <c r="AA198" s="28">
        <v>3.6912751677852351E-2</v>
      </c>
      <c r="AB198" s="28">
        <v>0.38513513513513514</v>
      </c>
      <c r="AC198" s="28">
        <v>0.7154794777155874</v>
      </c>
      <c r="AD198" s="28">
        <v>0.2845205222844126</v>
      </c>
      <c r="AE198" s="28">
        <v>0.61486486486486491</v>
      </c>
    </row>
    <row r="199" spans="2:31">
      <c r="B199" s="3">
        <v>192</v>
      </c>
      <c r="C199" t="s">
        <v>17</v>
      </c>
      <c r="H199" t="s">
        <v>197</v>
      </c>
      <c r="J199" t="s">
        <v>82</v>
      </c>
      <c r="L199" t="s">
        <v>74</v>
      </c>
      <c r="M199" s="29">
        <v>5.5172173859220743</v>
      </c>
      <c r="N199" s="29">
        <v>1.9771760081362499</v>
      </c>
      <c r="O199" s="29">
        <f>Table2[[#This Row],[Hot water demand (MWh)]]+Table2[[#This Row],[Space heating demand (MWh)]]</f>
        <v>7.4943933940583243</v>
      </c>
      <c r="P199" s="29">
        <v>3.8243317829012047</v>
      </c>
      <c r="Q199" s="29">
        <v>0</v>
      </c>
      <c r="R199" t="s">
        <v>199</v>
      </c>
      <c r="S199" s="17">
        <v>883.99938491180251</v>
      </c>
      <c r="T199" s="29"/>
      <c r="U199" s="29">
        <v>106.03491735537182</v>
      </c>
      <c r="V199" s="29">
        <v>5.043309200546199</v>
      </c>
      <c r="W199" s="29">
        <v>1.8773616967246378</v>
      </c>
      <c r="X199" s="29">
        <v>0</v>
      </c>
      <c r="Y199" s="29">
        <v>3.8243317829012042</v>
      </c>
      <c r="Z199" s="28">
        <v>3.3057851239669422E-2</v>
      </c>
      <c r="AA199" s="28">
        <v>0.12090163934426229</v>
      </c>
      <c r="AB199" s="28">
        <v>0.18801652892561985</v>
      </c>
      <c r="AC199" s="28">
        <v>0.73617931376490242</v>
      </c>
      <c r="AD199" s="28">
        <v>0.26382068623509763</v>
      </c>
      <c r="AE199" s="28">
        <v>0.81198347107438018</v>
      </c>
    </row>
    <row r="200" spans="2:31">
      <c r="B200" s="3">
        <v>193</v>
      </c>
      <c r="C200" t="s">
        <v>17</v>
      </c>
      <c r="H200" t="s">
        <v>197</v>
      </c>
      <c r="J200" t="s">
        <v>83</v>
      </c>
      <c r="L200" t="s">
        <v>74</v>
      </c>
      <c r="M200" s="29">
        <v>5.6127289988470395</v>
      </c>
      <c r="N200" s="29">
        <v>1.9406143224932466</v>
      </c>
      <c r="O200" s="29">
        <f>Table2[[#This Row],[Hot water demand (MWh)]]+Table2[[#This Row],[Space heating demand (MWh)]]</f>
        <v>7.5533433213402859</v>
      </c>
      <c r="P200" s="29">
        <v>3.8096531894118328</v>
      </c>
      <c r="Q200" s="29">
        <v>0</v>
      </c>
      <c r="R200" t="s">
        <v>199</v>
      </c>
      <c r="S200" s="17">
        <v>3950.6005569508861</v>
      </c>
      <c r="T200" s="29"/>
      <c r="U200" s="29">
        <v>100.27572815534008</v>
      </c>
      <c r="V200" s="29">
        <v>5.9878715694127873</v>
      </c>
      <c r="W200" s="29">
        <v>1.9847791020331609</v>
      </c>
      <c r="X200" s="29">
        <v>0</v>
      </c>
      <c r="Y200" s="29">
        <v>3.8096531894118328</v>
      </c>
      <c r="Z200" s="28">
        <v>2.0804438280166437E-2</v>
      </c>
      <c r="AA200" s="28">
        <v>0.11167048054919909</v>
      </c>
      <c r="AB200" s="28">
        <v>0.17799352750809061</v>
      </c>
      <c r="AC200" s="28">
        <v>0.74307876129362826</v>
      </c>
      <c r="AD200" s="28">
        <v>0.25692123870637179</v>
      </c>
      <c r="AE200" s="28">
        <v>0.82200647249190939</v>
      </c>
    </row>
    <row r="201" spans="2:31">
      <c r="B201">
        <v>194</v>
      </c>
      <c r="C201" t="s">
        <v>17</v>
      </c>
      <c r="H201" t="s">
        <v>197</v>
      </c>
      <c r="J201" t="s">
        <v>84</v>
      </c>
      <c r="L201" t="s">
        <v>74</v>
      </c>
      <c r="M201" s="29">
        <v>5.3399520762417652</v>
      </c>
      <c r="N201" s="29">
        <v>1.7732671138987557</v>
      </c>
      <c r="O201" s="29">
        <f>Table2[[#This Row],[Hot water demand (MWh)]]+Table2[[#This Row],[Space heating demand (MWh)]]</f>
        <v>7.1132191901405211</v>
      </c>
      <c r="P201" s="29">
        <v>3.647887762787088</v>
      </c>
      <c r="Q201" s="29">
        <v>0</v>
      </c>
      <c r="R201" t="s">
        <v>199</v>
      </c>
      <c r="S201" s="17">
        <v>3093.9978471913087</v>
      </c>
      <c r="T201" s="29"/>
      <c r="U201" s="29">
        <v>80.949232585596263</v>
      </c>
      <c r="V201" s="29">
        <v>5.7611994981888133</v>
      </c>
      <c r="W201" s="29">
        <v>1.83665506927047</v>
      </c>
      <c r="X201" s="29">
        <v>0</v>
      </c>
      <c r="Y201" s="29">
        <v>3.647887762787088</v>
      </c>
      <c r="Z201" s="28">
        <v>2.4203069657615112E-2</v>
      </c>
      <c r="AA201" s="28">
        <v>6.0889929742388757E-2</v>
      </c>
      <c r="AB201" s="28">
        <v>0.51298701298701299</v>
      </c>
      <c r="AC201" s="28">
        <v>0.75070821431221424</v>
      </c>
      <c r="AD201" s="28">
        <v>0.24929178568778579</v>
      </c>
      <c r="AE201" s="28">
        <v>0.48701298701298701</v>
      </c>
    </row>
    <row r="202" spans="2:31">
      <c r="B202" s="3">
        <v>195</v>
      </c>
      <c r="C202" t="s">
        <v>17</v>
      </c>
      <c r="H202" t="s">
        <v>197</v>
      </c>
      <c r="J202" t="s">
        <v>85</v>
      </c>
      <c r="L202" t="s">
        <v>74</v>
      </c>
      <c r="M202" s="29">
        <v>5.7120001321981428</v>
      </c>
      <c r="N202" s="29">
        <v>1.7894308722762942</v>
      </c>
      <c r="O202" s="29">
        <f>Table2[[#This Row],[Hot water demand (MWh)]]+Table2[[#This Row],[Space heating demand (MWh)]]</f>
        <v>7.501431004474437</v>
      </c>
      <c r="P202" s="29">
        <v>3.5941574319080338</v>
      </c>
      <c r="Q202" s="29">
        <v>0</v>
      </c>
      <c r="R202" t="s">
        <v>199</v>
      </c>
      <c r="S202" s="17">
        <v>1459.3295631085336</v>
      </c>
      <c r="T202" s="29"/>
      <c r="U202" s="29">
        <v>73.162953692115082</v>
      </c>
      <c r="V202" s="29">
        <v>6.1575536740590193</v>
      </c>
      <c r="W202" s="29">
        <v>1.9261223424140455</v>
      </c>
      <c r="X202" s="29">
        <v>0</v>
      </c>
      <c r="Y202" s="29">
        <v>3.5941574319080338</v>
      </c>
      <c r="Z202" s="28">
        <v>7.1339173967459327E-2</v>
      </c>
      <c r="AA202" s="28">
        <v>8.1280788177339899E-2</v>
      </c>
      <c r="AB202" s="28">
        <v>0.63954943679599496</v>
      </c>
      <c r="AC202" s="28">
        <v>0.7614547316093504</v>
      </c>
      <c r="AD202" s="28">
        <v>0.23854526839064946</v>
      </c>
      <c r="AE202" s="28">
        <v>0.36045056320400504</v>
      </c>
    </row>
    <row r="203" spans="2:31">
      <c r="B203" s="3">
        <v>196</v>
      </c>
      <c r="C203" t="s">
        <v>17</v>
      </c>
      <c r="H203" t="s">
        <v>197</v>
      </c>
      <c r="J203" t="s">
        <v>86</v>
      </c>
      <c r="L203" t="s">
        <v>74</v>
      </c>
      <c r="M203" s="29">
        <v>9.7682224449104229</v>
      </c>
      <c r="N203" s="29">
        <v>2.0242124713249203</v>
      </c>
      <c r="O203" s="29">
        <f>Table2[[#This Row],[Hot water demand (MWh)]]+Table2[[#This Row],[Space heating demand (MWh)]]</f>
        <v>11.792434916235344</v>
      </c>
      <c r="P203" s="29">
        <v>3.691054642481522</v>
      </c>
      <c r="Q203" s="29">
        <v>0</v>
      </c>
      <c r="R203" t="s">
        <v>199</v>
      </c>
      <c r="S203" s="17">
        <v>3731.4271557330835</v>
      </c>
      <c r="T203" s="29"/>
      <c r="U203" s="29">
        <v>81.671218795888493</v>
      </c>
      <c r="V203" s="29">
        <v>10.610521610588455</v>
      </c>
      <c r="W203" s="29">
        <v>2.306401072444487</v>
      </c>
      <c r="X203" s="29">
        <v>0</v>
      </c>
      <c r="Y203" s="29">
        <v>3.6910546424815216</v>
      </c>
      <c r="Z203" s="28">
        <v>0.38277043563387175</v>
      </c>
      <c r="AA203" s="28">
        <v>0.16822429906542055</v>
      </c>
      <c r="AB203" s="28">
        <v>0.56681350954478704</v>
      </c>
      <c r="AC203" s="28">
        <v>0.82834652167229117</v>
      </c>
      <c r="AD203" s="28">
        <v>0.17165347832770883</v>
      </c>
      <c r="AE203" s="28">
        <v>0.43318649045521296</v>
      </c>
    </row>
    <row r="204" spans="2:31">
      <c r="B204">
        <v>197</v>
      </c>
      <c r="C204" t="s">
        <v>17</v>
      </c>
      <c r="H204" t="s">
        <v>202</v>
      </c>
      <c r="J204" t="s">
        <v>80</v>
      </c>
      <c r="L204" t="s">
        <v>74</v>
      </c>
      <c r="M204" s="29">
        <v>3.7169064309453832</v>
      </c>
      <c r="N204" s="29">
        <v>2.7711216227127315</v>
      </c>
      <c r="O204" s="29">
        <f>Table2[[#This Row],[Hot water demand (MWh)]]+Table2[[#This Row],[Space heating demand (MWh)]]</f>
        <v>6.4880280536581143</v>
      </c>
      <c r="P204" s="29">
        <v>3.8658358156301422</v>
      </c>
      <c r="Q204" s="29">
        <v>0</v>
      </c>
      <c r="R204" t="s">
        <v>199</v>
      </c>
      <c r="S204" s="17">
        <v>32046.946627937337</v>
      </c>
      <c r="T204" s="29"/>
      <c r="U204" s="29">
        <v>129.66588846660781</v>
      </c>
      <c r="V204" s="29">
        <v>4.1920244234226987</v>
      </c>
      <c r="W204" s="29">
        <v>3.0595116360963441</v>
      </c>
      <c r="X204" s="29">
        <v>0</v>
      </c>
      <c r="Y204" s="29">
        <v>3.8658358156301431</v>
      </c>
      <c r="Z204" s="28">
        <v>1.2720080663926162E-2</v>
      </c>
      <c r="AA204" s="28">
        <v>4.8693494611149878E-2</v>
      </c>
      <c r="AB204" s="28">
        <v>1.3107888001240983E-2</v>
      </c>
      <c r="AC204" s="28">
        <v>0.57288692345429937</v>
      </c>
      <c r="AD204" s="28">
        <v>0.42711307654570052</v>
      </c>
      <c r="AE204" s="28">
        <v>0.95130650538885009</v>
      </c>
    </row>
    <row r="205" spans="2:31">
      <c r="B205" s="3">
        <v>198</v>
      </c>
      <c r="C205" t="s">
        <v>17</v>
      </c>
      <c r="H205" t="s">
        <v>202</v>
      </c>
      <c r="J205" t="s">
        <v>81</v>
      </c>
      <c r="L205" t="s">
        <v>74</v>
      </c>
      <c r="M205" s="29">
        <v>5.9595928439072718</v>
      </c>
      <c r="N205" s="29">
        <v>2.496449516690181</v>
      </c>
      <c r="O205" s="29">
        <f>Table2[[#This Row],[Hot water demand (MWh)]]+Table2[[#This Row],[Space heating demand (MWh)]]</f>
        <v>8.4560423605974524</v>
      </c>
      <c r="P205" s="29">
        <v>3.9941558106985395</v>
      </c>
      <c r="Q205" s="29">
        <v>0</v>
      </c>
      <c r="R205" t="s">
        <v>199</v>
      </c>
      <c r="S205" s="17">
        <v>52709.807662455532</v>
      </c>
      <c r="T205" s="29"/>
      <c r="U205" s="29">
        <v>119.64783080260244</v>
      </c>
      <c r="V205" s="29">
        <v>7.3573905479580777</v>
      </c>
      <c r="W205" s="29">
        <v>2.9206297894919775</v>
      </c>
      <c r="X205" s="29">
        <v>0</v>
      </c>
      <c r="Y205" s="29">
        <v>3.9941558106985395</v>
      </c>
      <c r="Z205" s="28">
        <v>2.2823729133264171E-2</v>
      </c>
      <c r="AA205" s="28">
        <v>6.6512789109237358E-2</v>
      </c>
      <c r="AB205" s="28">
        <v>3.8432519098368388E-2</v>
      </c>
      <c r="AC205" s="28">
        <v>0.70477329580054315</v>
      </c>
      <c r="AD205" s="28">
        <v>0.29522670419945679</v>
      </c>
      <c r="AE205" s="28">
        <v>0.93348721089076259</v>
      </c>
    </row>
    <row r="206" spans="2:31">
      <c r="B206" s="3">
        <v>199</v>
      </c>
      <c r="C206" t="s">
        <v>17</v>
      </c>
      <c r="H206" t="s">
        <v>202</v>
      </c>
      <c r="J206" t="s">
        <v>82</v>
      </c>
      <c r="L206" t="s">
        <v>74</v>
      </c>
      <c r="M206" s="29">
        <v>6.1399567722988628</v>
      </c>
      <c r="N206" s="29">
        <v>2.5097562195475955</v>
      </c>
      <c r="O206" s="29">
        <f>Table2[[#This Row],[Hot water demand (MWh)]]+Table2[[#This Row],[Space heating demand (MWh)]]</f>
        <v>8.6497129918464584</v>
      </c>
      <c r="P206" s="29">
        <v>3.9790633779589784</v>
      </c>
      <c r="Q206" s="29">
        <v>0</v>
      </c>
      <c r="R206" t="s">
        <v>199</v>
      </c>
      <c r="S206" s="17">
        <v>79763.167400179111</v>
      </c>
      <c r="T206" s="29"/>
      <c r="U206" s="29">
        <v>109.46769398566555</v>
      </c>
      <c r="V206" s="29">
        <v>8.0965014906015877</v>
      </c>
      <c r="W206" s="29">
        <v>3.0890038474638222</v>
      </c>
      <c r="X206" s="29">
        <v>0</v>
      </c>
      <c r="Y206" s="29">
        <v>3.9790633779589788</v>
      </c>
      <c r="Z206" s="28">
        <v>2.1626674976628232E-2</v>
      </c>
      <c r="AA206" s="28">
        <v>3.8790822203542852E-2</v>
      </c>
      <c r="AB206" s="28">
        <v>7.8186350888127143E-2</v>
      </c>
      <c r="AC206" s="28">
        <v>0.70984514492985085</v>
      </c>
      <c r="AD206" s="28">
        <v>0.29015485507014921</v>
      </c>
      <c r="AE206" s="28">
        <v>0.92181364911187291</v>
      </c>
    </row>
    <row r="207" spans="2:31">
      <c r="B207">
        <v>200</v>
      </c>
      <c r="C207" t="s">
        <v>17</v>
      </c>
      <c r="H207" t="s">
        <v>202</v>
      </c>
      <c r="J207" t="s">
        <v>83</v>
      </c>
      <c r="L207" t="s">
        <v>74</v>
      </c>
      <c r="M207" s="29">
        <v>7.2154738308946875</v>
      </c>
      <c r="N207" s="29">
        <v>2.5426487622925649</v>
      </c>
      <c r="O207" s="29">
        <f>Table2[[#This Row],[Hot water demand (MWh)]]+Table2[[#This Row],[Space heating demand (MWh)]]</f>
        <v>9.7581225931872524</v>
      </c>
      <c r="P207" s="29">
        <v>3.9894819401303709</v>
      </c>
      <c r="Q207" s="29">
        <v>0</v>
      </c>
      <c r="R207" t="s">
        <v>199</v>
      </c>
      <c r="S207" s="17">
        <v>59361.295227518771</v>
      </c>
      <c r="T207" s="29"/>
      <c r="U207" s="29">
        <v>105.96129302403469</v>
      </c>
      <c r="V207" s="29">
        <v>9.8863346535010397</v>
      </c>
      <c r="W207" s="29">
        <v>3.2219137345705344</v>
      </c>
      <c r="X207" s="29">
        <v>0</v>
      </c>
      <c r="Y207" s="29">
        <v>3.9894819401303705</v>
      </c>
      <c r="Z207" s="28">
        <v>4.9158361946235657E-2</v>
      </c>
      <c r="AA207" s="28">
        <v>3.4132262517254361E-2</v>
      </c>
      <c r="AB207" s="28">
        <v>0.14500460597939871</v>
      </c>
      <c r="AC207" s="28">
        <v>0.73943258674903878</v>
      </c>
      <c r="AD207" s="28">
        <v>0.26056741325096133</v>
      </c>
      <c r="AE207" s="28">
        <v>0.85499539402060132</v>
      </c>
    </row>
    <row r="208" spans="2:31">
      <c r="B208" s="3">
        <v>201</v>
      </c>
      <c r="C208" t="s">
        <v>17</v>
      </c>
      <c r="H208" t="s">
        <v>202</v>
      </c>
      <c r="J208" t="s">
        <v>84</v>
      </c>
      <c r="L208" t="s">
        <v>74</v>
      </c>
      <c r="M208" s="29">
        <v>9.4406168724864461</v>
      </c>
      <c r="N208" s="29">
        <v>2.4846681725560114</v>
      </c>
      <c r="O208" s="29">
        <f>Table2[[#This Row],[Hot water demand (MWh)]]+Table2[[#This Row],[Space heating demand (MWh)]]</f>
        <v>11.925285045042457</v>
      </c>
      <c r="P208" s="29">
        <v>4.0117489884159356</v>
      </c>
      <c r="Q208" s="29">
        <v>0</v>
      </c>
      <c r="R208" t="s">
        <v>199</v>
      </c>
      <c r="S208" s="17">
        <v>22778.113619670967</v>
      </c>
      <c r="T208" s="29"/>
      <c r="U208" s="29">
        <v>106.42683326058476</v>
      </c>
      <c r="V208" s="29">
        <v>13.255061146454066</v>
      </c>
      <c r="W208" s="29">
        <v>3.1752027484410887</v>
      </c>
      <c r="X208" s="29">
        <v>0</v>
      </c>
      <c r="Y208" s="29">
        <v>4.0117489884159347</v>
      </c>
      <c r="Z208" s="28">
        <v>0.12429070274989087</v>
      </c>
      <c r="AA208" s="28">
        <v>3.7622682660850601E-2</v>
      </c>
      <c r="AB208" s="28">
        <v>0.18627237014404191</v>
      </c>
      <c r="AC208" s="28">
        <v>0.79164706225710468</v>
      </c>
      <c r="AD208" s="28">
        <v>0.20835293774289532</v>
      </c>
      <c r="AE208" s="28">
        <v>0.81372762985595815</v>
      </c>
    </row>
    <row r="209" spans="2:31">
      <c r="B209" s="3">
        <v>202</v>
      </c>
      <c r="C209" t="s">
        <v>17</v>
      </c>
      <c r="H209" t="s">
        <v>202</v>
      </c>
      <c r="J209" t="s">
        <v>85</v>
      </c>
      <c r="L209" t="s">
        <v>74</v>
      </c>
      <c r="M209" s="29">
        <v>10.759157117215091</v>
      </c>
      <c r="N209" s="29">
        <v>2.5552950516938422</v>
      </c>
      <c r="O209" s="29">
        <f>Table2[[#This Row],[Hot water demand (MWh)]]+Table2[[#This Row],[Space heating demand (MWh)]]</f>
        <v>13.314452168908932</v>
      </c>
      <c r="P209" s="29">
        <v>4.0277182712701478</v>
      </c>
      <c r="Q209" s="29">
        <v>0</v>
      </c>
      <c r="R209" t="s">
        <v>199</v>
      </c>
      <c r="S209" s="17">
        <v>9221.6064523111399</v>
      </c>
      <c r="T209" s="29"/>
      <c r="U209" s="29">
        <v>105.66935309973053</v>
      </c>
      <c r="V209" s="29">
        <v>16.156737265102166</v>
      </c>
      <c r="W209" s="29">
        <v>3.3777796401759308</v>
      </c>
      <c r="X209" s="29">
        <v>0</v>
      </c>
      <c r="Y209" s="29">
        <v>4.0277182712701478</v>
      </c>
      <c r="Z209" s="28">
        <v>0.18194070080862534</v>
      </c>
      <c r="AA209" s="28">
        <v>2.6641550053821312E-2</v>
      </c>
      <c r="AB209" s="28">
        <v>0.19568733153638815</v>
      </c>
      <c r="AC209" s="28">
        <v>0.80808109719596233</v>
      </c>
      <c r="AD209" s="28">
        <v>0.19191890280403767</v>
      </c>
      <c r="AE209" s="28">
        <v>0.80431266846361182</v>
      </c>
    </row>
    <row r="210" spans="2:31">
      <c r="B210">
        <v>203</v>
      </c>
      <c r="C210" t="s">
        <v>17</v>
      </c>
      <c r="H210" t="s">
        <v>202</v>
      </c>
      <c r="J210" t="s">
        <v>86</v>
      </c>
      <c r="L210" t="s">
        <v>74</v>
      </c>
      <c r="M210" s="29">
        <v>11.114514573855654</v>
      </c>
      <c r="N210" s="29">
        <v>2.5838546921876118</v>
      </c>
      <c r="O210" s="29">
        <f>Table2[[#This Row],[Hot water demand (MWh)]]+Table2[[#This Row],[Space heating demand (MWh)]]</f>
        <v>13.698369266043265</v>
      </c>
      <c r="P210" s="29">
        <v>3.95769310856079</v>
      </c>
      <c r="Q210" s="29">
        <v>0</v>
      </c>
      <c r="R210" t="s">
        <v>199</v>
      </c>
      <c r="S210" s="17">
        <v>4764.9109350621175</v>
      </c>
      <c r="T210" s="29"/>
      <c r="U210" s="29">
        <v>94.374074074073889</v>
      </c>
      <c r="V210" s="29">
        <v>17.780297105697599</v>
      </c>
      <c r="W210" s="29">
        <v>3.5299400732413218</v>
      </c>
      <c r="X210" s="29">
        <v>0</v>
      </c>
      <c r="Y210" s="29">
        <v>3.9576931085607905</v>
      </c>
      <c r="Z210" s="28">
        <v>0.32133541992696923</v>
      </c>
      <c r="AA210" s="28">
        <v>3.5233160621761656E-2</v>
      </c>
      <c r="AB210" s="28">
        <v>0.35941575378195095</v>
      </c>
      <c r="AC210" s="28">
        <v>0.81137501537553813</v>
      </c>
      <c r="AD210" s="28">
        <v>0.18862498462446184</v>
      </c>
      <c r="AE210" s="28">
        <v>0.6405842462180491</v>
      </c>
    </row>
    <row r="211" spans="2:31">
      <c r="B211" s="3">
        <v>204</v>
      </c>
      <c r="C211" t="s">
        <v>17</v>
      </c>
      <c r="H211" t="s">
        <v>203</v>
      </c>
      <c r="J211" t="s">
        <v>80</v>
      </c>
      <c r="L211" t="s">
        <v>74</v>
      </c>
      <c r="M211" s="29">
        <v>4.429313147349129</v>
      </c>
      <c r="N211" s="29">
        <v>2.4159682576891597</v>
      </c>
      <c r="O211" s="29">
        <f>Table2[[#This Row],[Hot water demand (MWh)]]+Table2[[#This Row],[Space heating demand (MWh)]]</f>
        <v>6.8452814050382891</v>
      </c>
      <c r="P211" s="29">
        <v>3.9514989373120017</v>
      </c>
      <c r="Q211" s="29">
        <v>0</v>
      </c>
      <c r="R211" t="s">
        <v>199</v>
      </c>
      <c r="S211" s="17">
        <v>4406.1794156743526</v>
      </c>
      <c r="T211" s="29"/>
      <c r="U211" s="29">
        <v>118.84749596122751</v>
      </c>
      <c r="V211" s="29">
        <v>4.9378428265731298</v>
      </c>
      <c r="W211" s="29">
        <v>2.5938088016112193</v>
      </c>
      <c r="X211" s="29">
        <v>0</v>
      </c>
      <c r="Y211" s="29">
        <v>3.9514989373120009</v>
      </c>
      <c r="Z211" s="28">
        <v>1.1308562197092083E-2</v>
      </c>
      <c r="AA211" s="28">
        <v>8.6114101184068884E-3</v>
      </c>
      <c r="AB211" s="28">
        <v>6.8928379106085083E-2</v>
      </c>
      <c r="AC211" s="28">
        <v>0.6470607832263916</v>
      </c>
      <c r="AD211" s="28">
        <v>0.3529392167736084</v>
      </c>
      <c r="AE211" s="28">
        <v>0.93107162089391493</v>
      </c>
    </row>
    <row r="212" spans="2:31">
      <c r="B212" s="3">
        <v>205</v>
      </c>
      <c r="C212" t="s">
        <v>17</v>
      </c>
      <c r="H212" t="s">
        <v>203</v>
      </c>
      <c r="J212" t="s">
        <v>81</v>
      </c>
      <c r="L212" t="s">
        <v>74</v>
      </c>
      <c r="M212" s="29">
        <v>6.0833286560925828</v>
      </c>
      <c r="N212" s="29">
        <v>2.8438191926866114</v>
      </c>
      <c r="O212" s="29">
        <f>Table2[[#This Row],[Hot water demand (MWh)]]+Table2[[#This Row],[Space heating demand (MWh)]]</f>
        <v>8.9271478487791942</v>
      </c>
      <c r="P212" s="29">
        <v>4.0843992266276894</v>
      </c>
      <c r="Q212" s="29">
        <v>0</v>
      </c>
      <c r="R212" t="s">
        <v>199</v>
      </c>
      <c r="S212" s="17">
        <v>31068.666272934825</v>
      </c>
      <c r="T212" s="29"/>
      <c r="U212" s="29">
        <v>114.20548342752426</v>
      </c>
      <c r="V212" s="29">
        <v>7.492050555186851</v>
      </c>
      <c r="W212" s="29">
        <v>3.2936746989667101</v>
      </c>
      <c r="X212" s="29">
        <v>0</v>
      </c>
      <c r="Y212" s="29">
        <v>4.0843992266276894</v>
      </c>
      <c r="Z212" s="28">
        <v>1.0539178249579961E-2</v>
      </c>
      <c r="AA212" s="28">
        <v>1.1067857415464469E-2</v>
      </c>
      <c r="AB212" s="28">
        <v>4.7884527264395904E-2</v>
      </c>
      <c r="AC212" s="28">
        <v>0.68144145914694243</v>
      </c>
      <c r="AD212" s="28">
        <v>0.31855854085305751</v>
      </c>
      <c r="AE212" s="28">
        <v>0.95211547273560404</v>
      </c>
    </row>
    <row r="213" spans="2:31">
      <c r="B213">
        <v>206</v>
      </c>
      <c r="C213" t="s">
        <v>17</v>
      </c>
      <c r="H213" t="s">
        <v>203</v>
      </c>
      <c r="J213" t="s">
        <v>82</v>
      </c>
      <c r="L213" t="s">
        <v>74</v>
      </c>
      <c r="M213" s="29">
        <v>6.5846169558761334</v>
      </c>
      <c r="N213" s="29">
        <v>2.9403690374392193</v>
      </c>
      <c r="O213" s="29">
        <f>Table2[[#This Row],[Hot water demand (MWh)]]+Table2[[#This Row],[Space heating demand (MWh)]]</f>
        <v>9.5249859933153527</v>
      </c>
      <c r="P213" s="29">
        <v>4.0834608866286812</v>
      </c>
      <c r="Q213" s="29">
        <v>0</v>
      </c>
      <c r="R213" t="s">
        <v>199</v>
      </c>
      <c r="S213" s="17">
        <v>61465.846937557406</v>
      </c>
      <c r="T213" s="29"/>
      <c r="U213" s="29">
        <v>105.67364601428264</v>
      </c>
      <c r="V213" s="29">
        <v>8.6321150247474314</v>
      </c>
      <c r="W213" s="29">
        <v>3.53778928813432</v>
      </c>
      <c r="X213" s="29">
        <v>0</v>
      </c>
      <c r="Y213" s="29">
        <v>4.0834608866286803</v>
      </c>
      <c r="Z213" s="28">
        <v>1.2468635398571704E-2</v>
      </c>
      <c r="AA213" s="28">
        <v>7.0599128120057099E-3</v>
      </c>
      <c r="AB213" s="28">
        <v>0.10928392202277552</v>
      </c>
      <c r="AC213" s="28">
        <v>0.69129938463922425</v>
      </c>
      <c r="AD213" s="28">
        <v>0.30870061536077581</v>
      </c>
      <c r="AE213" s="28">
        <v>0.89071607797722452</v>
      </c>
    </row>
    <row r="214" spans="2:31">
      <c r="B214" s="3">
        <v>207</v>
      </c>
      <c r="C214" t="s">
        <v>17</v>
      </c>
      <c r="H214" t="s">
        <v>203</v>
      </c>
      <c r="J214" t="s">
        <v>83</v>
      </c>
      <c r="L214" t="s">
        <v>74</v>
      </c>
      <c r="M214" s="29">
        <v>7.5687407827190887</v>
      </c>
      <c r="N214" s="29">
        <v>3.0627496482961298</v>
      </c>
      <c r="O214" s="29">
        <f>Table2[[#This Row],[Hot water demand (MWh)]]+Table2[[#This Row],[Space heating demand (MWh)]]</f>
        <v>10.631490431015219</v>
      </c>
      <c r="P214" s="29">
        <v>4.0536281722591934</v>
      </c>
      <c r="Q214" s="29">
        <v>0</v>
      </c>
      <c r="R214" t="s">
        <v>199</v>
      </c>
      <c r="S214" s="17">
        <v>46856.882660601572</v>
      </c>
      <c r="T214" s="29"/>
      <c r="U214" s="29">
        <v>98.837856998177458</v>
      </c>
      <c r="V214" s="29">
        <v>10.47368453443748</v>
      </c>
      <c r="W214" s="29">
        <v>3.8318119695237054</v>
      </c>
      <c r="X214" s="29">
        <v>0</v>
      </c>
      <c r="Y214" s="29">
        <v>4.0536281722591925</v>
      </c>
      <c r="Z214" s="28">
        <v>4.1776382418472757E-2</v>
      </c>
      <c r="AA214" s="28">
        <v>4.9103978940973981E-3</v>
      </c>
      <c r="AB214" s="28">
        <v>0.22787117682803321</v>
      </c>
      <c r="AC214" s="28">
        <v>0.71191718901790302</v>
      </c>
      <c r="AD214" s="28">
        <v>0.28808281098209693</v>
      </c>
      <c r="AE214" s="28">
        <v>0.77212882317196674</v>
      </c>
    </row>
    <row r="215" spans="2:31">
      <c r="B215" s="3">
        <v>208</v>
      </c>
      <c r="C215" t="s">
        <v>17</v>
      </c>
      <c r="H215" t="s">
        <v>203</v>
      </c>
      <c r="J215" t="s">
        <v>84</v>
      </c>
      <c r="L215" t="s">
        <v>74</v>
      </c>
      <c r="M215" s="29">
        <v>10.541364036226271</v>
      </c>
      <c r="N215" s="29">
        <v>3.144643303376732</v>
      </c>
      <c r="O215" s="29">
        <f>Table2[[#This Row],[Hot water demand (MWh)]]+Table2[[#This Row],[Space heating demand (MWh)]]</f>
        <v>13.686007339603004</v>
      </c>
      <c r="P215" s="29">
        <v>4.0901979376311806</v>
      </c>
      <c r="Q215" s="29">
        <v>0</v>
      </c>
      <c r="R215" t="s">
        <v>199</v>
      </c>
      <c r="S215" s="17">
        <v>17774.200324618512</v>
      </c>
      <c r="T215" s="29"/>
      <c r="U215" s="29">
        <v>101.79682285409156</v>
      </c>
      <c r="V215" s="29">
        <v>15.137048915618585</v>
      </c>
      <c r="W215" s="29">
        <v>4.0547675641704544</v>
      </c>
      <c r="X215" s="29">
        <v>0</v>
      </c>
      <c r="Y215" s="29">
        <v>4.0901979376311797</v>
      </c>
      <c r="Z215" s="28">
        <v>0.13069016152716592</v>
      </c>
      <c r="AA215" s="28">
        <v>7.3255194459243477E-3</v>
      </c>
      <c r="AB215" s="28">
        <v>0.24749699639567482</v>
      </c>
      <c r="AC215" s="28">
        <v>0.77022931338951406</v>
      </c>
      <c r="AD215" s="28">
        <v>0.22977068661048589</v>
      </c>
      <c r="AE215" s="28">
        <v>0.7525030036043252</v>
      </c>
    </row>
    <row r="216" spans="2:31">
      <c r="B216">
        <v>209</v>
      </c>
      <c r="C216" t="s">
        <v>17</v>
      </c>
      <c r="H216" t="s">
        <v>203</v>
      </c>
      <c r="J216" t="s">
        <v>85</v>
      </c>
      <c r="L216" t="s">
        <v>74</v>
      </c>
      <c r="M216" s="29">
        <v>12.822365499882581</v>
      </c>
      <c r="N216" s="29">
        <v>3.2108118969276935</v>
      </c>
      <c r="O216" s="29">
        <f>Table2[[#This Row],[Hot water demand (MWh)]]+Table2[[#This Row],[Space heating demand (MWh)]]</f>
        <v>16.033177396810274</v>
      </c>
      <c r="P216" s="29">
        <v>4.1185404523348126</v>
      </c>
      <c r="Q216" s="29">
        <v>0</v>
      </c>
      <c r="R216" t="s">
        <v>199</v>
      </c>
      <c r="S216" s="17">
        <v>8420.8566215553456</v>
      </c>
      <c r="T216" s="29"/>
      <c r="U216" s="29">
        <v>103.36627218934879</v>
      </c>
      <c r="V216" s="29">
        <v>19.486514680116805</v>
      </c>
      <c r="W216" s="29">
        <v>4.2638397438597391</v>
      </c>
      <c r="X216" s="29">
        <v>0</v>
      </c>
      <c r="Y216" s="29">
        <v>4.1185404523348126</v>
      </c>
      <c r="Z216" s="28">
        <v>0.22372499295576218</v>
      </c>
      <c r="AA216" s="28">
        <v>8.4269662921348312E-3</v>
      </c>
      <c r="AB216" s="28">
        <v>0.23330515638207946</v>
      </c>
      <c r="AC216" s="28">
        <v>0.79973951404252108</v>
      </c>
      <c r="AD216" s="28">
        <v>0.200260485957479</v>
      </c>
      <c r="AE216" s="28">
        <v>0.76669484361792051</v>
      </c>
    </row>
    <row r="217" spans="2:31">
      <c r="B217" s="3">
        <v>210</v>
      </c>
      <c r="C217" t="s">
        <v>17</v>
      </c>
      <c r="H217" t="s">
        <v>203</v>
      </c>
      <c r="J217" t="s">
        <v>86</v>
      </c>
      <c r="L217" t="s">
        <v>74</v>
      </c>
      <c r="M217" s="29">
        <v>14.265623181154657</v>
      </c>
      <c r="N217" s="29">
        <v>3.4204517125678056</v>
      </c>
      <c r="O217" s="29">
        <f>Table2[[#This Row],[Hot water demand (MWh)]]+Table2[[#This Row],[Space heating demand (MWh)]]</f>
        <v>17.686074893722463</v>
      </c>
      <c r="P217" s="29">
        <v>4.0896985248891804</v>
      </c>
      <c r="Q217" s="29">
        <v>0</v>
      </c>
      <c r="R217" t="s">
        <v>199</v>
      </c>
      <c r="S217" s="17">
        <v>6264.0353566937483</v>
      </c>
      <c r="T217" s="29"/>
      <c r="U217" s="29">
        <v>95.543560606060723</v>
      </c>
      <c r="V217" s="29">
        <v>22.932628599911446</v>
      </c>
      <c r="W217" s="29">
        <v>4.6577960903199509</v>
      </c>
      <c r="X217" s="29">
        <v>0</v>
      </c>
      <c r="Y217" s="29">
        <v>4.0896985248891813</v>
      </c>
      <c r="Z217" s="28">
        <v>0.39356060606060606</v>
      </c>
      <c r="AA217" s="28">
        <v>1.6949152542372881E-2</v>
      </c>
      <c r="AB217" s="28">
        <v>0.39696969696969697</v>
      </c>
      <c r="AC217" s="28">
        <v>0.80660198867630772</v>
      </c>
      <c r="AD217" s="28">
        <v>0.19339801132369222</v>
      </c>
      <c r="AE217" s="28">
        <v>0.60303030303030303</v>
      </c>
    </row>
    <row r="218" spans="2:31">
      <c r="B218" s="3">
        <v>211</v>
      </c>
      <c r="C218" t="s">
        <v>17</v>
      </c>
      <c r="H218" t="s">
        <v>206</v>
      </c>
      <c r="J218" t="s">
        <v>80</v>
      </c>
      <c r="L218" t="s">
        <v>74</v>
      </c>
      <c r="M218" s="29">
        <v>4.4830263906961028</v>
      </c>
      <c r="N218" s="29">
        <v>2.4097305193568865</v>
      </c>
      <c r="O218" s="29">
        <f>Table2[[#This Row],[Hot water demand (MWh)]]+Table2[[#This Row],[Space heating demand (MWh)]]</f>
        <v>6.8927569100529897</v>
      </c>
      <c r="P218" s="29">
        <v>4.1236477415424861</v>
      </c>
      <c r="Q218" s="29">
        <v>0</v>
      </c>
      <c r="R218" t="s">
        <v>199</v>
      </c>
      <c r="S218" s="17">
        <v>9.3534082264997824</v>
      </c>
      <c r="T218" s="29"/>
      <c r="U218" s="29">
        <v>225.96666666666667</v>
      </c>
      <c r="V218" s="29">
        <v>13.468482119716452</v>
      </c>
      <c r="W218" s="29">
        <v>2.8603467953240234</v>
      </c>
      <c r="X218" s="29">
        <v>0</v>
      </c>
      <c r="Y218" s="29">
        <v>4.1236477415424861</v>
      </c>
      <c r="Z218" s="28">
        <v>0</v>
      </c>
      <c r="AA218" s="28">
        <v>0</v>
      </c>
      <c r="AB218" s="28">
        <v>0</v>
      </c>
      <c r="AC218" s="28">
        <v>0.82303899162013994</v>
      </c>
      <c r="AD218" s="28">
        <v>0.17696100837986012</v>
      </c>
      <c r="AE218" s="28">
        <v>1</v>
      </c>
    </row>
    <row r="219" spans="2:31">
      <c r="B219">
        <v>212</v>
      </c>
      <c r="C219" t="s">
        <v>17</v>
      </c>
      <c r="H219" t="s">
        <v>206</v>
      </c>
      <c r="J219" t="s">
        <v>81</v>
      </c>
      <c r="L219" t="s">
        <v>74</v>
      </c>
      <c r="M219" s="29">
        <v>2.3020914373026917</v>
      </c>
      <c r="N219" s="29">
        <v>1.8388108222587334</v>
      </c>
      <c r="O219" s="29">
        <f>Table2[[#This Row],[Hot water demand (MWh)]]+Table2[[#This Row],[Space heating demand (MWh)]]</f>
        <v>4.1409022595614253</v>
      </c>
      <c r="P219" s="29">
        <v>3.9710727641511085</v>
      </c>
      <c r="Q219" s="29">
        <v>0</v>
      </c>
      <c r="R219" t="s">
        <v>199</v>
      </c>
      <c r="S219" s="17">
        <v>124.71210968666377</v>
      </c>
      <c r="T219" s="29"/>
      <c r="U219" s="29">
        <v>119.75749999999996</v>
      </c>
      <c r="V219" s="29">
        <v>7.5794881129262546</v>
      </c>
      <c r="W219" s="29">
        <v>2.276590504093936</v>
      </c>
      <c r="X219" s="29">
        <v>0</v>
      </c>
      <c r="Y219" s="29">
        <v>3.9710727641511085</v>
      </c>
      <c r="Z219" s="28">
        <v>0</v>
      </c>
      <c r="AA219" s="28">
        <v>0</v>
      </c>
      <c r="AB219" s="28">
        <v>0.05</v>
      </c>
      <c r="AC219" s="28">
        <v>0.75786130125926932</v>
      </c>
      <c r="AD219" s="28">
        <v>0.24213869874073071</v>
      </c>
      <c r="AE219" s="28">
        <v>0.95</v>
      </c>
    </row>
    <row r="220" spans="2:31">
      <c r="B220" s="3">
        <v>213</v>
      </c>
      <c r="C220" t="s">
        <v>17</v>
      </c>
      <c r="H220" t="s">
        <v>206</v>
      </c>
      <c r="J220" t="s">
        <v>82</v>
      </c>
      <c r="L220" t="s">
        <v>74</v>
      </c>
      <c r="M220" s="29">
        <v>1.9338902388314185</v>
      </c>
      <c r="N220" s="29">
        <v>2.0680420163880524</v>
      </c>
      <c r="O220" s="29">
        <f>Table2[[#This Row],[Hot water demand (MWh)]]+Table2[[#This Row],[Space heating demand (MWh)]]</f>
        <v>4.0019322552194705</v>
      </c>
      <c r="P220" s="29">
        <v>3.9106174179702378</v>
      </c>
      <c r="Q220" s="29">
        <v>0</v>
      </c>
      <c r="R220" t="s">
        <v>199</v>
      </c>
      <c r="S220" s="17">
        <v>1103.7021707269744</v>
      </c>
      <c r="T220" s="29"/>
      <c r="U220" s="29">
        <v>99.729943502824796</v>
      </c>
      <c r="V220" s="29">
        <v>7.2081756962546022</v>
      </c>
      <c r="W220" s="29">
        <v>2.7673926084000842</v>
      </c>
      <c r="X220" s="29">
        <v>0</v>
      </c>
      <c r="Y220" s="29">
        <v>3.9106174179702382</v>
      </c>
      <c r="Z220" s="28">
        <v>1.6949152542372881E-2</v>
      </c>
      <c r="AA220" s="28">
        <v>0</v>
      </c>
      <c r="AB220" s="28">
        <v>0.15819209039548024</v>
      </c>
      <c r="AC220" s="28">
        <v>0.70040393474155016</v>
      </c>
      <c r="AD220" s="28">
        <v>0.29959606525844978</v>
      </c>
      <c r="AE220" s="28">
        <v>0.84180790960451979</v>
      </c>
    </row>
    <row r="221" spans="2:31">
      <c r="B221" s="3">
        <v>214</v>
      </c>
      <c r="C221" t="s">
        <v>17</v>
      </c>
      <c r="H221" t="s">
        <v>206</v>
      </c>
      <c r="J221" t="s">
        <v>83</v>
      </c>
      <c r="L221" t="s">
        <v>74</v>
      </c>
      <c r="M221" s="29">
        <v>1.7458959960003673</v>
      </c>
      <c r="N221" s="29">
        <v>2.0455251420205882</v>
      </c>
      <c r="O221" s="29">
        <f>Table2[[#This Row],[Hot water demand (MWh)]]+Table2[[#This Row],[Space heating demand (MWh)]]</f>
        <v>3.7914211380209553</v>
      </c>
      <c r="P221" s="29">
        <v>3.8216268859107796</v>
      </c>
      <c r="Q221" s="29">
        <v>0</v>
      </c>
      <c r="R221" t="s">
        <v>199</v>
      </c>
      <c r="S221" s="17">
        <v>10544.408874007422</v>
      </c>
      <c r="T221" s="29"/>
      <c r="U221" s="29">
        <v>86.058456534594967</v>
      </c>
      <c r="V221" s="29">
        <v>7.446895039740423</v>
      </c>
      <c r="W221" s="29">
        <v>2.9327048118811332</v>
      </c>
      <c r="X221" s="29">
        <v>0</v>
      </c>
      <c r="Y221" s="29">
        <v>3.8216268859107791</v>
      </c>
      <c r="Z221" s="28">
        <v>7.9834417504435241E-3</v>
      </c>
      <c r="AA221" s="28">
        <v>1.7735737511084836E-3</v>
      </c>
      <c r="AB221" s="28">
        <v>0.26345357776463629</v>
      </c>
      <c r="AC221" s="28">
        <v>0.68089851201279061</v>
      </c>
      <c r="AD221" s="28">
        <v>0.31910148798720955</v>
      </c>
      <c r="AE221" s="28">
        <v>0.73654642223536371</v>
      </c>
    </row>
    <row r="222" spans="2:31">
      <c r="B222">
        <v>215</v>
      </c>
      <c r="C222" t="s">
        <v>17</v>
      </c>
      <c r="H222" t="s">
        <v>206</v>
      </c>
      <c r="J222" t="s">
        <v>84</v>
      </c>
      <c r="L222" t="s">
        <v>74</v>
      </c>
      <c r="M222" s="29">
        <v>1.7023558218432844</v>
      </c>
      <c r="N222" s="29">
        <v>1.9922718669305657</v>
      </c>
      <c r="O222" s="29">
        <f>Table2[[#This Row],[Hot water demand (MWh)]]+Table2[[#This Row],[Space heating demand (MWh)]]</f>
        <v>3.6946276887738501</v>
      </c>
      <c r="P222" s="29">
        <v>3.7547415851136359</v>
      </c>
      <c r="Q222" s="29">
        <v>0</v>
      </c>
      <c r="R222" t="s">
        <v>199</v>
      </c>
      <c r="S222" s="17">
        <v>16299.872736046955</v>
      </c>
      <c r="T222" s="29"/>
      <c r="U222" s="29">
        <v>78.190034429992409</v>
      </c>
      <c r="V222" s="29">
        <v>8.3625594208880809</v>
      </c>
      <c r="W222" s="29">
        <v>3.1085599375495367</v>
      </c>
      <c r="X222" s="29">
        <v>0</v>
      </c>
      <c r="Y222" s="29">
        <v>3.7547415851136354</v>
      </c>
      <c r="Z222" s="28">
        <v>1.0137719969395562E-2</v>
      </c>
      <c r="AA222" s="28">
        <v>3.632887189292543E-3</v>
      </c>
      <c r="AB222" s="28">
        <v>0.44529456771231829</v>
      </c>
      <c r="AC222" s="28">
        <v>0.68114270222552686</v>
      </c>
      <c r="AD222" s="28">
        <v>0.31885729777447325</v>
      </c>
      <c r="AE222" s="28">
        <v>0.55470543228768165</v>
      </c>
    </row>
    <row r="223" spans="2:31">
      <c r="B223" s="3">
        <v>216</v>
      </c>
      <c r="C223" t="s">
        <v>17</v>
      </c>
      <c r="H223" t="s">
        <v>206</v>
      </c>
      <c r="J223" t="s">
        <v>85</v>
      </c>
      <c r="L223" t="s">
        <v>74</v>
      </c>
      <c r="M223" s="29">
        <v>1.685149298907884</v>
      </c>
      <c r="N223" s="29">
        <v>1.9716320462093351</v>
      </c>
      <c r="O223" s="29">
        <f>Table2[[#This Row],[Hot water demand (MWh)]]+Table2[[#This Row],[Space heating demand (MWh)]]</f>
        <v>3.6567813451172189</v>
      </c>
      <c r="P223" s="29">
        <v>3.7016814076239699</v>
      </c>
      <c r="Q223" s="29">
        <v>0</v>
      </c>
      <c r="R223" t="s">
        <v>199</v>
      </c>
      <c r="S223" s="17">
        <v>8396.2427846546398</v>
      </c>
      <c r="T223" s="29"/>
      <c r="U223" s="29">
        <v>70.447642034905314</v>
      </c>
      <c r="V223" s="29">
        <v>8.6570435899155473</v>
      </c>
      <c r="W223" s="29">
        <v>3.175493417801476</v>
      </c>
      <c r="X223" s="29">
        <v>0</v>
      </c>
      <c r="Y223" s="29">
        <v>3.7016814076239699</v>
      </c>
      <c r="Z223" s="28">
        <v>2.9335313776457483E-2</v>
      </c>
      <c r="AA223" s="28">
        <v>3.7119524870081661E-3</v>
      </c>
      <c r="AB223" s="28">
        <v>0.66468622354251761</v>
      </c>
      <c r="AC223" s="28">
        <v>0.68119809869218995</v>
      </c>
      <c r="AD223" s="28">
        <v>0.31880190130781</v>
      </c>
      <c r="AE223" s="28">
        <v>0.33531377645748239</v>
      </c>
    </row>
    <row r="224" spans="2:31">
      <c r="B224" s="3">
        <v>217</v>
      </c>
      <c r="C224" t="s">
        <v>17</v>
      </c>
      <c r="H224" t="s">
        <v>206</v>
      </c>
      <c r="J224" t="s">
        <v>86</v>
      </c>
      <c r="L224" t="s">
        <v>74</v>
      </c>
      <c r="M224" s="29">
        <v>2.7309687881708555</v>
      </c>
      <c r="N224" s="29">
        <v>1.8801642686545978</v>
      </c>
      <c r="O224" s="29">
        <f>Table2[[#This Row],[Hot water demand (MWh)]]+Table2[[#This Row],[Space heating demand (MWh)]]</f>
        <v>4.6111330568254534</v>
      </c>
      <c r="P224" s="29">
        <v>3.7149218670091844</v>
      </c>
      <c r="Q224" s="29">
        <v>0</v>
      </c>
      <c r="R224" t="s">
        <v>199</v>
      </c>
      <c r="S224" s="17">
        <v>8832.7351685579615</v>
      </c>
      <c r="T224" s="29"/>
      <c r="U224" s="29">
        <v>71.811542534415963</v>
      </c>
      <c r="V224" s="29">
        <v>15.847994461804372</v>
      </c>
      <c r="W224" s="29">
        <v>2.9224396807390556</v>
      </c>
      <c r="X224" s="29">
        <v>0</v>
      </c>
      <c r="Y224" s="29">
        <v>3.7149218670091844</v>
      </c>
      <c r="Z224" s="28">
        <v>0.26720790681256618</v>
      </c>
      <c r="AA224" s="28">
        <v>7.9748163693599161E-2</v>
      </c>
      <c r="AB224" s="28">
        <v>0.68478644546417222</v>
      </c>
      <c r="AC224" s="28">
        <v>0.78407744499664334</v>
      </c>
      <c r="AD224" s="28">
        <v>0.21592255500335669</v>
      </c>
      <c r="AE224" s="28">
        <v>0.31521355453582778</v>
      </c>
    </row>
    <row r="225" spans="2:31">
      <c r="B225">
        <v>218</v>
      </c>
      <c r="C225" t="s">
        <v>17</v>
      </c>
      <c r="H225" t="s">
        <v>197</v>
      </c>
      <c r="J225" t="s">
        <v>80</v>
      </c>
      <c r="L225" t="s">
        <v>73</v>
      </c>
      <c r="M225" s="29">
        <v>8.5766034612105475</v>
      </c>
      <c r="N225" s="29">
        <v>3.60010434223206</v>
      </c>
      <c r="O225" s="29">
        <f>Table2[[#This Row],[Hot water demand (MWh)]]+Table2[[#This Row],[Space heating demand (MWh)]]</f>
        <v>12.176707803442607</v>
      </c>
      <c r="P225" s="29">
        <v>4.4352226422978935</v>
      </c>
      <c r="Q225" s="29">
        <v>0</v>
      </c>
      <c r="R225" t="s">
        <v>199</v>
      </c>
      <c r="S225" s="17">
        <v>14158.27229227596</v>
      </c>
      <c r="T225" s="29"/>
      <c r="U225" s="29">
        <v>221.42232256693654</v>
      </c>
      <c r="V225" s="29">
        <v>2.4801104168370927</v>
      </c>
      <c r="W225" s="29">
        <v>1.7920053546995007</v>
      </c>
      <c r="X225" s="29">
        <v>0</v>
      </c>
      <c r="Y225" s="29">
        <v>4.4352226422978935</v>
      </c>
      <c r="Z225" s="28">
        <v>3.2192945176370592E-2</v>
      </c>
      <c r="AA225" s="28">
        <v>5.0977060322854716E-3</v>
      </c>
      <c r="AB225" s="28">
        <v>1.827454313642159E-2</v>
      </c>
      <c r="AC225" s="28">
        <v>0.7043450167035924</v>
      </c>
      <c r="AD225" s="28">
        <v>0.2956549832964076</v>
      </c>
      <c r="AE225" s="28">
        <v>0.98172545686357837</v>
      </c>
    </row>
    <row r="226" spans="2:31">
      <c r="B226" s="3">
        <v>219</v>
      </c>
      <c r="C226" t="s">
        <v>17</v>
      </c>
      <c r="H226" t="s">
        <v>197</v>
      </c>
      <c r="J226" t="s">
        <v>81</v>
      </c>
      <c r="L226" t="s">
        <v>73</v>
      </c>
      <c r="M226" s="29">
        <v>13.788214546105753</v>
      </c>
      <c r="N226" s="29">
        <v>3.2496852842820831</v>
      </c>
      <c r="O226" s="29">
        <f>Table2[[#This Row],[Hot water demand (MWh)]]+Table2[[#This Row],[Space heating demand (MWh)]]</f>
        <v>17.037899830387836</v>
      </c>
      <c r="P226" s="29">
        <v>4.8777045281090077</v>
      </c>
      <c r="Q226" s="29">
        <v>0</v>
      </c>
      <c r="R226" t="s">
        <v>199</v>
      </c>
      <c r="S226" s="17">
        <v>1192.8931074983889</v>
      </c>
      <c r="T226" s="29"/>
      <c r="U226" s="29">
        <v>225.17629255989925</v>
      </c>
      <c r="V226" s="29">
        <v>6.4667526444300529</v>
      </c>
      <c r="W226" s="29">
        <v>2.3052614320484857</v>
      </c>
      <c r="X226" s="29">
        <v>0</v>
      </c>
      <c r="Y226" s="29">
        <v>4.8777045281090077</v>
      </c>
      <c r="Z226" s="28">
        <v>0.10214375788146279</v>
      </c>
      <c r="AA226" s="28">
        <v>3.270440251572327E-2</v>
      </c>
      <c r="AB226" s="28">
        <v>6.683480453972257E-2</v>
      </c>
      <c r="AC226" s="28">
        <v>0.80926726200807164</v>
      </c>
      <c r="AD226" s="28">
        <v>0.1907327379919283</v>
      </c>
      <c r="AE226" s="28">
        <v>0.93316519546027743</v>
      </c>
    </row>
    <row r="227" spans="2:31">
      <c r="B227" s="3">
        <v>220</v>
      </c>
      <c r="C227" t="s">
        <v>17</v>
      </c>
      <c r="H227" t="s">
        <v>197</v>
      </c>
      <c r="J227" t="s">
        <v>82</v>
      </c>
      <c r="L227" t="s">
        <v>73</v>
      </c>
      <c r="M227" s="29">
        <v>11.582166642998413</v>
      </c>
      <c r="N227" s="29">
        <v>2.6020374836557716</v>
      </c>
      <c r="O227" s="29">
        <f>Table2[[#This Row],[Hot water demand (MWh)]]+Table2[[#This Row],[Space heating demand (MWh)]]</f>
        <v>14.184204126654183</v>
      </c>
      <c r="P227" s="29">
        <v>4.5827730804197344</v>
      </c>
      <c r="Q227" s="29">
        <v>0</v>
      </c>
      <c r="R227" t="s">
        <v>199</v>
      </c>
      <c r="S227" s="17">
        <v>725.06239320835232</v>
      </c>
      <c r="T227" s="29"/>
      <c r="U227" s="29">
        <v>193.22676348547702</v>
      </c>
      <c r="V227" s="29">
        <v>9.7417575739000508</v>
      </c>
      <c r="W227" s="29">
        <v>2.3795339461841296</v>
      </c>
      <c r="X227" s="29">
        <v>0</v>
      </c>
      <c r="Y227" s="29">
        <v>4.5827730804197353</v>
      </c>
      <c r="Z227" s="28">
        <v>0.14107883817427386</v>
      </c>
      <c r="AA227" s="28">
        <v>0.28305785123966942</v>
      </c>
      <c r="AB227" s="28">
        <v>7.4688796680497924E-2</v>
      </c>
      <c r="AC227" s="28">
        <v>0.81655386087075799</v>
      </c>
      <c r="AD227" s="28">
        <v>0.18344613912924199</v>
      </c>
      <c r="AE227" s="28">
        <v>0.71694214876033058</v>
      </c>
    </row>
    <row r="228" spans="2:31">
      <c r="B228">
        <v>221</v>
      </c>
      <c r="C228" t="s">
        <v>17</v>
      </c>
      <c r="H228" t="s">
        <v>197</v>
      </c>
      <c r="J228" t="s">
        <v>83</v>
      </c>
      <c r="L228" t="s">
        <v>73</v>
      </c>
      <c r="M228" s="29">
        <v>9.8386123236946688</v>
      </c>
      <c r="N228" s="29">
        <v>2.317144079512115</v>
      </c>
      <c r="O228" s="29">
        <f>Table2[[#This Row],[Hot water demand (MWh)]]+Table2[[#This Row],[Space heating demand (MWh)]]</f>
        <v>12.155756403206784</v>
      </c>
      <c r="P228" s="29">
        <v>4.3217810319985324</v>
      </c>
      <c r="Q228" s="29">
        <v>0</v>
      </c>
      <c r="R228" t="s">
        <v>199</v>
      </c>
      <c r="S228" s="17">
        <v>2312.0765526166756</v>
      </c>
      <c r="T228" s="29"/>
      <c r="U228" s="29">
        <v>157.52016916070264</v>
      </c>
      <c r="V228" s="29">
        <v>10.111502424519651</v>
      </c>
      <c r="W228" s="29">
        <v>2.3107398855647348</v>
      </c>
      <c r="X228" s="29">
        <v>0</v>
      </c>
      <c r="Y228" s="29">
        <v>4.3217810319985324</v>
      </c>
      <c r="Z228" s="28">
        <v>5.595315549772284E-2</v>
      </c>
      <c r="AA228" s="28">
        <v>0.22300771208226222</v>
      </c>
      <c r="AB228" s="28">
        <v>0.12621990891346779</v>
      </c>
      <c r="AC228" s="28">
        <v>0.80937886523451263</v>
      </c>
      <c r="AD228" s="28">
        <v>0.19062113476548728</v>
      </c>
      <c r="AE228" s="28">
        <v>0.77699228791773778</v>
      </c>
    </row>
    <row r="229" spans="2:31">
      <c r="B229" s="3">
        <v>222</v>
      </c>
      <c r="C229" t="s">
        <v>17</v>
      </c>
      <c r="H229" t="s">
        <v>197</v>
      </c>
      <c r="J229" t="s">
        <v>84</v>
      </c>
      <c r="L229" t="s">
        <v>73</v>
      </c>
      <c r="M229" s="29">
        <v>8.6304415926425904</v>
      </c>
      <c r="N229" s="29">
        <v>2.0457785322192641</v>
      </c>
      <c r="O229" s="29">
        <f>Table2[[#This Row],[Hot water demand (MWh)]]+Table2[[#This Row],[Space heating demand (MWh)]]</f>
        <v>10.676220124861855</v>
      </c>
      <c r="P229" s="29">
        <v>3.9847696245559674</v>
      </c>
      <c r="Q229" s="29">
        <v>0</v>
      </c>
      <c r="R229" t="s">
        <v>199</v>
      </c>
      <c r="S229" s="17">
        <v>2324.1107832093453</v>
      </c>
      <c r="T229" s="29"/>
      <c r="U229" s="29">
        <v>118.90084142394836</v>
      </c>
      <c r="V229" s="29">
        <v>9.209532338921818</v>
      </c>
      <c r="W229" s="29">
        <v>2.0798541850720405</v>
      </c>
      <c r="X229" s="29">
        <v>0</v>
      </c>
      <c r="Y229" s="29">
        <v>3.9847696245559678</v>
      </c>
      <c r="Z229" s="28">
        <v>6.9255663430420708E-2</v>
      </c>
      <c r="AA229" s="28">
        <v>0.13904761904761906</v>
      </c>
      <c r="AB229" s="28">
        <v>0.32491909385113271</v>
      </c>
      <c r="AC229" s="28">
        <v>0.80837988461335386</v>
      </c>
      <c r="AD229" s="28">
        <v>0.19162011538664633</v>
      </c>
      <c r="AE229" s="28">
        <v>0.67508090614886729</v>
      </c>
    </row>
    <row r="230" spans="2:31">
      <c r="B230" s="3">
        <v>223</v>
      </c>
      <c r="C230" t="s">
        <v>17</v>
      </c>
      <c r="H230" t="s">
        <v>197</v>
      </c>
      <c r="J230" t="s">
        <v>85</v>
      </c>
      <c r="L230" t="s">
        <v>73</v>
      </c>
      <c r="M230" s="29">
        <v>9.0120645353270312</v>
      </c>
      <c r="N230" s="29">
        <v>2.004200195512853</v>
      </c>
      <c r="O230" s="29">
        <f>Table2[[#This Row],[Hot water demand (MWh)]]+Table2[[#This Row],[Space heating demand (MWh)]]</f>
        <v>11.016264730839884</v>
      </c>
      <c r="P230" s="29">
        <v>3.8713767860007815</v>
      </c>
      <c r="Q230" s="29">
        <v>0</v>
      </c>
      <c r="R230" t="s">
        <v>199</v>
      </c>
      <c r="S230" s="17">
        <v>1280.1412792952447</v>
      </c>
      <c r="T230" s="29"/>
      <c r="U230" s="29">
        <v>105.68037602820228</v>
      </c>
      <c r="V230" s="29">
        <v>9.6199864335433887</v>
      </c>
      <c r="W230" s="29">
        <v>2.1008828874329368</v>
      </c>
      <c r="X230" s="29">
        <v>0</v>
      </c>
      <c r="Y230" s="29">
        <v>3.8713767860007815</v>
      </c>
      <c r="Z230" s="28">
        <v>0.16098707403055229</v>
      </c>
      <c r="AA230" s="28">
        <v>0.17371428571428571</v>
      </c>
      <c r="AB230" s="28">
        <v>0.47121034077555818</v>
      </c>
      <c r="AC230" s="28">
        <v>0.81806898758504576</v>
      </c>
      <c r="AD230" s="28">
        <v>0.18193101241495419</v>
      </c>
      <c r="AE230" s="28">
        <v>0.52878965922444188</v>
      </c>
    </row>
    <row r="231" spans="2:31">
      <c r="B231">
        <v>224</v>
      </c>
      <c r="C231" t="s">
        <v>17</v>
      </c>
      <c r="H231" t="s">
        <v>197</v>
      </c>
      <c r="J231" t="s">
        <v>86</v>
      </c>
      <c r="L231" t="s">
        <v>73</v>
      </c>
      <c r="M231" s="29">
        <v>12.840040731549363</v>
      </c>
      <c r="N231" s="29">
        <v>1.9638124300134236</v>
      </c>
      <c r="O231" s="29">
        <f>Table2[[#This Row],[Hot water demand (MWh)]]+Table2[[#This Row],[Space heating demand (MWh)]]</f>
        <v>14.803853161562786</v>
      </c>
      <c r="P231" s="29">
        <v>3.8288035698263756</v>
      </c>
      <c r="Q231" s="29">
        <v>0</v>
      </c>
      <c r="R231" t="s">
        <v>199</v>
      </c>
      <c r="S231" s="17">
        <v>6674.4851424594599</v>
      </c>
      <c r="T231" s="29"/>
      <c r="U231" s="29">
        <v>93.37782285327927</v>
      </c>
      <c r="V231" s="29">
        <v>13.955634168214877</v>
      </c>
      <c r="W231" s="29">
        <v>2.1915004943331877</v>
      </c>
      <c r="X231" s="29">
        <v>0</v>
      </c>
      <c r="Y231" s="29">
        <v>3.8288035698263756</v>
      </c>
      <c r="Z231" s="28">
        <v>0.55780933062880322</v>
      </c>
      <c r="AA231" s="28">
        <v>0.29616126956894701</v>
      </c>
      <c r="AB231" s="28">
        <v>0.61663286004056794</v>
      </c>
      <c r="AC231" s="28">
        <v>0.86734450763721904</v>
      </c>
      <c r="AD231" s="28">
        <v>0.13265549236278101</v>
      </c>
      <c r="AE231" s="28">
        <v>0.38336713995943206</v>
      </c>
    </row>
    <row r="232" spans="2:31">
      <c r="B232" s="3">
        <v>225</v>
      </c>
      <c r="C232" t="s">
        <v>17</v>
      </c>
      <c r="H232" t="s">
        <v>202</v>
      </c>
      <c r="J232" t="s">
        <v>80</v>
      </c>
      <c r="L232" t="s">
        <v>73</v>
      </c>
      <c r="M232" s="29">
        <v>6.8827560150048894</v>
      </c>
      <c r="N232" s="29">
        <v>2.9748008679192064</v>
      </c>
      <c r="O232" s="29">
        <f>Table2[[#This Row],[Hot water demand (MWh)]]+Table2[[#This Row],[Space heating demand (MWh)]]</f>
        <v>9.8575568829240954</v>
      </c>
      <c r="P232" s="29">
        <v>4.2395633080603803</v>
      </c>
      <c r="Q232" s="29">
        <v>0</v>
      </c>
      <c r="R232" t="s">
        <v>199</v>
      </c>
      <c r="S232" s="17">
        <v>10724.722849686837</v>
      </c>
      <c r="T232" s="29"/>
      <c r="U232" s="29">
        <v>185.24449205949014</v>
      </c>
      <c r="V232" s="29">
        <v>7.9290721341524035</v>
      </c>
      <c r="W232" s="29">
        <v>3.2768056379465631</v>
      </c>
      <c r="X232" s="29">
        <v>0</v>
      </c>
      <c r="Y232" s="29">
        <v>4.2395633080603812</v>
      </c>
      <c r="Z232" s="28">
        <v>1.6637257373329974E-2</v>
      </c>
      <c r="AA232" s="28">
        <v>5.115927419354839E-2</v>
      </c>
      <c r="AB232" s="28">
        <v>2.2939248802621628E-2</v>
      </c>
      <c r="AC232" s="28">
        <v>0.69822128309780784</v>
      </c>
      <c r="AD232" s="28">
        <v>0.30177871690219205</v>
      </c>
      <c r="AE232" s="28">
        <v>0.94884072580645162</v>
      </c>
    </row>
    <row r="233" spans="2:31">
      <c r="B233" s="3">
        <v>226</v>
      </c>
      <c r="C233" t="s">
        <v>17</v>
      </c>
      <c r="H233" t="s">
        <v>202</v>
      </c>
      <c r="J233" t="s">
        <v>81</v>
      </c>
      <c r="L233" t="s">
        <v>73</v>
      </c>
      <c r="M233" s="29">
        <v>9.9738268668061636</v>
      </c>
      <c r="N233" s="29">
        <v>3.0778298755832121</v>
      </c>
      <c r="O233" s="29">
        <f>Table2[[#This Row],[Hot water demand (MWh)]]+Table2[[#This Row],[Space heating demand (MWh)]]</f>
        <v>13.051656742389376</v>
      </c>
      <c r="P233" s="29">
        <v>4.4606929570029905</v>
      </c>
      <c r="Q233" s="29">
        <v>0</v>
      </c>
      <c r="R233" t="s">
        <v>199</v>
      </c>
      <c r="S233" s="17">
        <v>24526.011013954878</v>
      </c>
      <c r="T233" s="29"/>
      <c r="U233" s="29">
        <v>185.92110890652518</v>
      </c>
      <c r="V233" s="29">
        <v>12.311572598625718</v>
      </c>
      <c r="W233" s="29">
        <v>3.5980859091353494</v>
      </c>
      <c r="X233" s="29">
        <v>0</v>
      </c>
      <c r="Y233" s="29">
        <v>4.4606929570029905</v>
      </c>
      <c r="Z233" s="28">
        <v>2.2817460317460316E-2</v>
      </c>
      <c r="AA233" s="28">
        <v>5.2631578947368418E-2</v>
      </c>
      <c r="AB233" s="28">
        <v>2.1935626102292768E-2</v>
      </c>
      <c r="AC233" s="28">
        <v>0.76418090543348505</v>
      </c>
      <c r="AD233" s="28">
        <v>0.23581909456651493</v>
      </c>
      <c r="AE233" s="28">
        <v>0.94736842105263164</v>
      </c>
    </row>
    <row r="234" spans="2:31">
      <c r="B234">
        <v>227</v>
      </c>
      <c r="C234" t="s">
        <v>17</v>
      </c>
      <c r="H234" t="s">
        <v>202</v>
      </c>
      <c r="J234" t="s">
        <v>82</v>
      </c>
      <c r="L234" t="s">
        <v>73</v>
      </c>
      <c r="M234" s="29">
        <v>9.4280593465118745</v>
      </c>
      <c r="N234" s="29">
        <v>2.9110818648417247</v>
      </c>
      <c r="O234" s="29">
        <f>Table2[[#This Row],[Hot water demand (MWh)]]+Table2[[#This Row],[Space heating demand (MWh)]]</f>
        <v>12.339141211353599</v>
      </c>
      <c r="P234" s="29">
        <v>4.3377010862529035</v>
      </c>
      <c r="Q234" s="29">
        <v>0</v>
      </c>
      <c r="R234" t="s">
        <v>199</v>
      </c>
      <c r="S234" s="17">
        <v>27429.553323146625</v>
      </c>
      <c r="T234" s="29"/>
      <c r="U234" s="29">
        <v>156.15035481963335</v>
      </c>
      <c r="V234" s="29">
        <v>12.414955952517872</v>
      </c>
      <c r="W234" s="29">
        <v>3.5774507770442407</v>
      </c>
      <c r="X234" s="29">
        <v>0</v>
      </c>
      <c r="Y234" s="29">
        <v>4.3377010862529026</v>
      </c>
      <c r="Z234" s="28">
        <v>1.9219396806623299E-2</v>
      </c>
      <c r="AA234" s="28">
        <v>3.8991729027176056E-2</v>
      </c>
      <c r="AB234" s="28">
        <v>7.6483343189434255E-2</v>
      </c>
      <c r="AC234" s="28">
        <v>0.76407743334980605</v>
      </c>
      <c r="AD234" s="28">
        <v>0.23592256665019401</v>
      </c>
      <c r="AE234" s="28">
        <v>0.92351665681056572</v>
      </c>
    </row>
    <row r="235" spans="2:31">
      <c r="B235" s="3">
        <v>228</v>
      </c>
      <c r="C235" t="s">
        <v>17</v>
      </c>
      <c r="H235" t="s">
        <v>202</v>
      </c>
      <c r="J235" t="s">
        <v>83</v>
      </c>
      <c r="L235" t="s">
        <v>73</v>
      </c>
      <c r="M235" s="29">
        <v>10.230826880074716</v>
      </c>
      <c r="N235" s="29">
        <v>2.788920443543081</v>
      </c>
      <c r="O235" s="29">
        <f>Table2[[#This Row],[Hot water demand (MWh)]]+Table2[[#This Row],[Space heating demand (MWh)]]</f>
        <v>13.019747323617796</v>
      </c>
      <c r="P235" s="29">
        <v>4.2619756938831213</v>
      </c>
      <c r="Q235" s="29">
        <v>0</v>
      </c>
      <c r="R235" t="s">
        <v>199</v>
      </c>
      <c r="S235" s="17">
        <v>18332.328117904322</v>
      </c>
      <c r="T235" s="29"/>
      <c r="U235" s="29">
        <v>140.692272526176</v>
      </c>
      <c r="V235" s="29">
        <v>13.998458932198611</v>
      </c>
      <c r="W235" s="29">
        <v>3.5289191000450844</v>
      </c>
      <c r="X235" s="29">
        <v>0</v>
      </c>
      <c r="Y235" s="29">
        <v>4.2619756938831213</v>
      </c>
      <c r="Z235" s="28">
        <v>5.6186403185370888E-2</v>
      </c>
      <c r="AA235" s="28">
        <v>3.2832744405182565E-2</v>
      </c>
      <c r="AB235" s="28">
        <v>0.16531485031706239</v>
      </c>
      <c r="AC235" s="28">
        <v>0.78579304388772697</v>
      </c>
      <c r="AD235" s="28">
        <v>0.21420695611227306</v>
      </c>
      <c r="AE235" s="28">
        <v>0.83468514968293761</v>
      </c>
    </row>
    <row r="236" spans="2:31">
      <c r="B236" s="3">
        <v>229</v>
      </c>
      <c r="C236" t="s">
        <v>17</v>
      </c>
      <c r="H236" t="s">
        <v>202</v>
      </c>
      <c r="J236" t="s">
        <v>84</v>
      </c>
      <c r="L236" t="s">
        <v>73</v>
      </c>
      <c r="M236" s="29">
        <v>13.294116988799173</v>
      </c>
      <c r="N236" s="29">
        <v>2.6961699898433387</v>
      </c>
      <c r="O236" s="29">
        <f>Table2[[#This Row],[Hot water demand (MWh)]]+Table2[[#This Row],[Space heating demand (MWh)]]</f>
        <v>15.990286978642512</v>
      </c>
      <c r="P236" s="29">
        <v>4.2931000761995932</v>
      </c>
      <c r="Q236" s="29">
        <v>0</v>
      </c>
      <c r="R236" t="s">
        <v>199</v>
      </c>
      <c r="S236" s="17">
        <v>6537.0254223702477</v>
      </c>
      <c r="T236" s="29"/>
      <c r="U236" s="29">
        <v>141.06104218362302</v>
      </c>
      <c r="V236" s="29">
        <v>18.435917225387431</v>
      </c>
      <c r="W236" s="29">
        <v>3.4335597527241219</v>
      </c>
      <c r="X236" s="29">
        <v>0</v>
      </c>
      <c r="Y236" s="29">
        <v>4.2931000761995932</v>
      </c>
      <c r="Z236" s="28">
        <v>0.15550041356492969</v>
      </c>
      <c r="AA236" s="28">
        <v>4.2148760330578509E-2</v>
      </c>
      <c r="AB236" s="28">
        <v>0.21836228287841192</v>
      </c>
      <c r="AC236" s="28">
        <v>0.8313870167905999</v>
      </c>
      <c r="AD236" s="28">
        <v>0.16861298320940007</v>
      </c>
      <c r="AE236" s="28">
        <v>0.78163771712158803</v>
      </c>
    </row>
    <row r="237" spans="2:31">
      <c r="B237">
        <v>230</v>
      </c>
      <c r="C237" t="s">
        <v>17</v>
      </c>
      <c r="H237" t="s">
        <v>202</v>
      </c>
      <c r="J237" t="s">
        <v>85</v>
      </c>
      <c r="L237" t="s">
        <v>73</v>
      </c>
      <c r="M237" s="29">
        <v>15.59295118299973</v>
      </c>
      <c r="N237" s="29">
        <v>2.6574181500036498</v>
      </c>
      <c r="O237" s="29">
        <f>Table2[[#This Row],[Hot water demand (MWh)]]+Table2[[#This Row],[Space heating demand (MWh)]]</f>
        <v>18.25036933300338</v>
      </c>
      <c r="P237" s="29">
        <v>4.2906391060151119</v>
      </c>
      <c r="Q237" s="29">
        <v>0</v>
      </c>
      <c r="R237" t="s">
        <v>199</v>
      </c>
      <c r="S237" s="17">
        <v>2676.4496146180918</v>
      </c>
      <c r="T237" s="29"/>
      <c r="U237" s="29">
        <v>140.35878787878798</v>
      </c>
      <c r="V237" s="29">
        <v>22.562597522250897</v>
      </c>
      <c r="W237" s="29">
        <v>3.4679370469847619</v>
      </c>
      <c r="X237" s="29">
        <v>0</v>
      </c>
      <c r="Y237" s="29">
        <v>4.290639106015111</v>
      </c>
      <c r="Z237" s="28">
        <v>0.27474747474747474</v>
      </c>
      <c r="AA237" s="28">
        <v>4.3259557344064385E-2</v>
      </c>
      <c r="AB237" s="28">
        <v>0.22525252525252526</v>
      </c>
      <c r="AC237" s="28">
        <v>0.8543909933264715</v>
      </c>
      <c r="AD237" s="28">
        <v>0.14560900667352852</v>
      </c>
      <c r="AE237" s="28">
        <v>0.77474747474747474</v>
      </c>
    </row>
    <row r="238" spans="2:31">
      <c r="B238" s="3">
        <v>231</v>
      </c>
      <c r="C238" t="s">
        <v>17</v>
      </c>
      <c r="H238" t="s">
        <v>202</v>
      </c>
      <c r="J238" t="s">
        <v>86</v>
      </c>
      <c r="L238" t="s">
        <v>73</v>
      </c>
      <c r="M238" s="29">
        <v>15.314892665964289</v>
      </c>
      <c r="N238" s="29">
        <v>2.707392401912331</v>
      </c>
      <c r="O238" s="29">
        <f>Table2[[#This Row],[Hot water demand (MWh)]]+Table2[[#This Row],[Space heating demand (MWh)]]</f>
        <v>18.02228506787662</v>
      </c>
      <c r="P238" s="29">
        <v>4.1639877197599651</v>
      </c>
      <c r="Q238" s="29">
        <v>0</v>
      </c>
      <c r="R238" t="s">
        <v>199</v>
      </c>
      <c r="S238" s="17">
        <v>2143.8631761536835</v>
      </c>
      <c r="T238" s="29"/>
      <c r="U238" s="29">
        <v>120.54791929382097</v>
      </c>
      <c r="V238" s="29">
        <v>23.955200936730701</v>
      </c>
      <c r="W238" s="29">
        <v>3.6456523014779805</v>
      </c>
      <c r="X238" s="29">
        <v>0</v>
      </c>
      <c r="Y238" s="29">
        <v>4.1639877197599642</v>
      </c>
      <c r="Z238" s="28">
        <v>0.41740226986128626</v>
      </c>
      <c r="AA238" s="28">
        <v>4.3749999999999997E-2</v>
      </c>
      <c r="AB238" s="28">
        <v>0.33291298865069358</v>
      </c>
      <c r="AC238" s="28">
        <v>0.84977529809812746</v>
      </c>
      <c r="AD238" s="28">
        <v>0.15022470190187237</v>
      </c>
      <c r="AE238" s="28">
        <v>0.66708701134930637</v>
      </c>
    </row>
    <row r="239" spans="2:31">
      <c r="B239" s="3">
        <v>232</v>
      </c>
      <c r="C239" t="s">
        <v>17</v>
      </c>
      <c r="H239" t="s">
        <v>203</v>
      </c>
      <c r="J239" t="s">
        <v>80</v>
      </c>
      <c r="L239" t="s">
        <v>73</v>
      </c>
      <c r="M239" s="29">
        <v>11.400291873934009</v>
      </c>
      <c r="N239" s="29">
        <v>3.3249981473602723</v>
      </c>
      <c r="O239" s="29">
        <f>Table2[[#This Row],[Hot water demand (MWh)]]+Table2[[#This Row],[Space heating demand (MWh)]]</f>
        <v>14.725290021294281</v>
      </c>
      <c r="P239" s="29">
        <v>4.6765830800359369</v>
      </c>
      <c r="Q239" s="29">
        <v>0</v>
      </c>
      <c r="R239" t="s">
        <v>199</v>
      </c>
      <c r="S239" s="17">
        <v>20013.042825407043</v>
      </c>
      <c r="T239" s="29"/>
      <c r="U239" s="29">
        <v>237.15103272958407</v>
      </c>
      <c r="V239" s="29">
        <v>12.983889264747722</v>
      </c>
      <c r="W239" s="29">
        <v>3.5959260236709616</v>
      </c>
      <c r="X239" s="29">
        <v>0</v>
      </c>
      <c r="Y239" s="29">
        <v>4.6765830800359369</v>
      </c>
      <c r="Z239" s="28">
        <v>2.8916428344455035E-2</v>
      </c>
      <c r="AA239" s="28">
        <v>6.6719618745035743E-3</v>
      </c>
      <c r="AB239" s="28">
        <v>8.8973625675246269E-3</v>
      </c>
      <c r="AC239" s="28">
        <v>0.77419812156147805</v>
      </c>
      <c r="AD239" s="28">
        <v>0.22580187843852204</v>
      </c>
      <c r="AE239" s="28">
        <v>0.9911026374324754</v>
      </c>
    </row>
    <row r="240" spans="2:31">
      <c r="B240">
        <v>233</v>
      </c>
      <c r="C240" t="s">
        <v>17</v>
      </c>
      <c r="H240" t="s">
        <v>203</v>
      </c>
      <c r="J240" t="s">
        <v>81</v>
      </c>
      <c r="L240" t="s">
        <v>73</v>
      </c>
      <c r="M240" s="29">
        <v>12.626505738614192</v>
      </c>
      <c r="N240" s="29">
        <v>3.7345267626012792</v>
      </c>
      <c r="O240" s="29">
        <f>Table2[[#This Row],[Hot water demand (MWh)]]+Table2[[#This Row],[Space heating demand (MWh)]]</f>
        <v>16.361032501215472</v>
      </c>
      <c r="P240" s="29">
        <v>4.7509328667152815</v>
      </c>
      <c r="Q240" s="29">
        <v>0</v>
      </c>
      <c r="R240" t="s">
        <v>199</v>
      </c>
      <c r="S240" s="17">
        <v>87756.588646077056</v>
      </c>
      <c r="T240" s="29"/>
      <c r="U240" s="29">
        <v>208.50354722997142</v>
      </c>
      <c r="V240" s="29">
        <v>15.541277727169785</v>
      </c>
      <c r="W240" s="29">
        <v>4.3537431516579339</v>
      </c>
      <c r="X240" s="29">
        <v>0</v>
      </c>
      <c r="Y240" s="29">
        <v>4.7509328667152824</v>
      </c>
      <c r="Z240" s="28">
        <v>2.7682162397188303E-2</v>
      </c>
      <c r="AA240" s="28">
        <v>1.3034505231905573E-2</v>
      </c>
      <c r="AB240" s="28">
        <v>9.6017971665640061E-3</v>
      </c>
      <c r="AC240" s="28">
        <v>0.77174259862121541</v>
      </c>
      <c r="AD240" s="28">
        <v>0.22825740137878453</v>
      </c>
      <c r="AE240" s="28">
        <v>0.98696549476809448</v>
      </c>
    </row>
    <row r="241" spans="2:31">
      <c r="B241" s="3">
        <v>234</v>
      </c>
      <c r="C241" t="s">
        <v>17</v>
      </c>
      <c r="H241" t="s">
        <v>203</v>
      </c>
      <c r="J241" t="s">
        <v>82</v>
      </c>
      <c r="L241" t="s">
        <v>73</v>
      </c>
      <c r="M241" s="29">
        <v>11.98229837911642</v>
      </c>
      <c r="N241" s="29">
        <v>3.5800908581488944</v>
      </c>
      <c r="O241" s="29">
        <f>Table2[[#This Row],[Hot water demand (MWh)]]+Table2[[#This Row],[Space heating demand (MWh)]]</f>
        <v>15.562389237265315</v>
      </c>
      <c r="P241" s="29">
        <v>4.5487042079265958</v>
      </c>
      <c r="Q241" s="29">
        <v>0</v>
      </c>
      <c r="R241" t="s">
        <v>199</v>
      </c>
      <c r="S241" s="17">
        <v>127086.31961326161</v>
      </c>
      <c r="T241" s="29"/>
      <c r="U241" s="29">
        <v>168.27889311449047</v>
      </c>
      <c r="V241" s="29">
        <v>15.658039947199393</v>
      </c>
      <c r="W241" s="29">
        <v>4.3502574785174337</v>
      </c>
      <c r="X241" s="29">
        <v>0</v>
      </c>
      <c r="Y241" s="29">
        <v>4.5487042079265949</v>
      </c>
      <c r="Z241" s="28">
        <v>3.9506605284227385E-2</v>
      </c>
      <c r="AA241" s="28">
        <v>1.2849036322275829E-2</v>
      </c>
      <c r="AB241" s="28">
        <v>4.1408126501200959E-2</v>
      </c>
      <c r="AC241" s="28">
        <v>0.76995236376840537</v>
      </c>
      <c r="AD241" s="28">
        <v>0.23004763623159466</v>
      </c>
      <c r="AE241" s="28">
        <v>0.95859187349879904</v>
      </c>
    </row>
    <row r="242" spans="2:31">
      <c r="B242" s="3">
        <v>235</v>
      </c>
      <c r="C242" t="s">
        <v>17</v>
      </c>
      <c r="H242" t="s">
        <v>203</v>
      </c>
      <c r="J242" t="s">
        <v>83</v>
      </c>
      <c r="L242" t="s">
        <v>73</v>
      </c>
      <c r="M242" s="29">
        <v>11.814030015671866</v>
      </c>
      <c r="N242" s="29">
        <v>3.4114191029485155</v>
      </c>
      <c r="O242" s="29">
        <f>Table2[[#This Row],[Hot water demand (MWh)]]+Table2[[#This Row],[Space heating demand (MWh)]]</f>
        <v>15.225449118620382</v>
      </c>
      <c r="P242" s="29">
        <v>4.3552866047967944</v>
      </c>
      <c r="Q242" s="29">
        <v>0</v>
      </c>
      <c r="R242" t="s">
        <v>199</v>
      </c>
      <c r="S242" s="17">
        <v>121884.32754742655</v>
      </c>
      <c r="T242" s="29"/>
      <c r="U242" s="29">
        <v>137.96063602212271</v>
      </c>
      <c r="V242" s="29">
        <v>16.369675153964071</v>
      </c>
      <c r="W242" s="29">
        <v>4.3237246093578729</v>
      </c>
      <c r="X242" s="29">
        <v>0</v>
      </c>
      <c r="Y242" s="29">
        <v>4.3552866047967953</v>
      </c>
      <c r="Z242" s="28">
        <v>9.2820619847646876E-2</v>
      </c>
      <c r="AA242" s="28">
        <v>8.912284359201543E-3</v>
      </c>
      <c r="AB242" s="28">
        <v>0.1317176249608682</v>
      </c>
      <c r="AC242" s="28">
        <v>0.77593967334753844</v>
      </c>
      <c r="AD242" s="28">
        <v>0.22406032665246156</v>
      </c>
      <c r="AE242" s="28">
        <v>0.86828237503913175</v>
      </c>
    </row>
    <row r="243" spans="2:31">
      <c r="B243">
        <v>236</v>
      </c>
      <c r="C243" t="s">
        <v>17</v>
      </c>
      <c r="H243" t="s">
        <v>203</v>
      </c>
      <c r="J243" t="s">
        <v>84</v>
      </c>
      <c r="L243" t="s">
        <v>73</v>
      </c>
      <c r="M243" s="29">
        <v>13.961686700694647</v>
      </c>
      <c r="N243" s="29">
        <v>3.3276487945434945</v>
      </c>
      <c r="O243" s="29">
        <f>Table2[[#This Row],[Hot water demand (MWh)]]+Table2[[#This Row],[Space heating demand (MWh)]]</f>
        <v>17.289335495238142</v>
      </c>
      <c r="P243" s="29">
        <v>4.2967009981995323</v>
      </c>
      <c r="Q243" s="29">
        <v>0</v>
      </c>
      <c r="R243" t="s">
        <v>199</v>
      </c>
      <c r="S243" s="17">
        <v>56306.15861968667</v>
      </c>
      <c r="T243" s="29"/>
      <c r="U243" s="29">
        <v>127.25173367969262</v>
      </c>
      <c r="V243" s="29">
        <v>20.095920789937047</v>
      </c>
      <c r="W243" s="29">
        <v>4.352706056194954</v>
      </c>
      <c r="X243" s="29">
        <v>0</v>
      </c>
      <c r="Y243" s="29">
        <v>4.2967009981995314</v>
      </c>
      <c r="Z243" s="28">
        <v>0.2409080641517958</v>
      </c>
      <c r="AA243" s="28">
        <v>1.1654093007544195E-2</v>
      </c>
      <c r="AB243" s="28">
        <v>0.23232437316467133</v>
      </c>
      <c r="AC243" s="28">
        <v>0.80753171251376321</v>
      </c>
      <c r="AD243" s="28">
        <v>0.19246828748623696</v>
      </c>
      <c r="AE243" s="28">
        <v>0.76767562683532864</v>
      </c>
    </row>
    <row r="244" spans="2:31">
      <c r="B244" s="3">
        <v>237</v>
      </c>
      <c r="C244" t="s">
        <v>17</v>
      </c>
      <c r="H244" t="s">
        <v>203</v>
      </c>
      <c r="J244" t="s">
        <v>85</v>
      </c>
      <c r="L244" t="s">
        <v>73</v>
      </c>
      <c r="M244" s="29">
        <v>16.221958023247019</v>
      </c>
      <c r="N244" s="29">
        <v>3.3248906806406415</v>
      </c>
      <c r="O244" s="29">
        <f>Table2[[#This Row],[Hot water demand (MWh)]]+Table2[[#This Row],[Space heating demand (MWh)]]</f>
        <v>19.546848703887662</v>
      </c>
      <c r="P244" s="29">
        <v>4.2827267466434158</v>
      </c>
      <c r="Q244" s="29">
        <v>0</v>
      </c>
      <c r="R244" t="s">
        <v>199</v>
      </c>
      <c r="S244" s="17">
        <v>27456.724626213821</v>
      </c>
      <c r="T244" s="29"/>
      <c r="U244" s="29">
        <v>121.57200926462049</v>
      </c>
      <c r="V244" s="29">
        <v>23.9059656005997</v>
      </c>
      <c r="W244" s="29">
        <v>4.3760187740700367</v>
      </c>
      <c r="X244" s="29">
        <v>0</v>
      </c>
      <c r="Y244" s="29">
        <v>4.2827267466434167</v>
      </c>
      <c r="Z244" s="28">
        <v>0.38170237405906193</v>
      </c>
      <c r="AA244" s="28">
        <v>1.3291724456773001E-2</v>
      </c>
      <c r="AB244" s="28">
        <v>0.30376375217139551</v>
      </c>
      <c r="AC244" s="28">
        <v>0.82990144697956569</v>
      </c>
      <c r="AD244" s="28">
        <v>0.17009855302043428</v>
      </c>
      <c r="AE244" s="28">
        <v>0.69623624782860449</v>
      </c>
    </row>
    <row r="245" spans="2:31">
      <c r="B245" s="3">
        <v>238</v>
      </c>
      <c r="C245" t="s">
        <v>17</v>
      </c>
      <c r="H245" t="s">
        <v>203</v>
      </c>
      <c r="J245" t="s">
        <v>86</v>
      </c>
      <c r="L245" t="s">
        <v>73</v>
      </c>
      <c r="M245" s="29">
        <v>17.215016075091579</v>
      </c>
      <c r="N245" s="29">
        <v>3.4773542856150494</v>
      </c>
      <c r="O245" s="29">
        <f>Table2[[#This Row],[Hot water demand (MWh)]]+Table2[[#This Row],[Space heating demand (MWh)]]</f>
        <v>20.692370360706629</v>
      </c>
      <c r="P245" s="29">
        <v>4.1854055412287892</v>
      </c>
      <c r="Q245" s="29">
        <v>0</v>
      </c>
      <c r="R245" t="s">
        <v>199</v>
      </c>
      <c r="S245" s="17">
        <v>33790.69051566581</v>
      </c>
      <c r="T245" s="29"/>
      <c r="U245" s="29">
        <v>105.54271196010133</v>
      </c>
      <c r="V245" s="29">
        <v>27.154015665142563</v>
      </c>
      <c r="W245" s="29">
        <v>4.7293981686347433</v>
      </c>
      <c r="X245" s="29">
        <v>0</v>
      </c>
      <c r="Y245" s="29">
        <v>4.1854055412287883</v>
      </c>
      <c r="Z245" s="28">
        <v>0.50258774818857632</v>
      </c>
      <c r="AA245" s="28">
        <v>2.8084628346751545E-2</v>
      </c>
      <c r="AB245" s="28">
        <v>0.45713748000376397</v>
      </c>
      <c r="AC245" s="28">
        <v>0.83194993009508933</v>
      </c>
      <c r="AD245" s="28">
        <v>0.16805006990491062</v>
      </c>
      <c r="AE245" s="28">
        <v>0.54286251999623603</v>
      </c>
    </row>
    <row r="246" spans="2:31">
      <c r="B246">
        <v>239</v>
      </c>
      <c r="C246" t="s">
        <v>17</v>
      </c>
      <c r="H246" t="s">
        <v>206</v>
      </c>
      <c r="J246" t="s">
        <v>80</v>
      </c>
      <c r="L246" t="s">
        <v>73</v>
      </c>
      <c r="M246" s="29">
        <v>4.1207924756885053</v>
      </c>
      <c r="N246" s="29">
        <v>3.2130107136387043</v>
      </c>
      <c r="O246" s="29">
        <f>Table2[[#This Row],[Hot water demand (MWh)]]+Table2[[#This Row],[Space heating demand (MWh)]]</f>
        <v>7.3338031893272095</v>
      </c>
      <c r="P246" s="29">
        <v>5.0564807977724904</v>
      </c>
      <c r="Q246" s="29">
        <v>0</v>
      </c>
      <c r="R246" t="s">
        <v>199</v>
      </c>
      <c r="S246" s="17">
        <v>1520.1914944775892</v>
      </c>
      <c r="T246" s="29"/>
      <c r="U246" s="29">
        <v>255.92370370370364</v>
      </c>
      <c r="V246" s="29">
        <v>12.57851672118383</v>
      </c>
      <c r="W246" s="29">
        <v>3.6149910386391433</v>
      </c>
      <c r="X246" s="29">
        <v>0</v>
      </c>
      <c r="Y246" s="29">
        <v>5.0564807977724904</v>
      </c>
      <c r="Z246" s="28">
        <v>2.9629629629629631E-2</v>
      </c>
      <c r="AA246" s="28">
        <v>7.4074074074074077E-3</v>
      </c>
      <c r="AB246" s="28">
        <v>7.4074074074074077E-3</v>
      </c>
      <c r="AC246" s="28">
        <v>0.76226321578788481</v>
      </c>
      <c r="AD246" s="28">
        <v>0.23773678421211522</v>
      </c>
      <c r="AE246" s="28">
        <v>0.99259259259259258</v>
      </c>
    </row>
    <row r="247" spans="2:31">
      <c r="B247" s="3">
        <v>240</v>
      </c>
      <c r="C247" t="s">
        <v>17</v>
      </c>
      <c r="H247" t="s">
        <v>206</v>
      </c>
      <c r="J247" t="s">
        <v>81</v>
      </c>
      <c r="L247" t="s">
        <v>73</v>
      </c>
      <c r="M247" s="29">
        <v>4.8858274697577748</v>
      </c>
      <c r="N247" s="29">
        <v>2.9511498027416811</v>
      </c>
      <c r="O247" s="29">
        <f>Table2[[#This Row],[Hot water demand (MWh)]]+Table2[[#This Row],[Space heating demand (MWh)]]</f>
        <v>7.836977272499456</v>
      </c>
      <c r="P247" s="29">
        <v>4.8793361247253548</v>
      </c>
      <c r="Q247" s="29">
        <v>0</v>
      </c>
      <c r="R247" t="s">
        <v>199</v>
      </c>
      <c r="S247" s="17">
        <v>3738.545008641182</v>
      </c>
      <c r="T247" s="29"/>
      <c r="U247" s="29">
        <v>244.40150602409662</v>
      </c>
      <c r="V247" s="29">
        <v>16.83283822502057</v>
      </c>
      <c r="W247" s="29">
        <v>3.8221164456203374</v>
      </c>
      <c r="X247" s="29">
        <v>0</v>
      </c>
      <c r="Y247" s="29">
        <v>4.8793361247253548</v>
      </c>
      <c r="Z247" s="28">
        <v>4.5180722891566265E-2</v>
      </c>
      <c r="AA247" s="28">
        <v>0</v>
      </c>
      <c r="AB247" s="28">
        <v>3.0120481927710845E-3</v>
      </c>
      <c r="AC247" s="28">
        <v>0.80540652873183405</v>
      </c>
      <c r="AD247" s="28">
        <v>0.19459347126816601</v>
      </c>
      <c r="AE247" s="28">
        <v>0.99698795180722888</v>
      </c>
    </row>
    <row r="248" spans="2:31">
      <c r="B248" s="3">
        <v>241</v>
      </c>
      <c r="C248" t="s">
        <v>17</v>
      </c>
      <c r="H248" t="s">
        <v>206</v>
      </c>
      <c r="J248" t="s">
        <v>82</v>
      </c>
      <c r="L248" t="s">
        <v>73</v>
      </c>
      <c r="M248" s="29">
        <v>4.453569649128073</v>
      </c>
      <c r="N248" s="29">
        <v>2.8478566656483837</v>
      </c>
      <c r="O248" s="29">
        <f>Table2[[#This Row],[Hot water demand (MWh)]]+Table2[[#This Row],[Space heating demand (MWh)]]</f>
        <v>7.3014263147764566</v>
      </c>
      <c r="P248" s="29">
        <v>4.6724297905730543</v>
      </c>
      <c r="Q248" s="29">
        <v>0</v>
      </c>
      <c r="R248" t="s">
        <v>199</v>
      </c>
      <c r="S248" s="17">
        <v>5641.5995461723869</v>
      </c>
      <c r="T248" s="29"/>
      <c r="U248" s="29">
        <v>203.33772455089834</v>
      </c>
      <c r="V248" s="29">
        <v>16.760009570560147</v>
      </c>
      <c r="W248" s="29">
        <v>3.9709999339564384</v>
      </c>
      <c r="X248" s="29">
        <v>0</v>
      </c>
      <c r="Y248" s="29">
        <v>4.6724297905730552</v>
      </c>
      <c r="Z248" s="28">
        <v>7.9840319361277445E-2</v>
      </c>
      <c r="AA248" s="28">
        <v>7.9681274900398405E-3</v>
      </c>
      <c r="AB248" s="28">
        <v>4.3912175648702596E-2</v>
      </c>
      <c r="AC248" s="28">
        <v>0.79631659881285322</v>
      </c>
      <c r="AD248" s="28">
        <v>0.20368340118714667</v>
      </c>
      <c r="AE248" s="28">
        <v>0.95608782435129736</v>
      </c>
    </row>
    <row r="249" spans="2:31">
      <c r="B249">
        <v>242</v>
      </c>
      <c r="C249" t="s">
        <v>17</v>
      </c>
      <c r="H249" t="s">
        <v>206</v>
      </c>
      <c r="J249" t="s">
        <v>83</v>
      </c>
      <c r="L249" t="s">
        <v>73</v>
      </c>
      <c r="M249" s="29">
        <v>3.41686421406895</v>
      </c>
      <c r="N249" s="29">
        <v>2.411437904536879</v>
      </c>
      <c r="O249" s="29">
        <f>Table2[[#This Row],[Hot water demand (MWh)]]+Table2[[#This Row],[Space heating demand (MWh)]]</f>
        <v>5.828302118605829</v>
      </c>
      <c r="P249" s="29">
        <v>4.2662280559787353</v>
      </c>
      <c r="Q249" s="29">
        <v>0</v>
      </c>
      <c r="R249" t="s">
        <v>199</v>
      </c>
      <c r="S249" s="17">
        <v>16170.3332301468</v>
      </c>
      <c r="T249" s="29"/>
      <c r="U249" s="29">
        <v>140.48467966573824</v>
      </c>
      <c r="V249" s="29">
        <v>13.555738347617933</v>
      </c>
      <c r="W249" s="29">
        <v>3.3600981261582796</v>
      </c>
      <c r="X249" s="29">
        <v>0</v>
      </c>
      <c r="Y249" s="29">
        <v>4.2662280559787362</v>
      </c>
      <c r="Z249" s="28">
        <v>8.3565459610027856E-2</v>
      </c>
      <c r="AA249" s="28">
        <v>6.2630480167014616E-3</v>
      </c>
      <c r="AB249" s="28">
        <v>0.15181058495821728</v>
      </c>
      <c r="AC249" s="28">
        <v>0.77984970712502322</v>
      </c>
      <c r="AD249" s="28">
        <v>0.22015029287497664</v>
      </c>
      <c r="AE249" s="28">
        <v>0.84818941504178269</v>
      </c>
    </row>
    <row r="250" spans="2:31">
      <c r="B250" s="3">
        <v>243</v>
      </c>
      <c r="C250" t="s">
        <v>17</v>
      </c>
      <c r="H250" t="s">
        <v>206</v>
      </c>
      <c r="J250" t="s">
        <v>84</v>
      </c>
      <c r="L250" t="s">
        <v>73</v>
      </c>
      <c r="M250" s="29">
        <v>2.9124124253895518</v>
      </c>
      <c r="N250" s="29">
        <v>2.1635281845763985</v>
      </c>
      <c r="O250" s="29">
        <f>Table2[[#This Row],[Hot water demand (MWh)]]+Table2[[#This Row],[Space heating demand (MWh)]]</f>
        <v>5.0759406099659508</v>
      </c>
      <c r="P250" s="29">
        <v>4.0274174544111236</v>
      </c>
      <c r="Q250" s="29">
        <v>0</v>
      </c>
      <c r="R250" t="s">
        <v>199</v>
      </c>
      <c r="S250" s="17">
        <v>25967.122861224598</v>
      </c>
      <c r="T250" s="29"/>
      <c r="U250" s="29">
        <v>109.84098005203816</v>
      </c>
      <c r="V250" s="29">
        <v>12.711594935631751</v>
      </c>
      <c r="W250" s="29">
        <v>3.1668603635585151</v>
      </c>
      <c r="X250" s="29">
        <v>0</v>
      </c>
      <c r="Y250" s="29">
        <v>4.0274174544111228</v>
      </c>
      <c r="Z250" s="28">
        <v>8.1526452732003471E-2</v>
      </c>
      <c r="AA250" s="28">
        <v>9.9610220874837598E-3</v>
      </c>
      <c r="AB250" s="28">
        <v>0.39418907198612313</v>
      </c>
      <c r="AC250" s="28">
        <v>0.77092332974426148</v>
      </c>
      <c r="AD250" s="28">
        <v>0.22907667025573847</v>
      </c>
      <c r="AE250" s="28">
        <v>0.60581092801387681</v>
      </c>
    </row>
    <row r="251" spans="2:31">
      <c r="B251" s="3">
        <v>244</v>
      </c>
      <c r="C251" t="s">
        <v>17</v>
      </c>
      <c r="H251" t="s">
        <v>206</v>
      </c>
      <c r="J251" t="s">
        <v>85</v>
      </c>
      <c r="L251" t="s">
        <v>73</v>
      </c>
      <c r="M251" s="29">
        <v>2.8277162654064818</v>
      </c>
      <c r="N251" s="29">
        <v>2.0760248955658804</v>
      </c>
      <c r="O251" s="29">
        <f>Table2[[#This Row],[Hot water demand (MWh)]]+Table2[[#This Row],[Space heating demand (MWh)]]</f>
        <v>4.9037411609723627</v>
      </c>
      <c r="P251" s="29">
        <v>3.9443435378987259</v>
      </c>
      <c r="Q251" s="29">
        <v>0</v>
      </c>
      <c r="R251" t="s">
        <v>199</v>
      </c>
      <c r="S251" s="17">
        <v>22701.526317531996</v>
      </c>
      <c r="T251" s="29"/>
      <c r="U251" s="29">
        <v>98.401537698412739</v>
      </c>
      <c r="V251" s="29">
        <v>13.441554851301646</v>
      </c>
      <c r="W251" s="29">
        <v>3.2367591855238338</v>
      </c>
      <c r="X251" s="29">
        <v>0</v>
      </c>
      <c r="Y251" s="29">
        <v>3.9443435378987259</v>
      </c>
      <c r="Z251" s="28">
        <v>0.14632936507936509</v>
      </c>
      <c r="AA251" s="28">
        <v>1.037037037037037E-2</v>
      </c>
      <c r="AB251" s="28">
        <v>0.51190476190476186</v>
      </c>
      <c r="AC251" s="28">
        <v>0.77299581603783929</v>
      </c>
      <c r="AD251" s="28">
        <v>0.22700418396216077</v>
      </c>
      <c r="AE251" s="28">
        <v>0.48809523809523814</v>
      </c>
    </row>
    <row r="252" spans="2:31">
      <c r="B252">
        <v>245</v>
      </c>
      <c r="C252" t="s">
        <v>17</v>
      </c>
      <c r="H252" t="s">
        <v>206</v>
      </c>
      <c r="J252" t="s">
        <v>86</v>
      </c>
      <c r="L252" t="s">
        <v>73</v>
      </c>
      <c r="M252" s="29">
        <v>4.0935850174359736</v>
      </c>
      <c r="N252" s="29">
        <v>1.8780844649688766</v>
      </c>
      <c r="O252" s="29">
        <f>Table2[[#This Row],[Hot water demand (MWh)]]+Table2[[#This Row],[Space heating demand (MWh)]]</f>
        <v>5.9716694824048506</v>
      </c>
      <c r="P252" s="29">
        <v>3.8908011173050365</v>
      </c>
      <c r="Q252" s="29">
        <v>0</v>
      </c>
      <c r="R252" t="s">
        <v>199</v>
      </c>
      <c r="S252" s="17">
        <v>74219.126963716961</v>
      </c>
      <c r="T252" s="29"/>
      <c r="U252" s="29">
        <v>90.701942042178644</v>
      </c>
      <c r="V252" s="29">
        <v>23.29981234013578</v>
      </c>
      <c r="W252" s="29">
        <v>2.8761525242607311</v>
      </c>
      <c r="X252" s="29">
        <v>0</v>
      </c>
      <c r="Y252" s="29">
        <v>3.8908011173050365</v>
      </c>
      <c r="Z252" s="28">
        <v>0.51145501441359431</v>
      </c>
      <c r="AA252" s="28">
        <v>0.15408852213053265</v>
      </c>
      <c r="AB252" s="28">
        <v>0.62251555150963434</v>
      </c>
      <c r="AC252" s="28">
        <v>0.84494078799052263</v>
      </c>
      <c r="AD252" s="28">
        <v>0.15505921200947731</v>
      </c>
      <c r="AE252" s="28">
        <v>0.37748444849036566</v>
      </c>
    </row>
    <row r="253" spans="2:31">
      <c r="B253" s="3">
        <v>246</v>
      </c>
      <c r="C253" t="s">
        <v>17</v>
      </c>
      <c r="H253" t="s">
        <v>197</v>
      </c>
      <c r="J253" t="s">
        <v>80</v>
      </c>
      <c r="L253" t="s">
        <v>76</v>
      </c>
      <c r="M253" s="29">
        <v>1.8545147772261403</v>
      </c>
      <c r="N253" s="29">
        <v>2.2632178436053887</v>
      </c>
      <c r="O253" s="29">
        <f>Table2[[#This Row],[Hot water demand (MWh)]]+Table2[[#This Row],[Space heating demand (MWh)]]</f>
        <v>4.1177326208315286</v>
      </c>
      <c r="P253" s="29">
        <v>3.4713759824252493</v>
      </c>
      <c r="Q253" s="29">
        <v>0</v>
      </c>
      <c r="R253" t="s">
        <v>199</v>
      </c>
      <c r="S253" s="17">
        <v>4744.9019717435031</v>
      </c>
      <c r="T253" s="29"/>
      <c r="U253" s="29">
        <v>78.932646276596145</v>
      </c>
      <c r="V253" s="29">
        <v>0.61664008244655522</v>
      </c>
      <c r="W253" s="29">
        <v>1.118173259785505</v>
      </c>
      <c r="X253" s="29">
        <v>0</v>
      </c>
      <c r="Y253" s="29">
        <v>3.4713759824252488</v>
      </c>
      <c r="Z253" s="28">
        <v>9.3085106382978719E-3</v>
      </c>
      <c r="AA253" s="28">
        <v>5.1167252958106814E-3</v>
      </c>
      <c r="AB253" s="28">
        <v>2.892287234042553E-2</v>
      </c>
      <c r="AC253" s="28">
        <v>0.45037280173175559</v>
      </c>
      <c r="AD253" s="28">
        <v>0.54962719826824447</v>
      </c>
      <c r="AE253" s="28">
        <v>0.97107712765957444</v>
      </c>
    </row>
    <row r="254" spans="2:31">
      <c r="B254" s="3">
        <v>247</v>
      </c>
      <c r="C254" t="s">
        <v>17</v>
      </c>
      <c r="H254" t="s">
        <v>197</v>
      </c>
      <c r="J254" t="s">
        <v>81</v>
      </c>
      <c r="L254" t="s">
        <v>76</v>
      </c>
      <c r="M254" s="29">
        <v>2.2397886719708953</v>
      </c>
      <c r="N254" s="29">
        <v>2.0135188062345706</v>
      </c>
      <c r="O254" s="29">
        <f>Table2[[#This Row],[Hot water demand (MWh)]]+Table2[[#This Row],[Space heating demand (MWh)]]</f>
        <v>4.2533074782054658</v>
      </c>
      <c r="P254" s="29">
        <v>3.5608019083971287</v>
      </c>
      <c r="Q254" s="29">
        <v>0</v>
      </c>
      <c r="R254" t="s">
        <v>199</v>
      </c>
      <c r="S254" s="17">
        <v>7516.4421194673505</v>
      </c>
      <c r="T254" s="29"/>
      <c r="U254" s="29">
        <v>74.192654774396502</v>
      </c>
      <c r="V254" s="29">
        <v>2.0844561923529246</v>
      </c>
      <c r="W254" s="29">
        <v>1.9856598363374445</v>
      </c>
      <c r="X254" s="29">
        <v>0</v>
      </c>
      <c r="Y254" s="29">
        <v>3.5608019083971287</v>
      </c>
      <c r="Z254" s="28">
        <v>1.3221406086044071E-2</v>
      </c>
      <c r="AA254" s="28">
        <v>1.4507772020725389E-2</v>
      </c>
      <c r="AB254" s="28">
        <v>3.3788037775445957E-2</v>
      </c>
      <c r="AC254" s="28">
        <v>0.52659928383919596</v>
      </c>
      <c r="AD254" s="28">
        <v>0.47340071616080404</v>
      </c>
      <c r="AE254" s="28">
        <v>0.96621196222455408</v>
      </c>
    </row>
    <row r="255" spans="2:31">
      <c r="B255">
        <v>248</v>
      </c>
      <c r="C255" t="s">
        <v>17</v>
      </c>
      <c r="H255" t="s">
        <v>197</v>
      </c>
      <c r="J255" t="s">
        <v>82</v>
      </c>
      <c r="L255" t="s">
        <v>76</v>
      </c>
      <c r="M255" s="29">
        <v>2.7392003189295391</v>
      </c>
      <c r="N255" s="29">
        <v>1.8291919850954683</v>
      </c>
      <c r="O255" s="29">
        <f>Table2[[#This Row],[Hot water demand (MWh)]]+Table2[[#This Row],[Space heating demand (MWh)]]</f>
        <v>4.5683923040250072</v>
      </c>
      <c r="P255" s="29">
        <v>3.5397508955284858</v>
      </c>
      <c r="Q255" s="29">
        <v>0</v>
      </c>
      <c r="R255" t="s">
        <v>199</v>
      </c>
      <c r="S255" s="17">
        <v>21145.415868092306</v>
      </c>
      <c r="T255" s="29"/>
      <c r="U255" s="29">
        <v>70.636426706452497</v>
      </c>
      <c r="V255" s="29">
        <v>2.740526704063142</v>
      </c>
      <c r="W255" s="29">
        <v>1.8312021670022425</v>
      </c>
      <c r="X255" s="29">
        <v>0</v>
      </c>
      <c r="Y255" s="29">
        <v>3.5397508955284858</v>
      </c>
      <c r="Z255" s="28">
        <v>1.3353226408056695E-2</v>
      </c>
      <c r="AA255" s="28">
        <v>1.9162474104764723E-2</v>
      </c>
      <c r="AB255" s="28">
        <v>6.303618052965311E-2</v>
      </c>
      <c r="AC255" s="28">
        <v>0.5995983130687248</v>
      </c>
      <c r="AD255" s="28">
        <v>0.4004016869312752</v>
      </c>
      <c r="AE255" s="28">
        <v>0.9369638194703469</v>
      </c>
    </row>
    <row r="256" spans="2:31">
      <c r="B256" s="3">
        <v>249</v>
      </c>
      <c r="C256" t="s">
        <v>17</v>
      </c>
      <c r="H256" t="s">
        <v>197</v>
      </c>
      <c r="J256" t="s">
        <v>83</v>
      </c>
      <c r="L256" t="s">
        <v>76</v>
      </c>
      <c r="M256" s="29">
        <v>3.2242750849662238</v>
      </c>
      <c r="N256" s="29">
        <v>1.6267711516626593</v>
      </c>
      <c r="O256" s="29">
        <f>Table2[[#This Row],[Hot water demand (MWh)]]+Table2[[#This Row],[Space heating demand (MWh)]]</f>
        <v>4.8510462366288829</v>
      </c>
      <c r="P256" s="29">
        <v>3.500836537688496</v>
      </c>
      <c r="Q256" s="29">
        <v>0</v>
      </c>
      <c r="R256" t="s">
        <v>199</v>
      </c>
      <c r="S256" s="17">
        <v>33592.896406332991</v>
      </c>
      <c r="T256" s="29"/>
      <c r="U256" s="29">
        <v>64.497332832456649</v>
      </c>
      <c r="V256" s="29">
        <v>3.2668171963131729</v>
      </c>
      <c r="W256" s="29">
        <v>1.6299146254034411</v>
      </c>
      <c r="X256" s="29">
        <v>0</v>
      </c>
      <c r="Y256" s="29">
        <v>3.5008365376884956</v>
      </c>
      <c r="Z256" s="28">
        <v>2.8878662659654396E-2</v>
      </c>
      <c r="AA256" s="28">
        <v>2.6376464078207137E-2</v>
      </c>
      <c r="AB256" s="28">
        <v>0.12485912847483095</v>
      </c>
      <c r="AC256" s="28">
        <v>0.66465560781932587</v>
      </c>
      <c r="AD256" s="28">
        <v>0.33534439218067408</v>
      </c>
      <c r="AE256" s="28">
        <v>0.87514087152516906</v>
      </c>
    </row>
    <row r="257" spans="2:31">
      <c r="B257" s="3">
        <v>250</v>
      </c>
      <c r="C257" t="s">
        <v>17</v>
      </c>
      <c r="H257" t="s">
        <v>197</v>
      </c>
      <c r="J257" t="s">
        <v>84</v>
      </c>
      <c r="L257" t="s">
        <v>76</v>
      </c>
      <c r="M257" s="29">
        <v>3.580025655152705</v>
      </c>
      <c r="N257" s="29">
        <v>1.4730935878117326</v>
      </c>
      <c r="O257" s="29">
        <f>Table2[[#This Row],[Hot water demand (MWh)]]+Table2[[#This Row],[Space heating demand (MWh)]]</f>
        <v>5.0531192429644376</v>
      </c>
      <c r="P257" s="29">
        <v>3.4524344328119443</v>
      </c>
      <c r="Q257" s="29">
        <v>0</v>
      </c>
      <c r="R257" t="s">
        <v>199</v>
      </c>
      <c r="S257" s="17">
        <v>17197.114792535795</v>
      </c>
      <c r="T257" s="29"/>
      <c r="U257" s="29">
        <v>56.966519904604887</v>
      </c>
      <c r="V257" s="29">
        <v>3.6671286583426492</v>
      </c>
      <c r="W257" s="29">
        <v>1.4781463936668182</v>
      </c>
      <c r="X257" s="29">
        <v>0</v>
      </c>
      <c r="Y257" s="29">
        <v>3.4524344328119447</v>
      </c>
      <c r="Z257" s="28">
        <v>8.4296459365254081E-2</v>
      </c>
      <c r="AA257" s="28">
        <v>4.8159887304102832E-2</v>
      </c>
      <c r="AB257" s="28">
        <v>0.25756741882223444</v>
      </c>
      <c r="AC257" s="28">
        <v>0.70847836415838572</v>
      </c>
      <c r="AD257" s="28">
        <v>0.29152163584161433</v>
      </c>
      <c r="AE257" s="28">
        <v>0.74243258117776556</v>
      </c>
    </row>
    <row r="258" spans="2:31">
      <c r="B258">
        <v>251</v>
      </c>
      <c r="C258" t="s">
        <v>17</v>
      </c>
      <c r="H258" t="s">
        <v>197</v>
      </c>
      <c r="J258" t="s">
        <v>85</v>
      </c>
      <c r="L258" t="s">
        <v>76</v>
      </c>
      <c r="M258" s="29">
        <v>3.9324804900801591</v>
      </c>
      <c r="N258" s="29">
        <v>1.3750061963261382</v>
      </c>
      <c r="O258" s="29">
        <f>Table2[[#This Row],[Hot water demand (MWh)]]+Table2[[#This Row],[Space heating demand (MWh)]]</f>
        <v>5.3074866864062971</v>
      </c>
      <c r="P258" s="29">
        <v>3.4215801711301168</v>
      </c>
      <c r="Q258" s="29">
        <v>0</v>
      </c>
      <c r="R258" t="s">
        <v>199</v>
      </c>
      <c r="S258" s="17">
        <v>6110.954201640403</v>
      </c>
      <c r="T258" s="29"/>
      <c r="U258" s="29">
        <v>51.287842023747992</v>
      </c>
      <c r="V258" s="29">
        <v>4.0440093997272006</v>
      </c>
      <c r="W258" s="29">
        <v>1.3782705090496064</v>
      </c>
      <c r="X258" s="29">
        <v>0</v>
      </c>
      <c r="Y258" s="29">
        <v>3.4215801711301173</v>
      </c>
      <c r="Z258" s="28">
        <v>0.23515745998967474</v>
      </c>
      <c r="AA258" s="28">
        <v>8.4785133565621368E-2</v>
      </c>
      <c r="AB258" s="28">
        <v>0.42540010325245226</v>
      </c>
      <c r="AC258" s="28">
        <v>0.74093082515913844</v>
      </c>
      <c r="AD258" s="28">
        <v>0.25906917484086156</v>
      </c>
      <c r="AE258" s="28">
        <v>0.57459989674754774</v>
      </c>
    </row>
    <row r="259" spans="2:31">
      <c r="B259" s="3">
        <v>252</v>
      </c>
      <c r="C259" t="s">
        <v>17</v>
      </c>
      <c r="H259" t="s">
        <v>197</v>
      </c>
      <c r="J259" t="s">
        <v>86</v>
      </c>
      <c r="L259" t="s">
        <v>76</v>
      </c>
      <c r="M259" s="29">
        <v>5.0296573857607108</v>
      </c>
      <c r="N259" s="29">
        <v>1.3758281903674929</v>
      </c>
      <c r="O259" s="29">
        <f>Table2[[#This Row],[Hot water demand (MWh)]]+Table2[[#This Row],[Space heating demand (MWh)]]</f>
        <v>6.4054855761282035</v>
      </c>
      <c r="P259" s="29">
        <v>3.3762104768703107</v>
      </c>
      <c r="Q259" s="29">
        <v>0</v>
      </c>
      <c r="R259" t="s">
        <v>199</v>
      </c>
      <c r="S259" s="17">
        <v>10792.759072695828</v>
      </c>
      <c r="T259" s="29"/>
      <c r="U259" s="29">
        <v>44.489695995323025</v>
      </c>
      <c r="V259" s="29">
        <v>5.2186662286821814</v>
      </c>
      <c r="W259" s="29">
        <v>1.4070712647291752</v>
      </c>
      <c r="X259" s="29">
        <v>0</v>
      </c>
      <c r="Y259" s="29">
        <v>3.3762104768703112</v>
      </c>
      <c r="Z259" s="28">
        <v>0.60581701256942411</v>
      </c>
      <c r="AA259" s="28">
        <v>0.13931998578367491</v>
      </c>
      <c r="AB259" s="28">
        <v>0.60070154925460395</v>
      </c>
      <c r="AC259" s="28">
        <v>0.78521094552224213</v>
      </c>
      <c r="AD259" s="28">
        <v>0.21478905447775784</v>
      </c>
      <c r="AE259" s="28">
        <v>0.39929845074539605</v>
      </c>
    </row>
    <row r="260" spans="2:31">
      <c r="B260" s="3">
        <v>253</v>
      </c>
      <c r="C260" t="s">
        <v>17</v>
      </c>
      <c r="H260" t="s">
        <v>202</v>
      </c>
      <c r="J260" t="s">
        <v>80</v>
      </c>
      <c r="L260" t="s">
        <v>76</v>
      </c>
      <c r="M260" s="29">
        <v>2.1457100640670372</v>
      </c>
      <c r="N260" s="29">
        <v>2.4281035773113957</v>
      </c>
      <c r="O260" s="29">
        <f>Table2[[#This Row],[Hot water demand (MWh)]]+Table2[[#This Row],[Space heating demand (MWh)]]</f>
        <v>4.5738136413784325</v>
      </c>
      <c r="P260" s="29">
        <v>3.6911686911074155</v>
      </c>
      <c r="Q260" s="29">
        <v>0</v>
      </c>
      <c r="R260" t="s">
        <v>199</v>
      </c>
      <c r="S260" s="17">
        <v>16943.32510629687</v>
      </c>
      <c r="T260" s="29"/>
      <c r="U260" s="29">
        <v>84.170688622754355</v>
      </c>
      <c r="V260" s="29">
        <v>2.4985803145530947</v>
      </c>
      <c r="W260" s="29">
        <v>2.8014518823786192</v>
      </c>
      <c r="X260" s="29">
        <v>0</v>
      </c>
      <c r="Y260" s="29">
        <v>3.6911686911074146</v>
      </c>
      <c r="Z260" s="28">
        <v>1.0878243512974051E-2</v>
      </c>
      <c r="AA260" s="28">
        <v>0.36597486115171002</v>
      </c>
      <c r="AB260" s="28">
        <v>1.0479041916167664E-2</v>
      </c>
      <c r="AC260" s="28">
        <v>0.46912931577605199</v>
      </c>
      <c r="AD260" s="28">
        <v>0.53087068422394801</v>
      </c>
      <c r="AE260" s="28">
        <v>0.63402513884829004</v>
      </c>
    </row>
    <row r="261" spans="2:31">
      <c r="B261">
        <v>254</v>
      </c>
      <c r="C261" t="s">
        <v>17</v>
      </c>
      <c r="H261" t="s">
        <v>202</v>
      </c>
      <c r="J261" t="s">
        <v>81</v>
      </c>
      <c r="L261" t="s">
        <v>76</v>
      </c>
      <c r="M261" s="29">
        <v>3.1000515196661573</v>
      </c>
      <c r="N261" s="29">
        <v>2.2110720636037611</v>
      </c>
      <c r="O261" s="29">
        <f>Table2[[#This Row],[Hot water demand (MWh)]]+Table2[[#This Row],[Space heating demand (MWh)]]</f>
        <v>5.311123583269918</v>
      </c>
      <c r="P261" s="29">
        <v>3.7834436980579458</v>
      </c>
      <c r="Q261" s="29">
        <v>0</v>
      </c>
      <c r="R261" t="s">
        <v>199</v>
      </c>
      <c r="S261" s="17">
        <v>30854.775769920056</v>
      </c>
      <c r="T261" s="29"/>
      <c r="U261" s="29">
        <v>79.087126650956165</v>
      </c>
      <c r="V261" s="29">
        <v>3.9198306103444729</v>
      </c>
      <c r="W261" s="29">
        <v>2.7514264554019086</v>
      </c>
      <c r="X261" s="29">
        <v>0</v>
      </c>
      <c r="Y261" s="29">
        <v>3.7834436980579458</v>
      </c>
      <c r="Z261" s="28">
        <v>2.1921411738915986E-2</v>
      </c>
      <c r="AA261" s="28">
        <v>0.18541927750231571</v>
      </c>
      <c r="AB261" s="28">
        <v>3.8636488189839426E-2</v>
      </c>
      <c r="AC261" s="28">
        <v>0.58369033803531589</v>
      </c>
      <c r="AD261" s="28">
        <v>0.416309661964684</v>
      </c>
      <c r="AE261" s="28">
        <v>0.81458072249768432</v>
      </c>
    </row>
    <row r="262" spans="2:31">
      <c r="B262" s="3">
        <v>255</v>
      </c>
      <c r="C262" t="s">
        <v>17</v>
      </c>
      <c r="H262" t="s">
        <v>202</v>
      </c>
      <c r="J262" t="s">
        <v>82</v>
      </c>
      <c r="L262" t="s">
        <v>76</v>
      </c>
      <c r="M262" s="29">
        <v>3.4352316772798712</v>
      </c>
      <c r="N262" s="29">
        <v>2.0559515172767324</v>
      </c>
      <c r="O262" s="29">
        <f>Table2[[#This Row],[Hot water demand (MWh)]]+Table2[[#This Row],[Space heating demand (MWh)]]</f>
        <v>5.4911831945566032</v>
      </c>
      <c r="P262" s="29">
        <v>3.7370377517630562</v>
      </c>
      <c r="Q262" s="29">
        <v>0</v>
      </c>
      <c r="R262" t="s">
        <v>199</v>
      </c>
      <c r="S262" s="17">
        <v>22697.63003012204</v>
      </c>
      <c r="T262" s="29"/>
      <c r="U262" s="29">
        <v>70.28448930939436</v>
      </c>
      <c r="V262" s="29">
        <v>4.558046614948978</v>
      </c>
      <c r="W262" s="29">
        <v>2.6220695708056123</v>
      </c>
      <c r="X262" s="29">
        <v>0</v>
      </c>
      <c r="Y262" s="29">
        <v>3.7370377517630562</v>
      </c>
      <c r="Z262" s="28">
        <v>3.6504507189152949E-2</v>
      </c>
      <c r="AA262" s="28">
        <v>0.14220115538438749</v>
      </c>
      <c r="AB262" s="28">
        <v>0.10809804067645087</v>
      </c>
      <c r="AC262" s="28">
        <v>0.62559043389504965</v>
      </c>
      <c r="AD262" s="28">
        <v>0.37440956610495019</v>
      </c>
      <c r="AE262" s="28">
        <v>0.85779884461561251</v>
      </c>
    </row>
    <row r="263" spans="2:31">
      <c r="B263" s="3">
        <v>256</v>
      </c>
      <c r="C263" t="s">
        <v>17</v>
      </c>
      <c r="H263" t="s">
        <v>202</v>
      </c>
      <c r="J263" t="s">
        <v>83</v>
      </c>
      <c r="L263" t="s">
        <v>76</v>
      </c>
      <c r="M263" s="29">
        <v>3.5908817389277088</v>
      </c>
      <c r="N263" s="29">
        <v>1.8622655231601397</v>
      </c>
      <c r="O263" s="29">
        <f>Table2[[#This Row],[Hot water demand (MWh)]]+Table2[[#This Row],[Space heating demand (MWh)]]</f>
        <v>5.4531472620878487</v>
      </c>
      <c r="P263" s="29">
        <v>3.6621183605478391</v>
      </c>
      <c r="Q263" s="29">
        <v>0</v>
      </c>
      <c r="R263" t="s">
        <v>199</v>
      </c>
      <c r="S263" s="17">
        <v>11552.574563495031</v>
      </c>
      <c r="T263" s="29"/>
      <c r="U263" s="29">
        <v>59.448170374707324</v>
      </c>
      <c r="V263" s="29">
        <v>4.8946696427921292</v>
      </c>
      <c r="W263" s="29">
        <v>2.4125778736795325</v>
      </c>
      <c r="X263" s="29">
        <v>0</v>
      </c>
      <c r="Y263" s="29">
        <v>3.6621183605478387</v>
      </c>
      <c r="Z263" s="28">
        <v>0.10567915690866511</v>
      </c>
      <c r="AA263" s="28">
        <v>0.14076331446814686</v>
      </c>
      <c r="AB263" s="28">
        <v>0.30166861826697894</v>
      </c>
      <c r="AC263" s="28">
        <v>0.65849711484829165</v>
      </c>
      <c r="AD263" s="28">
        <v>0.34150288515170846</v>
      </c>
      <c r="AE263" s="28">
        <v>0.69833138173302101</v>
      </c>
    </row>
    <row r="264" spans="2:31">
      <c r="B264">
        <v>257</v>
      </c>
      <c r="C264" t="s">
        <v>17</v>
      </c>
      <c r="H264" t="s">
        <v>202</v>
      </c>
      <c r="J264" t="s">
        <v>84</v>
      </c>
      <c r="L264" t="s">
        <v>76</v>
      </c>
      <c r="M264" s="29">
        <v>4.3616035179620676</v>
      </c>
      <c r="N264" s="29">
        <v>1.8425835883312434</v>
      </c>
      <c r="O264" s="29">
        <f>Table2[[#This Row],[Hot water demand (MWh)]]+Table2[[#This Row],[Space heating demand (MWh)]]</f>
        <v>6.2041871062933112</v>
      </c>
      <c r="P264" s="29">
        <v>3.641693306520589</v>
      </c>
      <c r="Q264" s="29">
        <v>0</v>
      </c>
      <c r="R264" t="s">
        <v>199</v>
      </c>
      <c r="S264" s="17">
        <v>4046.4448083202001</v>
      </c>
      <c r="T264" s="29"/>
      <c r="U264" s="29">
        <v>55.497994149602953</v>
      </c>
      <c r="V264" s="29">
        <v>6.049849276641396</v>
      </c>
      <c r="W264" s="29">
        <v>2.3895142790836732</v>
      </c>
      <c r="X264" s="29">
        <v>0</v>
      </c>
      <c r="Y264" s="29">
        <v>3.6416933065205885</v>
      </c>
      <c r="Z264" s="28">
        <v>0.26995403259506895</v>
      </c>
      <c r="AA264" s="28">
        <v>0.15263157894736842</v>
      </c>
      <c r="AB264" s="28">
        <v>0.40743836188884247</v>
      </c>
      <c r="AC264" s="28">
        <v>0.70300966802529352</v>
      </c>
      <c r="AD264" s="28">
        <v>0.29699033197470637</v>
      </c>
      <c r="AE264" s="28">
        <v>0.59256163811115758</v>
      </c>
    </row>
    <row r="265" spans="2:31">
      <c r="B265" s="3">
        <v>258</v>
      </c>
      <c r="C265" t="s">
        <v>17</v>
      </c>
      <c r="H265" t="s">
        <v>202</v>
      </c>
      <c r="J265" t="s">
        <v>85</v>
      </c>
      <c r="L265" t="s">
        <v>76</v>
      </c>
      <c r="M265" s="29">
        <v>5.5089823583930491</v>
      </c>
      <c r="N265" s="29">
        <v>1.9104383333782051</v>
      </c>
      <c r="O265" s="29">
        <f>Table2[[#This Row],[Hot water demand (MWh)]]+Table2[[#This Row],[Space heating demand (MWh)]]</f>
        <v>7.4194206917712542</v>
      </c>
      <c r="P265" s="29">
        <v>3.6656124545993141</v>
      </c>
      <c r="Q265" s="29">
        <v>0</v>
      </c>
      <c r="R265" t="s">
        <v>199</v>
      </c>
      <c r="S265" s="17">
        <v>1513.4007954227245</v>
      </c>
      <c r="T265" s="29"/>
      <c r="U265" s="29">
        <v>57.126815642458112</v>
      </c>
      <c r="V265" s="29">
        <v>7.869743530261446</v>
      </c>
      <c r="W265" s="29">
        <v>2.4968671773068629</v>
      </c>
      <c r="X265" s="29">
        <v>0</v>
      </c>
      <c r="Y265" s="29">
        <v>3.6656124545993136</v>
      </c>
      <c r="Z265" s="28">
        <v>0.37430167597765363</v>
      </c>
      <c r="AA265" s="28">
        <v>0.16435432230522945</v>
      </c>
      <c r="AB265" s="28">
        <v>0.4122905027932961</v>
      </c>
      <c r="AC265" s="28">
        <v>0.74250842313106225</v>
      </c>
      <c r="AD265" s="28">
        <v>0.2574915768689377</v>
      </c>
      <c r="AE265" s="28">
        <v>0.58770949720670385</v>
      </c>
    </row>
    <row r="266" spans="2:31">
      <c r="B266" s="3">
        <v>259</v>
      </c>
      <c r="C266" t="s">
        <v>17</v>
      </c>
      <c r="H266" t="s">
        <v>202</v>
      </c>
      <c r="J266" t="s">
        <v>86</v>
      </c>
      <c r="L266" t="s">
        <v>76</v>
      </c>
      <c r="M266" s="29">
        <v>5.9208994744453944</v>
      </c>
      <c r="N266" s="29">
        <v>2.1073173080262539</v>
      </c>
      <c r="O266" s="29">
        <f>Table2[[#This Row],[Hot water demand (MWh)]]+Table2[[#This Row],[Space heating demand (MWh)]]</f>
        <v>8.0282167824716488</v>
      </c>
      <c r="P266" s="29">
        <v>3.6373658651930811</v>
      </c>
      <c r="Q266" s="29">
        <v>0</v>
      </c>
      <c r="R266" t="s">
        <v>199</v>
      </c>
      <c r="S266" s="17">
        <v>1295.2681668087225</v>
      </c>
      <c r="T266" s="29"/>
      <c r="U266" s="29">
        <v>51.700522193211476</v>
      </c>
      <c r="V266" s="29">
        <v>8.9336548429334055</v>
      </c>
      <c r="W266" s="29">
        <v>3.1501080612641337</v>
      </c>
      <c r="X266" s="29">
        <v>0</v>
      </c>
      <c r="Y266" s="29">
        <v>3.637365865193082</v>
      </c>
      <c r="Z266" s="28">
        <v>0.57702349869451697</v>
      </c>
      <c r="AA266" s="28">
        <v>0.12166859791425261</v>
      </c>
      <c r="AB266" s="28">
        <v>0.51827676240208875</v>
      </c>
      <c r="AC266" s="28">
        <v>0.73751116030807107</v>
      </c>
      <c r="AD266" s="28">
        <v>0.26248883969192893</v>
      </c>
      <c r="AE266" s="28">
        <v>0.48172323759791125</v>
      </c>
    </row>
    <row r="267" spans="2:31">
      <c r="B267">
        <v>260</v>
      </c>
      <c r="C267" t="s">
        <v>17</v>
      </c>
      <c r="H267" t="s">
        <v>203</v>
      </c>
      <c r="J267" t="s">
        <v>80</v>
      </c>
      <c r="L267" t="s">
        <v>76</v>
      </c>
      <c r="M267" s="29">
        <v>5.0335683382157015</v>
      </c>
      <c r="N267" s="29">
        <v>2.6648019937000549</v>
      </c>
      <c r="O267" s="29">
        <f>Table2[[#This Row],[Hot water demand (MWh)]]+Table2[[#This Row],[Space heating demand (MWh)]]</f>
        <v>7.6983703319157559</v>
      </c>
      <c r="P267" s="29">
        <v>4.1348165506521299</v>
      </c>
      <c r="Q267" s="29">
        <v>0</v>
      </c>
      <c r="R267" t="s">
        <v>199</v>
      </c>
      <c r="S267" s="17">
        <v>445.80783491293789</v>
      </c>
      <c r="T267" s="29"/>
      <c r="U267" s="29">
        <v>124.87464788732392</v>
      </c>
      <c r="V267" s="29">
        <v>5.8013177703495407</v>
      </c>
      <c r="W267" s="29">
        <v>3.0680154943745506</v>
      </c>
      <c r="X267" s="29">
        <v>0</v>
      </c>
      <c r="Y267" s="29">
        <v>4.1348165506521299</v>
      </c>
      <c r="Z267" s="28">
        <v>1.7605633802816902E-2</v>
      </c>
      <c r="AA267" s="28">
        <v>0.45422535211267606</v>
      </c>
      <c r="AB267" s="28">
        <v>7.0422535211267607E-3</v>
      </c>
      <c r="AC267" s="28">
        <v>0.65384855770676942</v>
      </c>
      <c r="AD267" s="28">
        <v>0.34615144229323053</v>
      </c>
      <c r="AE267" s="28">
        <v>0.54577464788732399</v>
      </c>
    </row>
    <row r="268" spans="2:31">
      <c r="B268" s="3">
        <v>261</v>
      </c>
      <c r="C268" t="s">
        <v>17</v>
      </c>
      <c r="H268" t="s">
        <v>203</v>
      </c>
      <c r="J268" t="s">
        <v>81</v>
      </c>
      <c r="L268" t="s">
        <v>76</v>
      </c>
      <c r="M268" s="29">
        <v>5.5955084074414119</v>
      </c>
      <c r="N268" s="29">
        <v>2.6370198683922461</v>
      </c>
      <c r="O268" s="29">
        <f>Table2[[#This Row],[Hot water demand (MWh)]]+Table2[[#This Row],[Space heating demand (MWh)]]</f>
        <v>8.2325282758336584</v>
      </c>
      <c r="P268" s="29">
        <v>4.066835441231806</v>
      </c>
      <c r="Q268" s="29">
        <v>0</v>
      </c>
      <c r="R268" t="s">
        <v>199</v>
      </c>
      <c r="S268" s="17">
        <v>2251.0156171308199</v>
      </c>
      <c r="T268" s="29"/>
      <c r="U268" s="29">
        <v>107.86311018131104</v>
      </c>
      <c r="V268" s="29">
        <v>6.9511687550893893</v>
      </c>
      <c r="W268" s="29">
        <v>3.1647193988400621</v>
      </c>
      <c r="X268" s="29">
        <v>0</v>
      </c>
      <c r="Y268" s="29">
        <v>4.066835441231806</v>
      </c>
      <c r="Z268" s="28">
        <v>2.7894002789400279E-2</v>
      </c>
      <c r="AA268" s="28">
        <v>0.25452016689847012</v>
      </c>
      <c r="AB268" s="28">
        <v>1.6039051603905161E-2</v>
      </c>
      <c r="AC268" s="28">
        <v>0.67968286533152389</v>
      </c>
      <c r="AD268" s="28">
        <v>0.320317134668476</v>
      </c>
      <c r="AE268" s="28">
        <v>0.74547983310152988</v>
      </c>
    </row>
    <row r="269" spans="2:31">
      <c r="B269" s="3">
        <v>262</v>
      </c>
      <c r="C269" t="s">
        <v>17</v>
      </c>
      <c r="H269" t="s">
        <v>203</v>
      </c>
      <c r="J269" t="s">
        <v>82</v>
      </c>
      <c r="L269" t="s">
        <v>76</v>
      </c>
      <c r="M269" s="29">
        <v>6.5894076651500795</v>
      </c>
      <c r="N269" s="29">
        <v>2.7038819107923309</v>
      </c>
      <c r="O269" s="29">
        <f>Table2[[#This Row],[Hot water demand (MWh)]]+Table2[[#This Row],[Space heating demand (MWh)]]</f>
        <v>9.2932895759424099</v>
      </c>
      <c r="P269" s="29">
        <v>4.045199782571971</v>
      </c>
      <c r="Q269" s="29">
        <v>0</v>
      </c>
      <c r="R269" t="s">
        <v>199</v>
      </c>
      <c r="S269" s="17">
        <v>2714.0906569171461</v>
      </c>
      <c r="T269" s="29"/>
      <c r="U269" s="29">
        <v>102.04441873915556</v>
      </c>
      <c r="V269" s="29">
        <v>8.6063529484994046</v>
      </c>
      <c r="W269" s="29">
        <v>3.3194836331928852</v>
      </c>
      <c r="X269" s="29">
        <v>0</v>
      </c>
      <c r="Y269" s="29">
        <v>4.0451997825719719</v>
      </c>
      <c r="Z269" s="28">
        <v>3.5280508964719494E-2</v>
      </c>
      <c r="AA269" s="28">
        <v>0.19382504288164665</v>
      </c>
      <c r="AB269" s="28">
        <v>3.643724696356275E-2</v>
      </c>
      <c r="AC269" s="28">
        <v>0.70905007439003243</v>
      </c>
      <c r="AD269" s="28">
        <v>0.29094992560996757</v>
      </c>
      <c r="AE269" s="28">
        <v>0.80617495711835341</v>
      </c>
    </row>
    <row r="270" spans="2:31">
      <c r="B270">
        <v>263</v>
      </c>
      <c r="C270" t="s">
        <v>17</v>
      </c>
      <c r="H270" t="s">
        <v>203</v>
      </c>
      <c r="J270" t="s">
        <v>83</v>
      </c>
      <c r="L270" t="s">
        <v>76</v>
      </c>
      <c r="M270" s="29">
        <v>7.4534646883593973</v>
      </c>
      <c r="N270" s="29">
        <v>2.7271967649798583</v>
      </c>
      <c r="O270" s="29">
        <f>Table2[[#This Row],[Hot water demand (MWh)]]+Table2[[#This Row],[Space heating demand (MWh)]]</f>
        <v>10.180661453339255</v>
      </c>
      <c r="P270" s="29">
        <v>4.0054434323052766</v>
      </c>
      <c r="Q270" s="29">
        <v>0</v>
      </c>
      <c r="R270" t="s">
        <v>199</v>
      </c>
      <c r="S270" s="17">
        <v>2216.4812073840435</v>
      </c>
      <c r="T270" s="29"/>
      <c r="U270" s="29">
        <v>92.089730878186955</v>
      </c>
      <c r="V270" s="29">
        <v>10.152991083912889</v>
      </c>
      <c r="W270" s="29">
        <v>3.4330031843575739</v>
      </c>
      <c r="X270" s="29">
        <v>0</v>
      </c>
      <c r="Y270" s="29">
        <v>4.0054434323052766</v>
      </c>
      <c r="Z270" s="28">
        <v>0.10835694050991501</v>
      </c>
      <c r="AA270" s="28">
        <v>0.12739726027397261</v>
      </c>
      <c r="AB270" s="28">
        <v>9.2776203966005666E-2</v>
      </c>
      <c r="AC270" s="28">
        <v>0.73211988459891886</v>
      </c>
      <c r="AD270" s="28">
        <v>0.26788011540108114</v>
      </c>
      <c r="AE270" s="28">
        <v>0.87260273972602742</v>
      </c>
    </row>
    <row r="271" spans="2:31">
      <c r="B271" s="3">
        <v>264</v>
      </c>
      <c r="C271" t="s">
        <v>17</v>
      </c>
      <c r="H271" t="s">
        <v>203</v>
      </c>
      <c r="J271" t="s">
        <v>84</v>
      </c>
      <c r="L271" t="s">
        <v>76</v>
      </c>
      <c r="M271" s="29">
        <v>9.2844080585521596</v>
      </c>
      <c r="N271" s="29">
        <v>2.8207246448643599</v>
      </c>
      <c r="O271" s="29">
        <f>Table2[[#This Row],[Hot water demand (MWh)]]+Table2[[#This Row],[Space heating demand (MWh)]]</f>
        <v>12.105132703416519</v>
      </c>
      <c r="P271" s="29">
        <v>3.9976653203474193</v>
      </c>
      <c r="Q271" s="29">
        <v>0</v>
      </c>
      <c r="R271" t="s">
        <v>199</v>
      </c>
      <c r="S271" s="17">
        <v>1155.3329806194447</v>
      </c>
      <c r="T271" s="29"/>
      <c r="U271" s="29">
        <v>88.307065217391141</v>
      </c>
      <c r="V271" s="29">
        <v>13.056706139068442</v>
      </c>
      <c r="W271" s="29">
        <v>3.6061631588534375</v>
      </c>
      <c r="X271" s="29">
        <v>0</v>
      </c>
      <c r="Y271" s="29">
        <v>3.9976653203474188</v>
      </c>
      <c r="Z271" s="28">
        <v>0.31657608695652173</v>
      </c>
      <c r="AA271" s="28">
        <v>0.10256410256410256</v>
      </c>
      <c r="AB271" s="28">
        <v>0.17119565217391305</v>
      </c>
      <c r="AC271" s="28">
        <v>0.76698110512508078</v>
      </c>
      <c r="AD271" s="28">
        <v>0.23301889487491917</v>
      </c>
      <c r="AE271" s="28">
        <v>0.82880434782608692</v>
      </c>
    </row>
    <row r="272" spans="2:31">
      <c r="B272" s="3">
        <v>265</v>
      </c>
      <c r="C272" t="s">
        <v>17</v>
      </c>
      <c r="H272" t="s">
        <v>203</v>
      </c>
      <c r="J272" t="s">
        <v>85</v>
      </c>
      <c r="L272" t="s">
        <v>76</v>
      </c>
      <c r="M272" s="29">
        <v>10.576789201417965</v>
      </c>
      <c r="N272" s="29">
        <v>2.9738126154768234</v>
      </c>
      <c r="O272" s="29">
        <f>Table2[[#This Row],[Hot water demand (MWh)]]+Table2[[#This Row],[Space heating demand (MWh)]]</f>
        <v>13.550601816894789</v>
      </c>
      <c r="P272" s="29">
        <v>4.0029401735883434</v>
      </c>
      <c r="Q272" s="29">
        <v>0</v>
      </c>
      <c r="R272" t="s">
        <v>199</v>
      </c>
      <c r="S272" s="17">
        <v>692.25794083311825</v>
      </c>
      <c r="T272" s="29"/>
      <c r="U272" s="29">
        <v>84.78321995464853</v>
      </c>
      <c r="V272" s="29">
        <v>15.49034827470776</v>
      </c>
      <c r="W272" s="29">
        <v>3.8643811749802399</v>
      </c>
      <c r="X272" s="29">
        <v>0</v>
      </c>
      <c r="Y272" s="29">
        <v>4.0029401735883425</v>
      </c>
      <c r="Z272" s="28">
        <v>0.49886621315192742</v>
      </c>
      <c r="AA272" s="28">
        <v>7.4844074844074848E-2</v>
      </c>
      <c r="AB272" s="28">
        <v>0.24263038548752835</v>
      </c>
      <c r="AC272" s="28">
        <v>0.78054018148706161</v>
      </c>
      <c r="AD272" s="28">
        <v>0.21945981851293836</v>
      </c>
      <c r="AE272" s="28">
        <v>0.75736961451247165</v>
      </c>
    </row>
    <row r="273" spans="2:31">
      <c r="B273">
        <v>266</v>
      </c>
      <c r="C273" t="s">
        <v>17</v>
      </c>
      <c r="H273" t="s">
        <v>203</v>
      </c>
      <c r="J273" t="s">
        <v>86</v>
      </c>
      <c r="L273" t="s">
        <v>76</v>
      </c>
      <c r="M273" s="29">
        <v>11.913302220280718</v>
      </c>
      <c r="N273" s="29">
        <v>3.0902678282590914</v>
      </c>
      <c r="O273" s="29">
        <f>Table2[[#This Row],[Hot water demand (MWh)]]+Table2[[#This Row],[Space heating demand (MWh)]]</f>
        <v>15.00357004853981</v>
      </c>
      <c r="P273" s="29">
        <v>3.9540459246768429</v>
      </c>
      <c r="Q273" s="29">
        <v>0</v>
      </c>
      <c r="R273" t="s">
        <v>199</v>
      </c>
      <c r="S273" s="17">
        <v>995.2188990662064</v>
      </c>
      <c r="T273" s="29"/>
      <c r="U273" s="29">
        <v>77.5036277602524</v>
      </c>
      <c r="V273" s="29">
        <v>18.594373963480038</v>
      </c>
      <c r="W273" s="29">
        <v>4.1183474122521622</v>
      </c>
      <c r="X273" s="29">
        <v>0</v>
      </c>
      <c r="Y273" s="29">
        <v>3.9540459246768429</v>
      </c>
      <c r="Z273" s="28">
        <v>0.66403785488958988</v>
      </c>
      <c r="AA273" s="28">
        <v>6.8245125348189412E-2</v>
      </c>
      <c r="AB273" s="28">
        <v>0.31230283911671924</v>
      </c>
      <c r="AC273" s="28">
        <v>0.7940311660317243</v>
      </c>
      <c r="AD273" s="28">
        <v>0.20596883396827578</v>
      </c>
      <c r="AE273" s="28">
        <v>0.6876971608832807</v>
      </c>
    </row>
    <row r="274" spans="2:31">
      <c r="B274" s="3">
        <v>267</v>
      </c>
      <c r="C274" t="s">
        <v>17</v>
      </c>
      <c r="H274" t="s">
        <v>206</v>
      </c>
      <c r="J274" t="s">
        <v>80</v>
      </c>
      <c r="L274" t="s">
        <v>76</v>
      </c>
      <c r="M274" s="29">
        <v>0.77814066656443481</v>
      </c>
      <c r="N274" s="29">
        <v>2.2309432424581055</v>
      </c>
      <c r="O274" s="29">
        <f>Table2[[#This Row],[Hot water demand (MWh)]]+Table2[[#This Row],[Space heating demand (MWh)]]</f>
        <v>3.0090839090225403</v>
      </c>
      <c r="P274" s="29">
        <v>3.5133209609769254</v>
      </c>
      <c r="Q274" s="29">
        <v>0</v>
      </c>
      <c r="R274" t="s">
        <v>199</v>
      </c>
      <c r="S274" s="17">
        <v>231.02376426547997</v>
      </c>
      <c r="T274" s="29"/>
      <c r="U274" s="29">
        <v>77.301351351351371</v>
      </c>
      <c r="V274" s="29">
        <v>2.5805609265648917</v>
      </c>
      <c r="W274" s="29">
        <v>2.9821242608315486</v>
      </c>
      <c r="X274" s="29">
        <v>0</v>
      </c>
      <c r="Y274" s="29">
        <v>3.5133209609769254</v>
      </c>
      <c r="Z274" s="28">
        <v>0</v>
      </c>
      <c r="AA274" s="28">
        <v>0</v>
      </c>
      <c r="AB274" s="28">
        <v>0</v>
      </c>
      <c r="AC274" s="28">
        <v>0.46580802095171631</v>
      </c>
      <c r="AD274" s="28">
        <v>0.53419197904828375</v>
      </c>
      <c r="AE274" s="28">
        <v>1</v>
      </c>
    </row>
    <row r="275" spans="2:31">
      <c r="B275" s="3">
        <v>268</v>
      </c>
      <c r="C275" t="s">
        <v>17</v>
      </c>
      <c r="H275" t="s">
        <v>206</v>
      </c>
      <c r="J275" t="s">
        <v>81</v>
      </c>
      <c r="L275" t="s">
        <v>76</v>
      </c>
      <c r="M275" s="29">
        <v>0.79592678844373477</v>
      </c>
      <c r="N275" s="29">
        <v>1.8199100671836184</v>
      </c>
      <c r="O275" s="29">
        <f>Table2[[#This Row],[Hot water demand (MWh)]]+Table2[[#This Row],[Space heating demand (MWh)]]</f>
        <v>2.6158368556273532</v>
      </c>
      <c r="P275" s="29">
        <v>3.4430949179765293</v>
      </c>
      <c r="Q275" s="29">
        <v>0</v>
      </c>
      <c r="R275" t="s">
        <v>199</v>
      </c>
      <c r="S275" s="17">
        <v>246.63347806720159</v>
      </c>
      <c r="T275" s="29"/>
      <c r="U275" s="29">
        <v>63.492405063291066</v>
      </c>
      <c r="V275" s="29">
        <v>2.6664238088822763</v>
      </c>
      <c r="W275" s="29">
        <v>2.4246779572857111</v>
      </c>
      <c r="X275" s="29">
        <v>0</v>
      </c>
      <c r="Y275" s="29">
        <v>3.4430949179765298</v>
      </c>
      <c r="Z275" s="28">
        <v>0</v>
      </c>
      <c r="AA275" s="28">
        <v>0</v>
      </c>
      <c r="AB275" s="28">
        <v>1.2658227848101266E-2</v>
      </c>
      <c r="AC275" s="28">
        <v>0.52229909153830745</v>
      </c>
      <c r="AD275" s="28">
        <v>0.47770090846169266</v>
      </c>
      <c r="AE275" s="28">
        <v>0.98734177215189878</v>
      </c>
    </row>
    <row r="276" spans="2:31">
      <c r="B276">
        <v>269</v>
      </c>
      <c r="C276" t="s">
        <v>17</v>
      </c>
      <c r="H276" t="s">
        <v>206</v>
      </c>
      <c r="J276" t="s">
        <v>82</v>
      </c>
      <c r="L276" t="s">
        <v>76</v>
      </c>
      <c r="M276" s="29">
        <v>1.7217843945599391</v>
      </c>
      <c r="N276" s="29">
        <v>2.0025472404157885</v>
      </c>
      <c r="O276" s="29">
        <f>Table2[[#This Row],[Hot water demand (MWh)]]+Table2[[#This Row],[Space heating demand (MWh)]]</f>
        <v>3.7243316349757274</v>
      </c>
      <c r="P276" s="29">
        <v>3.7861261948633511</v>
      </c>
      <c r="Q276" s="29">
        <v>0</v>
      </c>
      <c r="R276" t="s">
        <v>199</v>
      </c>
      <c r="S276" s="17">
        <v>90.536340049985398</v>
      </c>
      <c r="T276" s="29"/>
      <c r="U276" s="29">
        <v>90.41724137931034</v>
      </c>
      <c r="V276" s="29">
        <v>6.24554199627869</v>
      </c>
      <c r="W276" s="29">
        <v>2.6346163525681439</v>
      </c>
      <c r="X276" s="29">
        <v>0</v>
      </c>
      <c r="Y276" s="29">
        <v>3.7861261948633502</v>
      </c>
      <c r="Z276" s="28">
        <v>3.4482758620689655E-2</v>
      </c>
      <c r="AA276" s="28">
        <v>6.8965517241379309E-2</v>
      </c>
      <c r="AB276" s="28">
        <v>0</v>
      </c>
      <c r="AC276" s="28">
        <v>0.68248856376918665</v>
      </c>
      <c r="AD276" s="28">
        <v>0.31751143623081346</v>
      </c>
      <c r="AE276" s="28">
        <v>0.93103448275862066</v>
      </c>
    </row>
    <row r="277" spans="2:31">
      <c r="B277" s="3">
        <v>270</v>
      </c>
      <c r="C277" t="s">
        <v>17</v>
      </c>
      <c r="H277" t="s">
        <v>206</v>
      </c>
      <c r="J277" t="s">
        <v>83</v>
      </c>
      <c r="L277" t="s">
        <v>76</v>
      </c>
      <c r="M277" s="29">
        <v>1.2973038236711243</v>
      </c>
      <c r="N277" s="29">
        <v>1.7738881209466868</v>
      </c>
      <c r="O277" s="29">
        <f>Table2[[#This Row],[Hot water demand (MWh)]]+Table2[[#This Row],[Space heating demand (MWh)]]</f>
        <v>3.0711919446178113</v>
      </c>
      <c r="P277" s="29">
        <v>3.6868816485714095</v>
      </c>
      <c r="Q277" s="29">
        <v>0</v>
      </c>
      <c r="R277" t="s">
        <v>199</v>
      </c>
      <c r="S277" s="17">
        <v>924.09505706191987</v>
      </c>
      <c r="T277" s="29"/>
      <c r="U277" s="29">
        <v>66.513175675675683</v>
      </c>
      <c r="V277" s="29">
        <v>5.3731759696163426</v>
      </c>
      <c r="W277" s="29">
        <v>2.5331617697924087</v>
      </c>
      <c r="X277" s="29">
        <v>0</v>
      </c>
      <c r="Y277" s="29">
        <v>3.68688164857141</v>
      </c>
      <c r="Z277" s="28">
        <v>2.7027027027027029E-2</v>
      </c>
      <c r="AA277" s="28">
        <v>1.3333333333333334E-2</v>
      </c>
      <c r="AB277" s="28">
        <v>0.12837837837837837</v>
      </c>
      <c r="AC277" s="28">
        <v>0.64643493992134804</v>
      </c>
      <c r="AD277" s="28">
        <v>0.3535650600786519</v>
      </c>
      <c r="AE277" s="28">
        <v>0.8716216216216216</v>
      </c>
    </row>
    <row r="278" spans="2:31">
      <c r="B278" s="3">
        <v>271</v>
      </c>
      <c r="C278" t="s">
        <v>17</v>
      </c>
      <c r="H278" t="s">
        <v>206</v>
      </c>
      <c r="J278" t="s">
        <v>84</v>
      </c>
      <c r="L278" t="s">
        <v>76</v>
      </c>
      <c r="M278" s="29">
        <v>1.3403256168101294</v>
      </c>
      <c r="N278" s="29">
        <v>1.9427841483195316</v>
      </c>
      <c r="O278" s="29">
        <f>Table2[[#This Row],[Hot water demand (MWh)]]+Table2[[#This Row],[Space heating demand (MWh)]]</f>
        <v>3.283109765129661</v>
      </c>
      <c r="P278" s="29">
        <v>3.6820976714563374</v>
      </c>
      <c r="Q278" s="29">
        <v>0</v>
      </c>
      <c r="R278" t="s">
        <v>199</v>
      </c>
      <c r="S278" s="17">
        <v>1070.826366798103</v>
      </c>
      <c r="T278" s="29"/>
      <c r="U278" s="29">
        <v>64.316618075801713</v>
      </c>
      <c r="V278" s="29">
        <v>5.9631121180722158</v>
      </c>
      <c r="W278" s="29">
        <v>2.8681974243327848</v>
      </c>
      <c r="X278" s="29">
        <v>0</v>
      </c>
      <c r="Y278" s="29">
        <v>3.6820976714563378</v>
      </c>
      <c r="Z278" s="28">
        <v>2.9154518950437316E-2</v>
      </c>
      <c r="AA278" s="28">
        <v>8.7463556851311956E-3</v>
      </c>
      <c r="AB278" s="28">
        <v>0.12536443148688048</v>
      </c>
      <c r="AC278" s="28">
        <v>0.63299365035619237</v>
      </c>
      <c r="AD278" s="28">
        <v>0.36700634964380774</v>
      </c>
      <c r="AE278" s="28">
        <v>0.87463556851311952</v>
      </c>
    </row>
    <row r="279" spans="2:31">
      <c r="B279">
        <v>272</v>
      </c>
      <c r="C279" t="s">
        <v>17</v>
      </c>
      <c r="H279" t="s">
        <v>206</v>
      </c>
      <c r="J279" t="s">
        <v>85</v>
      </c>
      <c r="L279" t="s">
        <v>76</v>
      </c>
      <c r="M279" s="29">
        <v>1.6702750233890307</v>
      </c>
      <c r="N279" s="29">
        <v>1.8062500811197115</v>
      </c>
      <c r="O279" s="29">
        <f>Table2[[#This Row],[Hot water demand (MWh)]]+Table2[[#This Row],[Space heating demand (MWh)]]</f>
        <v>3.4765251045087422</v>
      </c>
      <c r="P279" s="29">
        <v>3.6649856097544742</v>
      </c>
      <c r="Q279" s="29">
        <v>0</v>
      </c>
      <c r="R279" t="s">
        <v>199</v>
      </c>
      <c r="S279" s="17">
        <v>421.46227264648371</v>
      </c>
      <c r="T279" s="29"/>
      <c r="U279" s="29">
        <v>63.59185185185185</v>
      </c>
      <c r="V279" s="29">
        <v>7.654365199019848</v>
      </c>
      <c r="W279" s="29">
        <v>2.6677019713971926</v>
      </c>
      <c r="X279" s="29">
        <v>0</v>
      </c>
      <c r="Y279" s="29">
        <v>3.6649856097544746</v>
      </c>
      <c r="Z279" s="28">
        <v>0.17777777777777778</v>
      </c>
      <c r="AA279" s="28">
        <v>2.1582733812949641E-2</v>
      </c>
      <c r="AB279" s="28">
        <v>0.27407407407407408</v>
      </c>
      <c r="AC279" s="28">
        <v>0.69804932950741683</v>
      </c>
      <c r="AD279" s="28">
        <v>0.30195067049258312</v>
      </c>
      <c r="AE279" s="28">
        <v>0.72592592592592586</v>
      </c>
    </row>
    <row r="280" spans="2:31">
      <c r="B280" s="3">
        <v>273</v>
      </c>
      <c r="C280" t="s">
        <v>17</v>
      </c>
      <c r="H280" t="s">
        <v>206</v>
      </c>
      <c r="J280" t="s">
        <v>86</v>
      </c>
      <c r="L280" t="s">
        <v>76</v>
      </c>
      <c r="M280" s="29">
        <v>2.5330850776792992</v>
      </c>
      <c r="N280" s="29">
        <v>1.7579136420641217</v>
      </c>
      <c r="O280" s="29">
        <f>Table2[[#This Row],[Hot water demand (MWh)]]+Table2[[#This Row],[Space heating demand (MWh)]]</f>
        <v>4.2909987197434205</v>
      </c>
      <c r="P280" s="29">
        <v>3.6396658841111158</v>
      </c>
      <c r="Q280" s="29">
        <v>0</v>
      </c>
      <c r="R280" t="s">
        <v>199</v>
      </c>
      <c r="S280" s="17">
        <v>1333.0695586670263</v>
      </c>
      <c r="T280" s="29"/>
      <c r="U280" s="29">
        <v>64.005386416861782</v>
      </c>
      <c r="V280" s="29">
        <v>15.093283038071849</v>
      </c>
      <c r="W280" s="29">
        <v>2.5649750313433923</v>
      </c>
      <c r="X280" s="29">
        <v>0</v>
      </c>
      <c r="Y280" s="29">
        <v>3.6396658841111154</v>
      </c>
      <c r="Z280" s="28">
        <v>0.4566744730679157</v>
      </c>
      <c r="AA280" s="28">
        <v>0.14347826086956522</v>
      </c>
      <c r="AB280" s="28">
        <v>0.40281030444964872</v>
      </c>
      <c r="AC280" s="28">
        <v>0.78272218132419324</v>
      </c>
      <c r="AD280" s="28">
        <v>0.2172778186758067</v>
      </c>
      <c r="AE280" s="28">
        <v>0.59718969555035128</v>
      </c>
    </row>
    <row r="281" spans="2:31">
      <c r="B281">
        <v>274</v>
      </c>
      <c r="C281" t="s">
        <v>25</v>
      </c>
      <c r="D281" t="s">
        <v>56</v>
      </c>
      <c r="E281" t="s">
        <v>207</v>
      </c>
      <c r="F281" t="s">
        <v>204</v>
      </c>
      <c r="G281" t="s">
        <v>196</v>
      </c>
      <c r="H281" t="s">
        <v>197</v>
      </c>
      <c r="M281" s="29">
        <v>0</v>
      </c>
      <c r="N281" s="29">
        <v>2.2385793839407135</v>
      </c>
      <c r="O281" s="29">
        <f>Table2[[#This Row],[Hot water demand (MWh)]]+Table2[[#This Row],[Space heating demand (MWh)]]</f>
        <v>2.2385793839407135</v>
      </c>
      <c r="P281" s="29">
        <v>4.4361674871988921</v>
      </c>
      <c r="Q281" s="29">
        <v>2.9650359693701005</v>
      </c>
      <c r="S281" s="17">
        <v>2583.36</v>
      </c>
      <c r="U281" s="29">
        <v>479.31896551724139</v>
      </c>
      <c r="V281" s="29">
        <v>0</v>
      </c>
      <c r="W281" s="29">
        <v>2.2385793839407135</v>
      </c>
      <c r="X281" s="29">
        <v>2.9650359693701005</v>
      </c>
      <c r="Y281" s="29">
        <v>4.4361674871988921</v>
      </c>
    </row>
    <row r="282" spans="2:31">
      <c r="B282">
        <v>275</v>
      </c>
      <c r="C282" t="s">
        <v>25</v>
      </c>
      <c r="D282" t="s">
        <v>56</v>
      </c>
      <c r="E282" t="s">
        <v>207</v>
      </c>
      <c r="F282" t="s">
        <v>208</v>
      </c>
      <c r="G282" t="s">
        <v>196</v>
      </c>
      <c r="H282" t="s">
        <v>197</v>
      </c>
      <c r="M282" s="29">
        <v>0</v>
      </c>
      <c r="N282" s="29">
        <v>3.572201144586244</v>
      </c>
      <c r="O282" s="29">
        <f>Table2[[#This Row],[Hot water demand (MWh)]]+Table2[[#This Row],[Space heating demand (MWh)]]</f>
        <v>3.572201144586244</v>
      </c>
      <c r="P282" s="29">
        <v>7.0789906710620611</v>
      </c>
      <c r="Q282" s="29">
        <v>4.7314403766544153</v>
      </c>
      <c r="S282" s="17">
        <v>10979.279999999999</v>
      </c>
      <c r="U282" s="29">
        <v>764.87068965517244</v>
      </c>
      <c r="V282" s="29">
        <v>0</v>
      </c>
      <c r="W282" s="29">
        <v>3.572201144586244</v>
      </c>
      <c r="X282" s="29">
        <v>4.7314403766544153</v>
      </c>
      <c r="Y282" s="29">
        <v>7.0789906710620611</v>
      </c>
    </row>
    <row r="283" spans="2:31">
      <c r="B283">
        <v>276</v>
      </c>
      <c r="C283" t="s">
        <v>25</v>
      </c>
      <c r="D283" t="s">
        <v>56</v>
      </c>
      <c r="E283" t="s">
        <v>207</v>
      </c>
      <c r="F283" t="s">
        <v>195</v>
      </c>
      <c r="G283" t="s">
        <v>196</v>
      </c>
      <c r="H283" t="s">
        <v>197</v>
      </c>
      <c r="M283" s="29">
        <v>0</v>
      </c>
      <c r="N283" s="29">
        <v>5.6202631341490266</v>
      </c>
      <c r="O283" s="29">
        <f>Table2[[#This Row],[Hot water demand (MWh)]]+Table2[[#This Row],[Space heating demand (MWh)]]</f>
        <v>5.6202631341490266</v>
      </c>
      <c r="P283" s="29">
        <v>11.137611989137644</v>
      </c>
      <c r="Q283" s="29">
        <v>7.4441328592696152</v>
      </c>
      <c r="S283" s="17">
        <v>1291.68</v>
      </c>
      <c r="U283" s="29">
        <v>1203.3965517241379</v>
      </c>
      <c r="V283" s="29">
        <v>0</v>
      </c>
      <c r="W283" s="29">
        <v>5.6202631341490266</v>
      </c>
      <c r="X283" s="29">
        <v>7.4441328592696152</v>
      </c>
      <c r="Y283" s="29">
        <v>11.137611989137644</v>
      </c>
    </row>
    <row r="284" spans="2:31">
      <c r="B284">
        <v>277</v>
      </c>
      <c r="C284" t="s">
        <v>25</v>
      </c>
      <c r="D284" t="s">
        <v>56</v>
      </c>
      <c r="E284" t="s">
        <v>207</v>
      </c>
      <c r="F284" t="s">
        <v>209</v>
      </c>
      <c r="G284" t="s">
        <v>196</v>
      </c>
      <c r="H284" t="s">
        <v>197</v>
      </c>
      <c r="M284" s="29">
        <v>0</v>
      </c>
      <c r="N284" s="29">
        <v>13.812511092400147</v>
      </c>
      <c r="O284" s="29">
        <f>Table2[[#This Row],[Hot water demand (MWh)]]+Table2[[#This Row],[Space heating demand (MWh)]]</f>
        <v>13.812511092400147</v>
      </c>
      <c r="P284" s="29">
        <v>27.372097261439968</v>
      </c>
      <c r="Q284" s="29">
        <v>18.294902789730408</v>
      </c>
      <c r="S284" s="17">
        <v>1291.68</v>
      </c>
      <c r="U284" s="29">
        <v>2957.5</v>
      </c>
      <c r="V284" s="29">
        <v>0</v>
      </c>
      <c r="W284" s="29">
        <v>13.812511092400147</v>
      </c>
      <c r="X284" s="29">
        <v>18.294902789730408</v>
      </c>
      <c r="Y284" s="29">
        <v>27.372097261439968</v>
      </c>
    </row>
    <row r="285" spans="2:31">
      <c r="B285">
        <v>278</v>
      </c>
      <c r="C285" t="s">
        <v>25</v>
      </c>
      <c r="D285" t="s">
        <v>58</v>
      </c>
      <c r="E285" t="s">
        <v>207</v>
      </c>
      <c r="F285" t="s">
        <v>204</v>
      </c>
      <c r="G285" t="s">
        <v>200</v>
      </c>
      <c r="H285" t="s">
        <v>203</v>
      </c>
      <c r="M285" s="29">
        <v>40.460598518518516</v>
      </c>
      <c r="N285" s="29">
        <v>0</v>
      </c>
      <c r="O285" s="29">
        <f>Table2[[#This Row],[Hot water demand (MWh)]]+Table2[[#This Row],[Space heating demand (MWh)]]</f>
        <v>40.460598518518516</v>
      </c>
      <c r="P285" s="29">
        <v>7.3214814814814808</v>
      </c>
      <c r="Q285" s="29">
        <v>0</v>
      </c>
      <c r="S285" s="17">
        <v>200</v>
      </c>
      <c r="U285" s="29">
        <v>298.26609945723925</v>
      </c>
      <c r="V285" s="29">
        <v>53.23762962962963</v>
      </c>
      <c r="W285" s="29">
        <v>0</v>
      </c>
      <c r="X285" s="29">
        <v>0</v>
      </c>
      <c r="Y285" s="29">
        <v>7.3214814814814808</v>
      </c>
    </row>
    <row r="286" spans="2:31">
      <c r="B286">
        <v>279</v>
      </c>
      <c r="C286" t="s">
        <v>25</v>
      </c>
      <c r="D286" t="s">
        <v>58</v>
      </c>
      <c r="E286" t="s">
        <v>207</v>
      </c>
      <c r="F286" t="s">
        <v>208</v>
      </c>
      <c r="G286" t="s">
        <v>200</v>
      </c>
      <c r="H286" t="s">
        <v>203</v>
      </c>
      <c r="M286" s="29">
        <v>79.567257037037038</v>
      </c>
      <c r="N286" s="29">
        <v>0</v>
      </c>
      <c r="O286" s="29">
        <f>Table2[[#This Row],[Hot water demand (MWh)]]+Table2[[#This Row],[Space heating demand (MWh)]]</f>
        <v>79.567257037037038</v>
      </c>
      <c r="P286" s="29">
        <v>14.397962962962962</v>
      </c>
      <c r="Q286" s="29">
        <v>0</v>
      </c>
      <c r="S286" s="17">
        <v>100</v>
      </c>
      <c r="U286" s="29">
        <v>586.55126888660698</v>
      </c>
      <c r="V286" s="29">
        <v>104.69375925925925</v>
      </c>
      <c r="W286" s="29">
        <v>0</v>
      </c>
      <c r="X286" s="29">
        <v>0</v>
      </c>
      <c r="Y286" s="29">
        <v>14.397962962962962</v>
      </c>
    </row>
    <row r="287" spans="2:31">
      <c r="B287">
        <v>280</v>
      </c>
      <c r="C287" t="s">
        <v>25</v>
      </c>
      <c r="D287" t="s">
        <v>58</v>
      </c>
      <c r="E287" t="s">
        <v>207</v>
      </c>
      <c r="F287" t="s">
        <v>195</v>
      </c>
      <c r="G287" t="s">
        <v>200</v>
      </c>
      <c r="H287" t="s">
        <v>203</v>
      </c>
      <c r="M287" s="29">
        <v>195.3398725925926</v>
      </c>
      <c r="N287" s="29">
        <v>0</v>
      </c>
      <c r="O287" s="29">
        <f>Table2[[#This Row],[Hot water demand (MWh)]]+Table2[[#This Row],[Space heating demand (MWh)]]</f>
        <v>195.3398725925926</v>
      </c>
      <c r="P287" s="29">
        <v>35.34740740740741</v>
      </c>
      <c r="Q287" s="29">
        <v>0</v>
      </c>
      <c r="S287" s="17">
        <v>200</v>
      </c>
      <c r="U287" s="29">
        <v>1440</v>
      </c>
      <c r="V287" s="29">
        <v>257.02614814814814</v>
      </c>
      <c r="W287" s="29">
        <v>0</v>
      </c>
      <c r="X287" s="29">
        <v>0</v>
      </c>
      <c r="Y287" s="29">
        <v>35.34740740740741</v>
      </c>
    </row>
    <row r="288" spans="2:31">
      <c r="B288">
        <v>281</v>
      </c>
      <c r="C288" t="s">
        <v>25</v>
      </c>
      <c r="D288" t="s">
        <v>57</v>
      </c>
      <c r="E288" t="s">
        <v>207</v>
      </c>
      <c r="F288" t="s">
        <v>204</v>
      </c>
      <c r="G288" t="s">
        <v>200</v>
      </c>
      <c r="H288" t="s">
        <v>203</v>
      </c>
      <c r="M288" s="29">
        <v>1.5293199338506547</v>
      </c>
      <c r="N288" s="29">
        <v>0</v>
      </c>
      <c r="O288" s="29">
        <f>Table2[[#This Row],[Hot water demand (MWh)]]+Table2[[#This Row],[Space heating demand (MWh)]]</f>
        <v>1.5293199338506547</v>
      </c>
      <c r="P288" s="29">
        <v>0.14000000000000001</v>
      </c>
      <c r="Q288" s="29">
        <v>0</v>
      </c>
      <c r="S288" s="17">
        <v>300</v>
      </c>
      <c r="U288" s="29">
        <v>50</v>
      </c>
      <c r="V288" s="29">
        <v>2.0122630708561244</v>
      </c>
      <c r="W288" s="29">
        <v>0</v>
      </c>
      <c r="X288" s="29">
        <v>0</v>
      </c>
      <c r="Y288" s="29">
        <v>0.14000000000000001</v>
      </c>
    </row>
    <row r="289" spans="2:39">
      <c r="B289">
        <v>282</v>
      </c>
      <c r="C289" t="s">
        <v>25</v>
      </c>
      <c r="D289" t="s">
        <v>57</v>
      </c>
      <c r="E289" t="s">
        <v>207</v>
      </c>
      <c r="F289" t="s">
        <v>208</v>
      </c>
      <c r="G289" t="s">
        <v>200</v>
      </c>
      <c r="H289" t="s">
        <v>203</v>
      </c>
      <c r="M289" s="29">
        <v>65.192724037290773</v>
      </c>
      <c r="N289" s="29">
        <v>0</v>
      </c>
      <c r="O289" s="29">
        <f>Table2[[#This Row],[Hot water demand (MWh)]]+Table2[[#This Row],[Space heating demand (MWh)]]</f>
        <v>65.192724037290773</v>
      </c>
      <c r="P289" s="29">
        <v>5.9680000000000009</v>
      </c>
      <c r="Q289" s="29">
        <v>0</v>
      </c>
      <c r="S289" s="17">
        <v>700</v>
      </c>
      <c r="U289" s="29">
        <v>2131.4285714285716</v>
      </c>
      <c r="V289" s="29">
        <v>85.779900049066811</v>
      </c>
      <c r="W289" s="29">
        <v>0</v>
      </c>
      <c r="X289" s="29">
        <v>0</v>
      </c>
      <c r="Y289" s="29">
        <v>5.9680000000000009</v>
      </c>
    </row>
    <row r="290" spans="2:39">
      <c r="B290">
        <v>283</v>
      </c>
      <c r="C290" t="s">
        <v>25</v>
      </c>
      <c r="D290" t="s">
        <v>57</v>
      </c>
      <c r="E290" t="s">
        <v>207</v>
      </c>
      <c r="F290" t="s">
        <v>195</v>
      </c>
      <c r="G290" t="s">
        <v>200</v>
      </c>
      <c r="H290" t="s">
        <v>203</v>
      </c>
      <c r="M290" s="29">
        <v>137.05765247169569</v>
      </c>
      <c r="N290" s="29">
        <v>0</v>
      </c>
      <c r="O290" s="29">
        <f>Table2[[#This Row],[Hot water demand (MWh)]]+Table2[[#This Row],[Space heating demand (MWh)]]</f>
        <v>137.05765247169569</v>
      </c>
      <c r="P290" s="29">
        <v>12.546800000000001</v>
      </c>
      <c r="Q290" s="29">
        <v>0</v>
      </c>
      <c r="S290" s="17">
        <v>1000</v>
      </c>
      <c r="U290" s="29">
        <v>4481</v>
      </c>
      <c r="V290" s="29">
        <v>180.33901641012591</v>
      </c>
      <c r="W290" s="29">
        <v>0</v>
      </c>
      <c r="X290" s="29">
        <v>0</v>
      </c>
      <c r="Y290" s="29">
        <v>12.546800000000001</v>
      </c>
    </row>
    <row r="291" spans="2:39">
      <c r="B291">
        <v>284</v>
      </c>
      <c r="C291" t="s">
        <v>25</v>
      </c>
      <c r="D291" t="s">
        <v>57</v>
      </c>
      <c r="E291" t="s">
        <v>207</v>
      </c>
      <c r="F291" t="s">
        <v>210</v>
      </c>
      <c r="G291" t="s">
        <v>200</v>
      </c>
      <c r="H291" t="s">
        <v>203</v>
      </c>
      <c r="M291" s="29">
        <v>279.47626645696243</v>
      </c>
      <c r="N291" s="29">
        <v>0</v>
      </c>
      <c r="O291" s="29">
        <f>Table2[[#This Row],[Hot water demand (MWh)]]+Table2[[#This Row],[Space heating demand (MWh)]]</f>
        <v>279.47626645696243</v>
      </c>
      <c r="P291" s="29">
        <v>25.584363636363637</v>
      </c>
      <c r="Q291" s="29">
        <v>0</v>
      </c>
      <c r="S291" s="17">
        <v>1100</v>
      </c>
      <c r="U291" s="29">
        <v>9137.2727272727279</v>
      </c>
      <c r="V291" s="29">
        <v>367.73192954863475</v>
      </c>
      <c r="W291" s="29">
        <v>0</v>
      </c>
      <c r="X291" s="29">
        <v>0</v>
      </c>
      <c r="Y291" s="29">
        <v>25.584363636363637</v>
      </c>
    </row>
    <row r="292" spans="2:39">
      <c r="B292">
        <v>285</v>
      </c>
      <c r="C292" t="s">
        <v>27</v>
      </c>
      <c r="D292" t="s">
        <v>59</v>
      </c>
      <c r="E292" t="s">
        <v>211</v>
      </c>
      <c r="H292" t="s">
        <v>103</v>
      </c>
      <c r="I292" t="s">
        <v>30</v>
      </c>
      <c r="M292" s="29">
        <v>0</v>
      </c>
      <c r="N292" s="29"/>
      <c r="O292" s="29">
        <f>Table2[[#This Row],[Hot water demand (MWh)]]+Table2[[#This Row],[Space heating demand (MWh)]]</f>
        <v>0</v>
      </c>
      <c r="P292" s="29">
        <v>0</v>
      </c>
      <c r="Q292" s="29">
        <v>0</v>
      </c>
      <c r="S292" s="17">
        <v>0</v>
      </c>
      <c r="T292" s="29">
        <v>0</v>
      </c>
      <c r="V292" s="29">
        <v>0</v>
      </c>
      <c r="X292" s="29">
        <v>0</v>
      </c>
      <c r="Y292" s="29">
        <v>0</v>
      </c>
      <c r="AF292">
        <v>0</v>
      </c>
      <c r="AG292">
        <v>0</v>
      </c>
      <c r="AH292">
        <v>0</v>
      </c>
      <c r="AI292">
        <v>0</v>
      </c>
      <c r="AJ292">
        <v>0</v>
      </c>
      <c r="AK292">
        <v>0</v>
      </c>
      <c r="AL292" t="s">
        <v>212</v>
      </c>
      <c r="AM292">
        <v>0</v>
      </c>
    </row>
    <row r="293" spans="2:39">
      <c r="B293">
        <v>286</v>
      </c>
      <c r="C293" t="s">
        <v>27</v>
      </c>
      <c r="D293" t="s">
        <v>59</v>
      </c>
      <c r="E293" t="s">
        <v>211</v>
      </c>
      <c r="H293" t="s">
        <v>104</v>
      </c>
      <c r="I293" t="s">
        <v>30</v>
      </c>
      <c r="M293" s="29">
        <v>0</v>
      </c>
      <c r="N293" s="29"/>
      <c r="O293" s="29">
        <f>Table2[[#This Row],[Hot water demand (MWh)]]+Table2[[#This Row],[Space heating demand (MWh)]]</f>
        <v>0</v>
      </c>
      <c r="P293" s="29">
        <v>0</v>
      </c>
      <c r="Q293" s="29">
        <v>0</v>
      </c>
      <c r="S293" s="17">
        <v>0</v>
      </c>
      <c r="T293" s="29">
        <v>0</v>
      </c>
      <c r="V293" s="29">
        <v>0</v>
      </c>
      <c r="X293" s="29">
        <v>0</v>
      </c>
      <c r="Y293" s="29">
        <v>0</v>
      </c>
      <c r="AF293">
        <v>0</v>
      </c>
      <c r="AG293">
        <v>0</v>
      </c>
      <c r="AH293">
        <v>0</v>
      </c>
      <c r="AI293">
        <v>0</v>
      </c>
      <c r="AJ293">
        <v>0</v>
      </c>
      <c r="AK293">
        <v>0</v>
      </c>
      <c r="AL293" t="s">
        <v>213</v>
      </c>
      <c r="AM293">
        <v>0</v>
      </c>
    </row>
    <row r="294" spans="2:39">
      <c r="B294">
        <v>287</v>
      </c>
      <c r="C294" t="s">
        <v>27</v>
      </c>
      <c r="D294" t="s">
        <v>59</v>
      </c>
      <c r="E294" t="s">
        <v>211</v>
      </c>
      <c r="H294" t="s">
        <v>105</v>
      </c>
      <c r="I294" t="s">
        <v>30</v>
      </c>
      <c r="M294" s="29">
        <v>0</v>
      </c>
      <c r="N294" s="29"/>
      <c r="O294" s="29">
        <f>Table2[[#This Row],[Hot water demand (MWh)]]+Table2[[#This Row],[Space heating demand (MWh)]]</f>
        <v>0</v>
      </c>
      <c r="P294" s="29">
        <v>0</v>
      </c>
      <c r="Q294" s="29">
        <v>0</v>
      </c>
      <c r="S294" s="17">
        <v>0</v>
      </c>
      <c r="T294" s="29">
        <v>0</v>
      </c>
      <c r="V294" s="29">
        <v>0</v>
      </c>
      <c r="X294" s="29">
        <v>0</v>
      </c>
      <c r="Y294" s="29">
        <v>0</v>
      </c>
      <c r="AF294">
        <v>0</v>
      </c>
      <c r="AG294">
        <v>0</v>
      </c>
      <c r="AH294">
        <v>0</v>
      </c>
      <c r="AI294">
        <v>0</v>
      </c>
      <c r="AJ294">
        <v>0</v>
      </c>
      <c r="AK294">
        <v>0</v>
      </c>
      <c r="AL294" t="s">
        <v>214</v>
      </c>
      <c r="AM294">
        <v>0</v>
      </c>
    </row>
    <row r="295" spans="2:39">
      <c r="B295">
        <v>288</v>
      </c>
      <c r="C295" t="s">
        <v>27</v>
      </c>
      <c r="D295" t="s">
        <v>60</v>
      </c>
      <c r="E295" t="s">
        <v>211</v>
      </c>
      <c r="H295" t="s">
        <v>106</v>
      </c>
      <c r="I295" t="s">
        <v>30</v>
      </c>
      <c r="M295" s="29">
        <v>700801.54934857693</v>
      </c>
      <c r="N295" s="29"/>
      <c r="O295" s="29">
        <f>Table2[[#This Row],[Hot water demand (MWh)]]+Table2[[#This Row],[Space heating demand (MWh)]]</f>
        <v>700801.54934857693</v>
      </c>
      <c r="P295" s="29">
        <v>154709.36183466294</v>
      </c>
      <c r="Q295" s="29">
        <v>1562.720826612757</v>
      </c>
      <c r="S295" s="17">
        <v>0.8166913745845078</v>
      </c>
      <c r="T295" s="29">
        <v>778668.38816508546</v>
      </c>
      <c r="V295" s="29">
        <v>778668.38816508546</v>
      </c>
      <c r="X295" s="29">
        <v>1562.720826612757</v>
      </c>
      <c r="Y295" s="29">
        <v>154709.36183466294</v>
      </c>
      <c r="AF295">
        <v>0.79219063334697259</v>
      </c>
      <c r="AG295">
        <v>700801.54934857693</v>
      </c>
      <c r="AH295">
        <v>700801.54934857693</v>
      </c>
      <c r="AI295">
        <v>0</v>
      </c>
      <c r="AJ295">
        <v>0</v>
      </c>
      <c r="AK295">
        <v>0</v>
      </c>
      <c r="AL295" t="s">
        <v>215</v>
      </c>
      <c r="AM295">
        <v>156272.08266127569</v>
      </c>
    </row>
    <row r="296" spans="2:39">
      <c r="B296">
        <v>289</v>
      </c>
      <c r="C296" t="s">
        <v>27</v>
      </c>
      <c r="D296" t="s">
        <v>60</v>
      </c>
      <c r="E296" t="s">
        <v>211</v>
      </c>
      <c r="H296" t="s">
        <v>105</v>
      </c>
      <c r="I296" t="s">
        <v>30</v>
      </c>
      <c r="M296" s="29">
        <v>0</v>
      </c>
      <c r="N296" s="29"/>
      <c r="O296" s="29">
        <f>Table2[[#This Row],[Hot water demand (MWh)]]+Table2[[#This Row],[Space heating demand (MWh)]]</f>
        <v>0</v>
      </c>
      <c r="P296" s="29">
        <v>0</v>
      </c>
      <c r="Q296" s="29">
        <v>0</v>
      </c>
      <c r="S296" s="17">
        <v>0</v>
      </c>
      <c r="T296" s="29">
        <v>0</v>
      </c>
      <c r="V296" s="29">
        <v>0</v>
      </c>
      <c r="X296" s="29">
        <v>0</v>
      </c>
      <c r="Y296" s="29">
        <v>0</v>
      </c>
      <c r="AF296">
        <v>0</v>
      </c>
      <c r="AG296">
        <v>0</v>
      </c>
      <c r="AH296">
        <v>0</v>
      </c>
      <c r="AI296">
        <v>0</v>
      </c>
      <c r="AJ296">
        <v>0</v>
      </c>
      <c r="AK296">
        <v>0</v>
      </c>
      <c r="AL296" t="s">
        <v>214</v>
      </c>
      <c r="AM296">
        <v>0</v>
      </c>
    </row>
    <row r="297" spans="2:39">
      <c r="B297">
        <v>290</v>
      </c>
      <c r="C297" t="s">
        <v>27</v>
      </c>
      <c r="D297" t="s">
        <v>60</v>
      </c>
      <c r="E297" t="s">
        <v>211</v>
      </c>
      <c r="H297" t="s">
        <v>107</v>
      </c>
      <c r="I297" t="s">
        <v>30</v>
      </c>
      <c r="M297" s="29">
        <v>22155.925271501401</v>
      </c>
      <c r="N297" s="29"/>
      <c r="O297" s="29">
        <f>Table2[[#This Row],[Hot water demand (MWh)]]+Table2[[#This Row],[Space heating demand (MWh)]]</f>
        <v>22155.925271501401</v>
      </c>
      <c r="P297" s="29">
        <v>4784.8256237524602</v>
      </c>
      <c r="Q297" s="29">
        <v>48.331571957095555</v>
      </c>
      <c r="S297" s="17">
        <v>0.8166913745845078</v>
      </c>
      <c r="T297" s="29">
        <v>24082.527469023262</v>
      </c>
      <c r="V297" s="29">
        <v>24082.527469023262</v>
      </c>
      <c r="X297" s="29">
        <v>48.331571957095555</v>
      </c>
      <c r="Y297" s="29">
        <v>4784.8256237524602</v>
      </c>
      <c r="AF297">
        <v>2.4500741237535234E-2</v>
      </c>
      <c r="AG297">
        <v>22155.925271501401</v>
      </c>
      <c r="AH297">
        <v>0</v>
      </c>
      <c r="AI297">
        <v>22155.925271501401</v>
      </c>
      <c r="AJ297">
        <v>0</v>
      </c>
      <c r="AK297">
        <v>0</v>
      </c>
      <c r="AL297" t="s">
        <v>216</v>
      </c>
      <c r="AM297">
        <v>4833.1571957095557</v>
      </c>
    </row>
    <row r="298" spans="2:39">
      <c r="B298">
        <v>291</v>
      </c>
      <c r="C298" t="s">
        <v>27</v>
      </c>
      <c r="D298" t="s">
        <v>61</v>
      </c>
      <c r="E298" t="s">
        <v>211</v>
      </c>
      <c r="H298" t="s">
        <v>103</v>
      </c>
      <c r="I298" t="s">
        <v>30</v>
      </c>
      <c r="M298" s="29">
        <v>0</v>
      </c>
      <c r="N298" s="29"/>
      <c r="O298" s="29">
        <f>Table2[[#This Row],[Hot water demand (MWh)]]+Table2[[#This Row],[Space heating demand (MWh)]]</f>
        <v>0</v>
      </c>
      <c r="P298" s="29">
        <v>0</v>
      </c>
      <c r="Q298" s="29">
        <v>0</v>
      </c>
      <c r="S298" s="17">
        <v>0</v>
      </c>
      <c r="T298" s="29">
        <v>0</v>
      </c>
      <c r="V298" s="29">
        <v>0</v>
      </c>
      <c r="X298" s="29">
        <v>0</v>
      </c>
      <c r="Y298" s="29">
        <v>0</v>
      </c>
      <c r="AF298">
        <v>0</v>
      </c>
      <c r="AG298">
        <v>0</v>
      </c>
      <c r="AH298">
        <v>0</v>
      </c>
      <c r="AI298">
        <v>0</v>
      </c>
      <c r="AJ298">
        <v>0</v>
      </c>
      <c r="AK298">
        <v>0</v>
      </c>
      <c r="AL298" t="s">
        <v>212</v>
      </c>
      <c r="AM298">
        <v>0</v>
      </c>
    </row>
    <row r="299" spans="2:39">
      <c r="B299">
        <v>292</v>
      </c>
      <c r="C299" t="s">
        <v>27</v>
      </c>
      <c r="D299" t="s">
        <v>61</v>
      </c>
      <c r="E299" t="s">
        <v>211</v>
      </c>
      <c r="H299" t="s">
        <v>104</v>
      </c>
      <c r="I299" t="s">
        <v>30</v>
      </c>
      <c r="M299" s="29">
        <v>0</v>
      </c>
      <c r="N299" s="29"/>
      <c r="O299" s="29">
        <f>Table2[[#This Row],[Hot water demand (MWh)]]+Table2[[#This Row],[Space heating demand (MWh)]]</f>
        <v>0</v>
      </c>
      <c r="P299" s="29">
        <v>0</v>
      </c>
      <c r="Q299" s="29">
        <v>0</v>
      </c>
      <c r="S299" s="17">
        <v>0</v>
      </c>
      <c r="T299" s="29">
        <v>0</v>
      </c>
      <c r="V299" s="29">
        <v>0</v>
      </c>
      <c r="X299" s="29">
        <v>0</v>
      </c>
      <c r="Y299" s="29">
        <v>0</v>
      </c>
      <c r="AF299">
        <v>0</v>
      </c>
      <c r="AG299">
        <v>0</v>
      </c>
      <c r="AH299">
        <v>0</v>
      </c>
      <c r="AI299">
        <v>0</v>
      </c>
      <c r="AJ299">
        <v>0</v>
      </c>
      <c r="AK299">
        <v>0</v>
      </c>
      <c r="AL299" t="s">
        <v>213</v>
      </c>
      <c r="AM299">
        <v>0</v>
      </c>
    </row>
    <row r="300" spans="2:39">
      <c r="B300">
        <v>293</v>
      </c>
      <c r="C300" t="s">
        <v>27</v>
      </c>
      <c r="D300" t="s">
        <v>61</v>
      </c>
      <c r="E300" t="s">
        <v>211</v>
      </c>
      <c r="H300" t="s">
        <v>105</v>
      </c>
      <c r="I300" t="s">
        <v>30</v>
      </c>
      <c r="M300" s="29">
        <v>0</v>
      </c>
      <c r="N300" s="29"/>
      <c r="O300" s="29">
        <f>Table2[[#This Row],[Hot water demand (MWh)]]+Table2[[#This Row],[Space heating demand (MWh)]]</f>
        <v>0</v>
      </c>
      <c r="P300" s="29">
        <v>0</v>
      </c>
      <c r="Q300" s="29">
        <v>0</v>
      </c>
      <c r="S300" s="17">
        <v>0</v>
      </c>
      <c r="T300" s="29">
        <v>0</v>
      </c>
      <c r="V300" s="29">
        <v>0</v>
      </c>
      <c r="X300" s="29">
        <v>0</v>
      </c>
      <c r="Y300" s="29">
        <v>0</v>
      </c>
      <c r="AF300">
        <v>0</v>
      </c>
      <c r="AG300">
        <v>0</v>
      </c>
      <c r="AH300">
        <v>0</v>
      </c>
      <c r="AI300">
        <v>0</v>
      </c>
      <c r="AJ300">
        <v>0</v>
      </c>
      <c r="AK300">
        <v>0</v>
      </c>
      <c r="AL300" t="s">
        <v>214</v>
      </c>
      <c r="AM300">
        <v>0</v>
      </c>
    </row>
    <row r="301" spans="2:39">
      <c r="B301">
        <v>294</v>
      </c>
      <c r="C301" t="s">
        <v>27</v>
      </c>
      <c r="D301" t="s">
        <v>62</v>
      </c>
      <c r="E301" t="s">
        <v>211</v>
      </c>
      <c r="H301" t="s">
        <v>103</v>
      </c>
      <c r="I301" t="s">
        <v>30</v>
      </c>
      <c r="M301" s="29">
        <v>0</v>
      </c>
      <c r="N301" s="29"/>
      <c r="O301" s="29">
        <f>Table2[[#This Row],[Hot water demand (MWh)]]+Table2[[#This Row],[Space heating demand (MWh)]]</f>
        <v>0</v>
      </c>
      <c r="P301" s="29">
        <v>0</v>
      </c>
      <c r="Q301" s="29">
        <v>0</v>
      </c>
      <c r="S301" s="17">
        <v>0</v>
      </c>
      <c r="T301" s="29">
        <v>0</v>
      </c>
      <c r="V301" s="29">
        <v>0</v>
      </c>
      <c r="X301" s="29">
        <v>0</v>
      </c>
      <c r="Y301" s="29">
        <v>0</v>
      </c>
      <c r="AF301">
        <v>0</v>
      </c>
      <c r="AG301">
        <v>0</v>
      </c>
      <c r="AH301">
        <v>0</v>
      </c>
      <c r="AI301">
        <v>0</v>
      </c>
      <c r="AJ301">
        <v>0</v>
      </c>
      <c r="AK301">
        <v>0</v>
      </c>
      <c r="AL301" t="s">
        <v>212</v>
      </c>
      <c r="AM301">
        <v>0</v>
      </c>
    </row>
    <row r="302" spans="2:39">
      <c r="B302">
        <v>295</v>
      </c>
      <c r="C302" t="s">
        <v>27</v>
      </c>
      <c r="D302" t="s">
        <v>62</v>
      </c>
      <c r="E302" t="s">
        <v>211</v>
      </c>
      <c r="H302" t="s">
        <v>107</v>
      </c>
      <c r="I302" t="s">
        <v>30</v>
      </c>
      <c r="M302" s="29">
        <v>0</v>
      </c>
      <c r="N302" s="29"/>
      <c r="O302" s="29">
        <f>Table2[[#This Row],[Hot water demand (MWh)]]+Table2[[#This Row],[Space heating demand (MWh)]]</f>
        <v>0</v>
      </c>
      <c r="P302" s="29">
        <v>0</v>
      </c>
      <c r="Q302" s="29">
        <v>0</v>
      </c>
      <c r="S302" s="17">
        <v>0</v>
      </c>
      <c r="T302" s="29">
        <v>0</v>
      </c>
      <c r="V302" s="29">
        <v>0</v>
      </c>
      <c r="X302" s="29">
        <v>0</v>
      </c>
      <c r="Y302" s="29">
        <v>0</v>
      </c>
      <c r="AF302">
        <v>0</v>
      </c>
      <c r="AG302">
        <v>0</v>
      </c>
      <c r="AH302">
        <v>0</v>
      </c>
      <c r="AI302">
        <v>0</v>
      </c>
      <c r="AJ302">
        <v>0</v>
      </c>
      <c r="AK302">
        <v>0</v>
      </c>
      <c r="AL302" t="s">
        <v>216</v>
      </c>
      <c r="AM302">
        <v>0</v>
      </c>
    </row>
    <row r="303" spans="2:39">
      <c r="B303">
        <v>296</v>
      </c>
      <c r="C303" t="s">
        <v>27</v>
      </c>
      <c r="D303" t="s">
        <v>63</v>
      </c>
      <c r="E303" t="s">
        <v>211</v>
      </c>
      <c r="H303" t="s">
        <v>108</v>
      </c>
      <c r="I303" t="s">
        <v>30</v>
      </c>
      <c r="M303" s="29">
        <v>0</v>
      </c>
      <c r="N303" s="29"/>
      <c r="O303" s="29">
        <f>Table2[[#This Row],[Hot water demand (MWh)]]+Table2[[#This Row],[Space heating demand (MWh)]]</f>
        <v>0</v>
      </c>
      <c r="P303" s="29">
        <v>0</v>
      </c>
      <c r="Q303" s="29">
        <v>0</v>
      </c>
      <c r="S303" s="17">
        <v>0</v>
      </c>
      <c r="T303" s="29">
        <v>0</v>
      </c>
      <c r="V303" s="29">
        <v>0</v>
      </c>
      <c r="X303" s="29">
        <v>0</v>
      </c>
      <c r="Y303" s="29">
        <v>0</v>
      </c>
      <c r="AF303">
        <v>0</v>
      </c>
      <c r="AG303">
        <v>0</v>
      </c>
      <c r="AH303">
        <v>0</v>
      </c>
      <c r="AI303">
        <v>0</v>
      </c>
      <c r="AJ303">
        <v>0</v>
      </c>
      <c r="AK303">
        <v>0</v>
      </c>
      <c r="AL303" t="s">
        <v>217</v>
      </c>
      <c r="AM303">
        <v>0</v>
      </c>
    </row>
    <row r="304" spans="2:39">
      <c r="B304">
        <v>297</v>
      </c>
      <c r="C304" t="s">
        <v>27</v>
      </c>
      <c r="D304" t="s">
        <v>63</v>
      </c>
      <c r="E304" t="s">
        <v>211</v>
      </c>
      <c r="H304" t="s">
        <v>103</v>
      </c>
      <c r="I304" t="s">
        <v>30</v>
      </c>
      <c r="M304" s="29">
        <v>0</v>
      </c>
      <c r="N304" s="29"/>
      <c r="O304" s="29">
        <f>Table2[[#This Row],[Hot water demand (MWh)]]+Table2[[#This Row],[Space heating demand (MWh)]]</f>
        <v>0</v>
      </c>
      <c r="P304" s="29">
        <v>0</v>
      </c>
      <c r="Q304" s="29">
        <v>0</v>
      </c>
      <c r="S304" s="17">
        <v>0</v>
      </c>
      <c r="T304" s="29">
        <v>0</v>
      </c>
      <c r="V304" s="29">
        <v>0</v>
      </c>
      <c r="X304" s="29">
        <v>0</v>
      </c>
      <c r="Y304" s="29">
        <v>0</v>
      </c>
      <c r="AF304">
        <v>0</v>
      </c>
      <c r="AG304">
        <v>0</v>
      </c>
      <c r="AH304">
        <v>0</v>
      </c>
      <c r="AI304">
        <v>0</v>
      </c>
      <c r="AJ304">
        <v>0</v>
      </c>
      <c r="AK304">
        <v>0</v>
      </c>
      <c r="AL304" t="s">
        <v>212</v>
      </c>
      <c r="AM304">
        <v>0</v>
      </c>
    </row>
    <row r="305" spans="2:39">
      <c r="B305">
        <v>298</v>
      </c>
      <c r="C305" t="s">
        <v>27</v>
      </c>
      <c r="D305" t="s">
        <v>63</v>
      </c>
      <c r="E305" t="s">
        <v>211</v>
      </c>
      <c r="H305" t="s">
        <v>107</v>
      </c>
      <c r="I305" t="s">
        <v>30</v>
      </c>
      <c r="M305" s="29">
        <v>0</v>
      </c>
      <c r="N305" s="29"/>
      <c r="O305" s="29">
        <f>Table2[[#This Row],[Hot water demand (MWh)]]+Table2[[#This Row],[Space heating demand (MWh)]]</f>
        <v>0</v>
      </c>
      <c r="P305" s="29">
        <v>0</v>
      </c>
      <c r="Q305" s="29">
        <v>0</v>
      </c>
      <c r="S305" s="17">
        <v>0</v>
      </c>
      <c r="T305" s="29">
        <v>0</v>
      </c>
      <c r="V305" s="29">
        <v>0</v>
      </c>
      <c r="X305" s="29">
        <v>0</v>
      </c>
      <c r="Y305" s="29">
        <v>0</v>
      </c>
      <c r="AF305">
        <v>0</v>
      </c>
      <c r="AG305">
        <v>0</v>
      </c>
      <c r="AH305">
        <v>0</v>
      </c>
      <c r="AI305">
        <v>0</v>
      </c>
      <c r="AJ305">
        <v>0</v>
      </c>
      <c r="AK305">
        <v>0</v>
      </c>
      <c r="AL305" t="s">
        <v>216</v>
      </c>
      <c r="AM305">
        <v>0</v>
      </c>
    </row>
    <row r="306" spans="2:39">
      <c r="B306">
        <v>299</v>
      </c>
      <c r="C306" t="s">
        <v>27</v>
      </c>
      <c r="D306" t="s">
        <v>64</v>
      </c>
      <c r="E306" t="s">
        <v>211</v>
      </c>
      <c r="H306" t="s">
        <v>103</v>
      </c>
      <c r="I306" t="s">
        <v>30</v>
      </c>
      <c r="M306" s="29">
        <v>0</v>
      </c>
      <c r="N306" s="29"/>
      <c r="O306" s="29">
        <f>Table2[[#This Row],[Hot water demand (MWh)]]+Table2[[#This Row],[Space heating demand (MWh)]]</f>
        <v>0</v>
      </c>
      <c r="P306" s="29">
        <v>0</v>
      </c>
      <c r="Q306" s="29">
        <v>0</v>
      </c>
      <c r="S306" s="17">
        <v>0</v>
      </c>
      <c r="T306" s="29">
        <v>0</v>
      </c>
      <c r="V306" s="29">
        <v>0</v>
      </c>
      <c r="X306" s="29">
        <v>0</v>
      </c>
      <c r="Y306" s="29">
        <v>0</v>
      </c>
      <c r="AF306">
        <v>0</v>
      </c>
      <c r="AG306">
        <v>0</v>
      </c>
      <c r="AH306">
        <v>0</v>
      </c>
      <c r="AI306">
        <v>0</v>
      </c>
      <c r="AJ306">
        <v>0</v>
      </c>
      <c r="AK306">
        <v>0</v>
      </c>
      <c r="AL306" t="s">
        <v>212</v>
      </c>
      <c r="AM306">
        <v>0</v>
      </c>
    </row>
    <row r="307" spans="2:39">
      <c r="B307">
        <v>300</v>
      </c>
      <c r="C307" t="s">
        <v>27</v>
      </c>
      <c r="D307" t="s">
        <v>64</v>
      </c>
      <c r="E307" t="s">
        <v>211</v>
      </c>
      <c r="H307" t="s">
        <v>104</v>
      </c>
      <c r="I307" t="s">
        <v>30</v>
      </c>
      <c r="M307" s="29">
        <v>0</v>
      </c>
      <c r="N307" s="29"/>
      <c r="O307" s="29">
        <f>Table2[[#This Row],[Hot water demand (MWh)]]+Table2[[#This Row],[Space heating demand (MWh)]]</f>
        <v>0</v>
      </c>
      <c r="P307" s="29">
        <v>0</v>
      </c>
      <c r="Q307" s="29">
        <v>0</v>
      </c>
      <c r="S307" s="17">
        <v>0</v>
      </c>
      <c r="T307" s="29">
        <v>0</v>
      </c>
      <c r="V307" s="29">
        <v>0</v>
      </c>
      <c r="X307" s="29">
        <v>0</v>
      </c>
      <c r="Y307" s="29">
        <v>0</v>
      </c>
      <c r="AF307">
        <v>0</v>
      </c>
      <c r="AG307">
        <v>0</v>
      </c>
      <c r="AH307">
        <v>0</v>
      </c>
      <c r="AI307">
        <v>0</v>
      </c>
      <c r="AJ307">
        <v>0</v>
      </c>
      <c r="AK307">
        <v>0</v>
      </c>
      <c r="AL307" t="s">
        <v>213</v>
      </c>
      <c r="AM307">
        <v>0</v>
      </c>
    </row>
    <row r="308" spans="2:39">
      <c r="B308">
        <v>301</v>
      </c>
      <c r="C308" t="s">
        <v>27</v>
      </c>
      <c r="D308" t="s">
        <v>64</v>
      </c>
      <c r="E308" t="s">
        <v>211</v>
      </c>
      <c r="H308" t="s">
        <v>109</v>
      </c>
      <c r="I308" t="s">
        <v>30</v>
      </c>
      <c r="M308" s="29">
        <v>0</v>
      </c>
      <c r="N308" s="29"/>
      <c r="O308" s="29">
        <f>Table2[[#This Row],[Hot water demand (MWh)]]+Table2[[#This Row],[Space heating demand (MWh)]]</f>
        <v>0</v>
      </c>
      <c r="P308" s="29">
        <v>0</v>
      </c>
      <c r="Q308" s="29">
        <v>0</v>
      </c>
      <c r="S308" s="17">
        <v>0</v>
      </c>
      <c r="T308" s="29">
        <v>0</v>
      </c>
      <c r="V308" s="29">
        <v>0</v>
      </c>
      <c r="X308" s="29">
        <v>0</v>
      </c>
      <c r="Y308" s="29">
        <v>0</v>
      </c>
      <c r="AF308">
        <v>0</v>
      </c>
      <c r="AG308">
        <v>0</v>
      </c>
      <c r="AH308">
        <v>0</v>
      </c>
      <c r="AI308">
        <v>0</v>
      </c>
      <c r="AJ308">
        <v>0</v>
      </c>
      <c r="AK308">
        <v>0</v>
      </c>
      <c r="AL308" t="s">
        <v>218</v>
      </c>
      <c r="AM308">
        <v>0</v>
      </c>
    </row>
    <row r="309" spans="2:39">
      <c r="B309">
        <v>302</v>
      </c>
      <c r="C309" t="s">
        <v>27</v>
      </c>
      <c r="D309" t="s">
        <v>64</v>
      </c>
      <c r="E309" t="s">
        <v>211</v>
      </c>
      <c r="H309" t="s">
        <v>107</v>
      </c>
      <c r="I309" t="s">
        <v>30</v>
      </c>
      <c r="M309" s="29">
        <v>0</v>
      </c>
      <c r="N309" s="29"/>
      <c r="O309" s="29">
        <f>Table2[[#This Row],[Hot water demand (MWh)]]+Table2[[#This Row],[Space heating demand (MWh)]]</f>
        <v>0</v>
      </c>
      <c r="P309" s="29">
        <v>0</v>
      </c>
      <c r="Q309" s="29">
        <v>0</v>
      </c>
      <c r="S309" s="17">
        <v>0</v>
      </c>
      <c r="T309" s="29">
        <v>0</v>
      </c>
      <c r="V309" s="29">
        <v>0</v>
      </c>
      <c r="X309" s="29">
        <v>0</v>
      </c>
      <c r="Y309" s="29">
        <v>0</v>
      </c>
      <c r="AF309">
        <v>0</v>
      </c>
      <c r="AG309">
        <v>0</v>
      </c>
      <c r="AH309">
        <v>0</v>
      </c>
      <c r="AI309">
        <v>0</v>
      </c>
      <c r="AJ309">
        <v>0</v>
      </c>
      <c r="AK309">
        <v>0</v>
      </c>
      <c r="AL309" t="s">
        <v>216</v>
      </c>
      <c r="AM309">
        <v>0</v>
      </c>
    </row>
    <row r="310" spans="2:39">
      <c r="B310">
        <v>303</v>
      </c>
      <c r="C310" t="s">
        <v>27</v>
      </c>
      <c r="D310" t="s">
        <v>65</v>
      </c>
      <c r="E310" t="s">
        <v>211</v>
      </c>
      <c r="H310" t="s">
        <v>106</v>
      </c>
      <c r="I310" t="s">
        <v>30</v>
      </c>
      <c r="M310" s="29">
        <v>0</v>
      </c>
      <c r="N310" s="29"/>
      <c r="O310" s="29">
        <f>Table2[[#This Row],[Hot water demand (MWh)]]+Table2[[#This Row],[Space heating demand (MWh)]]</f>
        <v>0</v>
      </c>
      <c r="P310" s="29">
        <v>0</v>
      </c>
      <c r="Q310" s="29">
        <v>0</v>
      </c>
      <c r="S310" s="17">
        <v>0</v>
      </c>
      <c r="T310" s="29">
        <v>0</v>
      </c>
      <c r="V310" s="29">
        <v>0</v>
      </c>
      <c r="X310" s="29">
        <v>0</v>
      </c>
      <c r="Y310" s="29">
        <v>0</v>
      </c>
      <c r="AF310">
        <v>0</v>
      </c>
      <c r="AG310">
        <v>0</v>
      </c>
      <c r="AH310">
        <v>0</v>
      </c>
      <c r="AI310">
        <v>0</v>
      </c>
      <c r="AJ310">
        <v>0</v>
      </c>
      <c r="AK310">
        <v>0</v>
      </c>
      <c r="AL310" t="s">
        <v>215</v>
      </c>
      <c r="AM310">
        <v>0</v>
      </c>
    </row>
    <row r="311" spans="2:39">
      <c r="B311">
        <v>304</v>
      </c>
      <c r="C311" t="s">
        <v>27</v>
      </c>
      <c r="D311" t="s">
        <v>65</v>
      </c>
      <c r="E311" t="s">
        <v>211</v>
      </c>
      <c r="H311" t="s">
        <v>108</v>
      </c>
      <c r="I311" t="s">
        <v>30</v>
      </c>
      <c r="M311" s="29">
        <v>0</v>
      </c>
      <c r="N311" s="29"/>
      <c r="O311" s="29">
        <f>Table2[[#This Row],[Hot water demand (MWh)]]+Table2[[#This Row],[Space heating demand (MWh)]]</f>
        <v>0</v>
      </c>
      <c r="P311" s="29">
        <v>0</v>
      </c>
      <c r="Q311" s="29">
        <v>0</v>
      </c>
      <c r="S311" s="17">
        <v>0</v>
      </c>
      <c r="T311" s="29">
        <v>0</v>
      </c>
      <c r="V311" s="29">
        <v>0</v>
      </c>
      <c r="X311" s="29">
        <v>0</v>
      </c>
      <c r="Y311" s="29">
        <v>0</v>
      </c>
      <c r="AF311">
        <v>0</v>
      </c>
      <c r="AG311">
        <v>0</v>
      </c>
      <c r="AH311">
        <v>0</v>
      </c>
      <c r="AI311">
        <v>0</v>
      </c>
      <c r="AJ311">
        <v>0</v>
      </c>
      <c r="AK311">
        <v>0</v>
      </c>
      <c r="AL311" t="s">
        <v>217</v>
      </c>
      <c r="AM311">
        <v>0</v>
      </c>
    </row>
    <row r="312" spans="2:39">
      <c r="B312">
        <v>305</v>
      </c>
      <c r="C312" t="s">
        <v>27</v>
      </c>
      <c r="D312" t="s">
        <v>65</v>
      </c>
      <c r="E312" t="s">
        <v>211</v>
      </c>
      <c r="H312" t="s">
        <v>105</v>
      </c>
      <c r="I312" t="s">
        <v>30</v>
      </c>
      <c r="M312" s="29">
        <v>0</v>
      </c>
      <c r="N312" s="29"/>
      <c r="O312" s="29">
        <f>Table2[[#This Row],[Hot water demand (MWh)]]+Table2[[#This Row],[Space heating demand (MWh)]]</f>
        <v>0</v>
      </c>
      <c r="P312" s="29">
        <v>0</v>
      </c>
      <c r="Q312" s="29">
        <v>0</v>
      </c>
      <c r="S312" s="17">
        <v>0</v>
      </c>
      <c r="T312" s="29">
        <v>0</v>
      </c>
      <c r="V312" s="29">
        <v>0</v>
      </c>
      <c r="X312" s="29">
        <v>0</v>
      </c>
      <c r="Y312" s="29">
        <v>0</v>
      </c>
      <c r="AF312">
        <v>0</v>
      </c>
      <c r="AG312">
        <v>0</v>
      </c>
      <c r="AH312">
        <v>0</v>
      </c>
      <c r="AI312">
        <v>0</v>
      </c>
      <c r="AJ312">
        <v>0</v>
      </c>
      <c r="AK312">
        <v>0</v>
      </c>
      <c r="AL312" t="s">
        <v>214</v>
      </c>
      <c r="AM312">
        <v>0</v>
      </c>
    </row>
    <row r="313" spans="2:39">
      <c r="B313">
        <v>306</v>
      </c>
      <c r="C313" t="s">
        <v>27</v>
      </c>
      <c r="D313" t="s">
        <v>65</v>
      </c>
      <c r="E313" t="s">
        <v>211</v>
      </c>
      <c r="H313" t="s">
        <v>107</v>
      </c>
      <c r="I313" t="s">
        <v>30</v>
      </c>
      <c r="M313" s="29">
        <v>0</v>
      </c>
      <c r="N313" s="29"/>
      <c r="O313" s="29">
        <f>Table2[[#This Row],[Hot water demand (MWh)]]+Table2[[#This Row],[Space heating demand (MWh)]]</f>
        <v>0</v>
      </c>
      <c r="P313" s="29">
        <v>0</v>
      </c>
      <c r="Q313" s="29">
        <v>0</v>
      </c>
      <c r="S313" s="17">
        <v>0</v>
      </c>
      <c r="T313" s="29">
        <v>0</v>
      </c>
      <c r="V313" s="29">
        <v>0</v>
      </c>
      <c r="X313" s="29">
        <v>0</v>
      </c>
      <c r="Y313" s="29">
        <v>0</v>
      </c>
      <c r="AF313">
        <v>0</v>
      </c>
      <c r="AG313">
        <v>0</v>
      </c>
      <c r="AH313">
        <v>0</v>
      </c>
      <c r="AI313">
        <v>0</v>
      </c>
      <c r="AJ313">
        <v>0</v>
      </c>
      <c r="AK313">
        <v>0</v>
      </c>
      <c r="AL313" t="s">
        <v>216</v>
      </c>
      <c r="AM313">
        <v>0</v>
      </c>
    </row>
    <row r="314" spans="2:39">
      <c r="B314">
        <v>307</v>
      </c>
      <c r="C314" t="s">
        <v>27</v>
      </c>
      <c r="D314" t="s">
        <v>66</v>
      </c>
      <c r="E314" t="s">
        <v>211</v>
      </c>
      <c r="H314" t="s">
        <v>108</v>
      </c>
      <c r="I314" t="s">
        <v>30</v>
      </c>
      <c r="M314" s="29">
        <v>0</v>
      </c>
      <c r="N314" s="29"/>
      <c r="O314" s="29">
        <f>Table2[[#This Row],[Hot water demand (MWh)]]+Table2[[#This Row],[Space heating demand (MWh)]]</f>
        <v>0</v>
      </c>
      <c r="P314" s="29">
        <v>0</v>
      </c>
      <c r="Q314" s="29">
        <v>0</v>
      </c>
      <c r="S314" s="17">
        <v>0</v>
      </c>
      <c r="T314" s="29">
        <v>0</v>
      </c>
      <c r="V314" s="29">
        <v>0</v>
      </c>
      <c r="X314" s="29">
        <v>0</v>
      </c>
      <c r="Y314" s="29">
        <v>0</v>
      </c>
      <c r="AF314">
        <v>0</v>
      </c>
      <c r="AG314">
        <v>0</v>
      </c>
      <c r="AH314">
        <v>0</v>
      </c>
      <c r="AI314">
        <v>0</v>
      </c>
      <c r="AJ314">
        <v>0</v>
      </c>
      <c r="AK314">
        <v>0</v>
      </c>
      <c r="AL314" t="s">
        <v>217</v>
      </c>
      <c r="AM314">
        <v>0</v>
      </c>
    </row>
    <row r="315" spans="2:39">
      <c r="B315">
        <v>308</v>
      </c>
      <c r="C315" t="s">
        <v>27</v>
      </c>
      <c r="D315" t="s">
        <v>66</v>
      </c>
      <c r="E315" t="s">
        <v>211</v>
      </c>
      <c r="H315" t="s">
        <v>103</v>
      </c>
      <c r="I315" t="s">
        <v>30</v>
      </c>
      <c r="M315" s="29">
        <v>0</v>
      </c>
      <c r="N315" s="29"/>
      <c r="O315" s="29">
        <f>Table2[[#This Row],[Hot water demand (MWh)]]+Table2[[#This Row],[Space heating demand (MWh)]]</f>
        <v>0</v>
      </c>
      <c r="P315" s="29">
        <v>0</v>
      </c>
      <c r="Q315" s="29">
        <v>0</v>
      </c>
      <c r="S315" s="17">
        <v>0</v>
      </c>
      <c r="T315" s="29">
        <v>0</v>
      </c>
      <c r="V315" s="29">
        <v>0</v>
      </c>
      <c r="X315" s="29">
        <v>0</v>
      </c>
      <c r="Y315" s="29">
        <v>0</v>
      </c>
      <c r="AF315">
        <v>0</v>
      </c>
      <c r="AG315">
        <v>0</v>
      </c>
      <c r="AH315">
        <v>0</v>
      </c>
      <c r="AI315">
        <v>0</v>
      </c>
      <c r="AJ315">
        <v>0</v>
      </c>
      <c r="AK315">
        <v>0</v>
      </c>
      <c r="AL315" t="s">
        <v>212</v>
      </c>
      <c r="AM315">
        <v>0</v>
      </c>
    </row>
    <row r="316" spans="2:39">
      <c r="B316">
        <v>309</v>
      </c>
      <c r="C316" t="s">
        <v>27</v>
      </c>
      <c r="D316" t="s">
        <v>66</v>
      </c>
      <c r="E316" t="s">
        <v>211</v>
      </c>
      <c r="H316" t="s">
        <v>104</v>
      </c>
      <c r="I316" t="s">
        <v>30</v>
      </c>
      <c r="M316" s="29">
        <v>0</v>
      </c>
      <c r="N316" s="29"/>
      <c r="O316" s="29">
        <f>Table2[[#This Row],[Hot water demand (MWh)]]+Table2[[#This Row],[Space heating demand (MWh)]]</f>
        <v>0</v>
      </c>
      <c r="P316" s="29">
        <v>0</v>
      </c>
      <c r="Q316" s="29">
        <v>0</v>
      </c>
      <c r="S316" s="17">
        <v>0</v>
      </c>
      <c r="T316" s="29">
        <v>0</v>
      </c>
      <c r="V316" s="29">
        <v>0</v>
      </c>
      <c r="X316" s="29">
        <v>0</v>
      </c>
      <c r="Y316" s="29">
        <v>0</v>
      </c>
      <c r="AF316">
        <v>0</v>
      </c>
      <c r="AG316">
        <v>0</v>
      </c>
      <c r="AH316">
        <v>0</v>
      </c>
      <c r="AI316">
        <v>0</v>
      </c>
      <c r="AJ316">
        <v>0</v>
      </c>
      <c r="AK316">
        <v>0</v>
      </c>
      <c r="AL316" t="s">
        <v>213</v>
      </c>
      <c r="AM316">
        <v>0</v>
      </c>
    </row>
    <row r="317" spans="2:39">
      <c r="B317">
        <v>310</v>
      </c>
      <c r="C317" t="s">
        <v>27</v>
      </c>
      <c r="D317" t="s">
        <v>66</v>
      </c>
      <c r="E317" t="s">
        <v>211</v>
      </c>
      <c r="H317" t="s">
        <v>109</v>
      </c>
      <c r="I317" t="s">
        <v>30</v>
      </c>
      <c r="M317" s="29">
        <v>0</v>
      </c>
      <c r="N317" s="29"/>
      <c r="O317" s="29">
        <f>Table2[[#This Row],[Hot water demand (MWh)]]+Table2[[#This Row],[Space heating demand (MWh)]]</f>
        <v>0</v>
      </c>
      <c r="P317" s="29">
        <v>0</v>
      </c>
      <c r="Q317" s="29">
        <v>0</v>
      </c>
      <c r="S317" s="17">
        <v>0</v>
      </c>
      <c r="T317" s="29">
        <v>0</v>
      </c>
      <c r="V317" s="29">
        <v>0</v>
      </c>
      <c r="X317" s="29">
        <v>0</v>
      </c>
      <c r="Y317" s="29">
        <v>0</v>
      </c>
      <c r="AF317">
        <v>0</v>
      </c>
      <c r="AG317">
        <v>0</v>
      </c>
      <c r="AH317">
        <v>0</v>
      </c>
      <c r="AI317">
        <v>0</v>
      </c>
      <c r="AJ317">
        <v>0</v>
      </c>
      <c r="AK317">
        <v>0</v>
      </c>
      <c r="AL317" t="s">
        <v>218</v>
      </c>
      <c r="AM317">
        <v>0</v>
      </c>
    </row>
    <row r="318" spans="2:39">
      <c r="B318">
        <v>311</v>
      </c>
      <c r="C318" t="s">
        <v>27</v>
      </c>
      <c r="D318" t="s">
        <v>66</v>
      </c>
      <c r="E318" t="s">
        <v>211</v>
      </c>
      <c r="H318" t="s">
        <v>105</v>
      </c>
      <c r="I318" t="s">
        <v>30</v>
      </c>
      <c r="M318" s="29">
        <v>0</v>
      </c>
      <c r="N318" s="29"/>
      <c r="O318" s="29">
        <f>Table2[[#This Row],[Hot water demand (MWh)]]+Table2[[#This Row],[Space heating demand (MWh)]]</f>
        <v>0</v>
      </c>
      <c r="P318" s="29">
        <v>0</v>
      </c>
      <c r="Q318" s="29">
        <v>0</v>
      </c>
      <c r="S318" s="17">
        <v>0</v>
      </c>
      <c r="T318" s="29">
        <v>0</v>
      </c>
      <c r="V318" s="29">
        <v>0</v>
      </c>
      <c r="X318" s="29">
        <v>0</v>
      </c>
      <c r="Y318" s="29">
        <v>0</v>
      </c>
      <c r="AF318">
        <v>0</v>
      </c>
      <c r="AG318">
        <v>0</v>
      </c>
      <c r="AH318">
        <v>0</v>
      </c>
      <c r="AI318">
        <v>0</v>
      </c>
      <c r="AJ318">
        <v>0</v>
      </c>
      <c r="AK318">
        <v>0</v>
      </c>
      <c r="AL318" t="s">
        <v>214</v>
      </c>
      <c r="AM318">
        <v>0</v>
      </c>
    </row>
    <row r="319" spans="2:39">
      <c r="B319">
        <v>312</v>
      </c>
      <c r="C319" t="s">
        <v>27</v>
      </c>
      <c r="D319" t="s">
        <v>66</v>
      </c>
      <c r="E319" t="s">
        <v>211</v>
      </c>
      <c r="H319" t="s">
        <v>107</v>
      </c>
      <c r="I319" t="s">
        <v>30</v>
      </c>
      <c r="M319" s="29">
        <v>0</v>
      </c>
      <c r="N319" s="29"/>
      <c r="O319" s="29">
        <f>Table2[[#This Row],[Hot water demand (MWh)]]+Table2[[#This Row],[Space heating demand (MWh)]]</f>
        <v>0</v>
      </c>
      <c r="P319" s="29">
        <v>0</v>
      </c>
      <c r="Q319" s="29">
        <v>0</v>
      </c>
      <c r="S319" s="17">
        <v>0</v>
      </c>
      <c r="T319" s="29">
        <v>0</v>
      </c>
      <c r="V319" s="29">
        <v>0</v>
      </c>
      <c r="X319" s="29">
        <v>0</v>
      </c>
      <c r="Y319" s="29">
        <v>0</v>
      </c>
      <c r="AF319">
        <v>0</v>
      </c>
      <c r="AG319">
        <v>0</v>
      </c>
      <c r="AH319">
        <v>0</v>
      </c>
      <c r="AI319">
        <v>0</v>
      </c>
      <c r="AJ319">
        <v>0</v>
      </c>
      <c r="AK319">
        <v>0</v>
      </c>
      <c r="AL319" t="s">
        <v>216</v>
      </c>
      <c r="AM319">
        <v>0</v>
      </c>
    </row>
    <row r="320" spans="2:39">
      <c r="B320">
        <v>313</v>
      </c>
      <c r="C320" t="s">
        <v>27</v>
      </c>
      <c r="D320" t="s">
        <v>67</v>
      </c>
      <c r="E320" t="s">
        <v>211</v>
      </c>
      <c r="H320" t="s">
        <v>103</v>
      </c>
      <c r="I320" t="s">
        <v>30</v>
      </c>
      <c r="M320" s="29">
        <v>0</v>
      </c>
      <c r="N320" s="29"/>
      <c r="O320" s="29">
        <f>Table2[[#This Row],[Hot water demand (MWh)]]+Table2[[#This Row],[Space heating demand (MWh)]]</f>
        <v>0</v>
      </c>
      <c r="P320" s="29">
        <v>0</v>
      </c>
      <c r="Q320" s="29">
        <v>0</v>
      </c>
      <c r="S320" s="17">
        <v>0</v>
      </c>
      <c r="T320" s="29">
        <v>0</v>
      </c>
      <c r="V320" s="29">
        <v>0</v>
      </c>
      <c r="X320" s="29">
        <v>0</v>
      </c>
      <c r="Y320" s="29">
        <v>0</v>
      </c>
      <c r="AF320">
        <v>0</v>
      </c>
      <c r="AG320">
        <v>0</v>
      </c>
      <c r="AH320">
        <v>0</v>
      </c>
      <c r="AI320">
        <v>0</v>
      </c>
      <c r="AJ320">
        <v>0</v>
      </c>
      <c r="AK320">
        <v>0</v>
      </c>
      <c r="AL320" t="s">
        <v>212</v>
      </c>
      <c r="AM320">
        <v>0</v>
      </c>
    </row>
    <row r="321" spans="2:39">
      <c r="B321">
        <v>314</v>
      </c>
      <c r="C321" t="s">
        <v>27</v>
      </c>
      <c r="D321" t="s">
        <v>67</v>
      </c>
      <c r="E321" t="s">
        <v>211</v>
      </c>
      <c r="H321" t="s">
        <v>104</v>
      </c>
      <c r="I321" t="s">
        <v>30</v>
      </c>
      <c r="M321" s="29">
        <v>0</v>
      </c>
      <c r="N321" s="29"/>
      <c r="O321" s="29">
        <f>Table2[[#This Row],[Hot water demand (MWh)]]+Table2[[#This Row],[Space heating demand (MWh)]]</f>
        <v>0</v>
      </c>
      <c r="P321" s="29">
        <v>0</v>
      </c>
      <c r="Q321" s="29">
        <v>0</v>
      </c>
      <c r="S321" s="17">
        <v>0</v>
      </c>
      <c r="T321" s="29">
        <v>0</v>
      </c>
      <c r="V321" s="29">
        <v>0</v>
      </c>
      <c r="X321" s="29">
        <v>0</v>
      </c>
      <c r="Y321" s="29">
        <v>0</v>
      </c>
      <c r="AF321">
        <v>0</v>
      </c>
      <c r="AG321">
        <v>0</v>
      </c>
      <c r="AH321">
        <v>0</v>
      </c>
      <c r="AI321">
        <v>0</v>
      </c>
      <c r="AJ321">
        <v>0</v>
      </c>
      <c r="AK321">
        <v>0</v>
      </c>
      <c r="AL321" t="s">
        <v>213</v>
      </c>
      <c r="AM321">
        <v>0</v>
      </c>
    </row>
    <row r="322" spans="2:39">
      <c r="B322">
        <v>315</v>
      </c>
      <c r="C322" t="s">
        <v>27</v>
      </c>
      <c r="D322" t="s">
        <v>67</v>
      </c>
      <c r="E322" t="s">
        <v>211</v>
      </c>
      <c r="H322" t="s">
        <v>109</v>
      </c>
      <c r="I322" t="s">
        <v>30</v>
      </c>
      <c r="M322" s="29">
        <v>0</v>
      </c>
      <c r="N322" s="29"/>
      <c r="O322" s="29">
        <f>Table2[[#This Row],[Hot water demand (MWh)]]+Table2[[#This Row],[Space heating demand (MWh)]]</f>
        <v>0</v>
      </c>
      <c r="P322" s="29">
        <v>0</v>
      </c>
      <c r="Q322" s="29">
        <v>0</v>
      </c>
      <c r="S322" s="17">
        <v>0</v>
      </c>
      <c r="T322" s="29">
        <v>0</v>
      </c>
      <c r="V322" s="29">
        <v>0</v>
      </c>
      <c r="X322" s="29">
        <v>0</v>
      </c>
      <c r="Y322" s="29">
        <v>0</v>
      </c>
      <c r="AF322">
        <v>0</v>
      </c>
      <c r="AG322">
        <v>0</v>
      </c>
      <c r="AH322">
        <v>0</v>
      </c>
      <c r="AI322">
        <v>0</v>
      </c>
      <c r="AJ322">
        <v>0</v>
      </c>
      <c r="AK322">
        <v>0</v>
      </c>
      <c r="AL322" t="s">
        <v>218</v>
      </c>
      <c r="AM322">
        <v>0</v>
      </c>
    </row>
    <row r="323" spans="2:39">
      <c r="B323">
        <v>316</v>
      </c>
      <c r="C323" t="s">
        <v>27</v>
      </c>
      <c r="D323" t="s">
        <v>67</v>
      </c>
      <c r="E323" t="s">
        <v>211</v>
      </c>
      <c r="H323" t="s">
        <v>105</v>
      </c>
      <c r="I323" t="s">
        <v>30</v>
      </c>
      <c r="M323" s="29">
        <v>0</v>
      </c>
      <c r="N323" s="29"/>
      <c r="O323" s="29">
        <f>Table2[[#This Row],[Hot water demand (MWh)]]+Table2[[#This Row],[Space heating demand (MWh)]]</f>
        <v>0</v>
      </c>
      <c r="P323" s="29">
        <v>0</v>
      </c>
      <c r="Q323" s="29">
        <v>0</v>
      </c>
      <c r="S323" s="17">
        <v>0</v>
      </c>
      <c r="T323" s="29">
        <v>0</v>
      </c>
      <c r="V323" s="29">
        <v>0</v>
      </c>
      <c r="X323" s="29">
        <v>0</v>
      </c>
      <c r="Y323" s="29">
        <v>0</v>
      </c>
      <c r="AF323">
        <v>0</v>
      </c>
      <c r="AG323">
        <v>0</v>
      </c>
      <c r="AH323">
        <v>0</v>
      </c>
      <c r="AI323">
        <v>0</v>
      </c>
      <c r="AJ323">
        <v>0</v>
      </c>
      <c r="AK323">
        <v>0</v>
      </c>
      <c r="AL323" t="s">
        <v>214</v>
      </c>
      <c r="AM323">
        <v>0</v>
      </c>
    </row>
    <row r="324" spans="2:39">
      <c r="B324">
        <v>317</v>
      </c>
      <c r="C324" t="s">
        <v>27</v>
      </c>
      <c r="D324" t="s">
        <v>67</v>
      </c>
      <c r="E324" t="s">
        <v>211</v>
      </c>
      <c r="H324" t="s">
        <v>107</v>
      </c>
      <c r="I324" t="s">
        <v>30</v>
      </c>
      <c r="M324" s="29">
        <v>0</v>
      </c>
      <c r="N324" s="29"/>
      <c r="O324" s="29">
        <f>Table2[[#This Row],[Hot water demand (MWh)]]+Table2[[#This Row],[Space heating demand (MWh)]]</f>
        <v>0</v>
      </c>
      <c r="P324" s="29">
        <v>0</v>
      </c>
      <c r="Q324" s="29">
        <v>0</v>
      </c>
      <c r="S324" s="17">
        <v>0</v>
      </c>
      <c r="T324" s="29">
        <v>0</v>
      </c>
      <c r="V324" s="29">
        <v>0</v>
      </c>
      <c r="X324" s="29">
        <v>0</v>
      </c>
      <c r="Y324" s="29">
        <v>0</v>
      </c>
      <c r="AF324">
        <v>0</v>
      </c>
      <c r="AG324">
        <v>0</v>
      </c>
      <c r="AH324">
        <v>0</v>
      </c>
      <c r="AI324">
        <v>0</v>
      </c>
      <c r="AJ324">
        <v>0</v>
      </c>
      <c r="AK324">
        <v>0</v>
      </c>
      <c r="AL324" t="s">
        <v>216</v>
      </c>
      <c r="AM324">
        <v>0</v>
      </c>
    </row>
    <row r="325" spans="2:39">
      <c r="B325">
        <v>318</v>
      </c>
      <c r="C325" t="s">
        <v>27</v>
      </c>
      <c r="D325" t="s">
        <v>59</v>
      </c>
      <c r="E325" t="s">
        <v>211</v>
      </c>
      <c r="H325" t="s">
        <v>96</v>
      </c>
      <c r="I325" t="s">
        <v>29</v>
      </c>
      <c r="M325" s="29">
        <v>0</v>
      </c>
      <c r="N325" s="29"/>
      <c r="O325" s="29">
        <f>Table2[[#This Row],[Hot water demand (MWh)]]+Table2[[#This Row],[Space heating demand (MWh)]]</f>
        <v>0</v>
      </c>
      <c r="P325" s="29">
        <v>0</v>
      </c>
      <c r="Q325" s="29">
        <v>0</v>
      </c>
      <c r="S325" s="17">
        <v>0</v>
      </c>
      <c r="T325" s="29">
        <v>0</v>
      </c>
      <c r="V325" s="29">
        <v>0</v>
      </c>
      <c r="X325" s="29">
        <v>0</v>
      </c>
      <c r="Y325" s="29">
        <v>0</v>
      </c>
      <c r="AF325">
        <v>0</v>
      </c>
      <c r="AG325">
        <v>0</v>
      </c>
      <c r="AH325">
        <v>0</v>
      </c>
      <c r="AI325">
        <v>0</v>
      </c>
      <c r="AJ325">
        <v>0</v>
      </c>
      <c r="AK325">
        <v>0</v>
      </c>
      <c r="AL325" t="s">
        <v>212</v>
      </c>
      <c r="AM325">
        <v>0</v>
      </c>
    </row>
    <row r="326" spans="2:39">
      <c r="B326">
        <v>319</v>
      </c>
      <c r="C326" t="s">
        <v>27</v>
      </c>
      <c r="D326" t="s">
        <v>59</v>
      </c>
      <c r="E326" t="s">
        <v>211</v>
      </c>
      <c r="H326" t="s">
        <v>97</v>
      </c>
      <c r="I326" t="s">
        <v>29</v>
      </c>
      <c r="M326" s="29">
        <v>0</v>
      </c>
      <c r="N326" s="29"/>
      <c r="O326" s="29">
        <f>Table2[[#This Row],[Hot water demand (MWh)]]+Table2[[#This Row],[Space heating demand (MWh)]]</f>
        <v>0</v>
      </c>
      <c r="P326" s="29">
        <v>0</v>
      </c>
      <c r="Q326" s="29">
        <v>0</v>
      </c>
      <c r="S326" s="17">
        <v>0</v>
      </c>
      <c r="T326" s="29">
        <v>0</v>
      </c>
      <c r="V326" s="29">
        <v>0</v>
      </c>
      <c r="X326" s="29">
        <v>0</v>
      </c>
      <c r="Y326" s="29">
        <v>0</v>
      </c>
      <c r="AF326">
        <v>0</v>
      </c>
      <c r="AG326">
        <v>0</v>
      </c>
      <c r="AH326">
        <v>0</v>
      </c>
      <c r="AI326">
        <v>0</v>
      </c>
      <c r="AJ326">
        <v>0</v>
      </c>
      <c r="AK326">
        <v>0</v>
      </c>
      <c r="AL326" t="s">
        <v>213</v>
      </c>
      <c r="AM326">
        <v>0</v>
      </c>
    </row>
    <row r="327" spans="2:39">
      <c r="B327">
        <v>320</v>
      </c>
      <c r="C327" t="s">
        <v>27</v>
      </c>
      <c r="D327" t="s">
        <v>59</v>
      </c>
      <c r="E327" t="s">
        <v>211</v>
      </c>
      <c r="H327" t="s">
        <v>98</v>
      </c>
      <c r="I327" t="s">
        <v>29</v>
      </c>
      <c r="M327" s="29">
        <v>0</v>
      </c>
      <c r="N327" s="29"/>
      <c r="O327" s="29">
        <f>Table2[[#This Row],[Hot water demand (MWh)]]+Table2[[#This Row],[Space heating demand (MWh)]]</f>
        <v>0</v>
      </c>
      <c r="P327" s="29">
        <v>0</v>
      </c>
      <c r="Q327" s="29">
        <v>0</v>
      </c>
      <c r="S327" s="17">
        <v>0</v>
      </c>
      <c r="T327" s="29">
        <v>0</v>
      </c>
      <c r="V327" s="29">
        <v>0</v>
      </c>
      <c r="X327" s="29">
        <v>0</v>
      </c>
      <c r="Y327" s="29">
        <v>0</v>
      </c>
      <c r="AF327">
        <v>0</v>
      </c>
      <c r="AG327">
        <v>0</v>
      </c>
      <c r="AH327">
        <v>0</v>
      </c>
      <c r="AI327">
        <v>0</v>
      </c>
      <c r="AJ327">
        <v>0</v>
      </c>
      <c r="AK327">
        <v>0</v>
      </c>
      <c r="AL327" t="s">
        <v>214</v>
      </c>
      <c r="AM327">
        <v>0</v>
      </c>
    </row>
    <row r="328" spans="2:39">
      <c r="B328">
        <v>321</v>
      </c>
      <c r="C328" t="s">
        <v>27</v>
      </c>
      <c r="D328" t="s">
        <v>60</v>
      </c>
      <c r="E328" t="s">
        <v>211</v>
      </c>
      <c r="H328" t="s">
        <v>99</v>
      </c>
      <c r="I328" t="s">
        <v>29</v>
      </c>
      <c r="M328" s="29">
        <v>700801.54934857704</v>
      </c>
      <c r="N328" s="29"/>
      <c r="O328" s="29">
        <f>Table2[[#This Row],[Hot water demand (MWh)]]+Table2[[#This Row],[Space heating demand (MWh)]]</f>
        <v>700801.54934857704</v>
      </c>
      <c r="P328" s="29">
        <v>154709.36183466291</v>
      </c>
      <c r="Q328" s="29">
        <v>1562.7208266127566</v>
      </c>
      <c r="S328" s="17">
        <v>0.58521504992915563</v>
      </c>
      <c r="T328" s="29">
        <v>778668.38816508558</v>
      </c>
      <c r="V328" s="29">
        <v>778668.38816508558</v>
      </c>
      <c r="X328" s="29">
        <v>1562.7208266127566</v>
      </c>
      <c r="Y328" s="29">
        <v>154709.36183466291</v>
      </c>
      <c r="AF328">
        <v>0.56765859843128097</v>
      </c>
      <c r="AG328">
        <v>700801.54934857704</v>
      </c>
      <c r="AH328">
        <v>700801.54934857704</v>
      </c>
      <c r="AI328">
        <v>0</v>
      </c>
      <c r="AJ328">
        <v>0</v>
      </c>
      <c r="AK328">
        <v>0</v>
      </c>
      <c r="AL328" t="s">
        <v>215</v>
      </c>
      <c r="AM328">
        <v>156272.08266127566</v>
      </c>
    </row>
    <row r="329" spans="2:39">
      <c r="B329">
        <v>322</v>
      </c>
      <c r="C329" t="s">
        <v>27</v>
      </c>
      <c r="D329" t="s">
        <v>60</v>
      </c>
      <c r="E329" t="s">
        <v>211</v>
      </c>
      <c r="H329" t="s">
        <v>98</v>
      </c>
      <c r="I329" t="s">
        <v>29</v>
      </c>
      <c r="M329" s="29">
        <v>0</v>
      </c>
      <c r="N329" s="29"/>
      <c r="O329" s="29">
        <f>Table2[[#This Row],[Hot water demand (MWh)]]+Table2[[#This Row],[Space heating demand (MWh)]]</f>
        <v>0</v>
      </c>
      <c r="P329" s="29">
        <v>0</v>
      </c>
      <c r="Q329" s="29">
        <v>0</v>
      </c>
      <c r="S329" s="17">
        <v>0</v>
      </c>
      <c r="T329" s="29">
        <v>0</v>
      </c>
      <c r="V329" s="29">
        <v>0</v>
      </c>
      <c r="X329" s="29">
        <v>0</v>
      </c>
      <c r="Y329" s="29">
        <v>0</v>
      </c>
      <c r="AF329">
        <v>0</v>
      </c>
      <c r="AG329">
        <v>0</v>
      </c>
      <c r="AH329">
        <v>0</v>
      </c>
      <c r="AI329">
        <v>0</v>
      </c>
      <c r="AJ329">
        <v>0</v>
      </c>
      <c r="AK329">
        <v>0</v>
      </c>
      <c r="AL329" t="s">
        <v>214</v>
      </c>
      <c r="AM329">
        <v>0</v>
      </c>
    </row>
    <row r="330" spans="2:39">
      <c r="B330">
        <v>323</v>
      </c>
      <c r="C330" t="s">
        <v>27</v>
      </c>
      <c r="D330" t="s">
        <v>60</v>
      </c>
      <c r="E330" t="s">
        <v>211</v>
      </c>
      <c r="H330" t="s">
        <v>100</v>
      </c>
      <c r="I330" t="s">
        <v>29</v>
      </c>
      <c r="M330" s="29">
        <v>22155.925271501401</v>
      </c>
      <c r="N330" s="29"/>
      <c r="O330" s="29">
        <f>Table2[[#This Row],[Hot water demand (MWh)]]+Table2[[#This Row],[Space heating demand (MWh)]]</f>
        <v>22155.925271501401</v>
      </c>
      <c r="P330" s="29">
        <v>4784.8256237524611</v>
      </c>
      <c r="Q330" s="29">
        <v>48.331571957095569</v>
      </c>
      <c r="S330" s="17">
        <v>0.58521504992915563</v>
      </c>
      <c r="T330" s="29">
        <v>24082.527469023262</v>
      </c>
      <c r="V330" s="29">
        <v>24082.527469023262</v>
      </c>
      <c r="X330" s="29">
        <v>48.331571957095569</v>
      </c>
      <c r="Y330" s="29">
        <v>4784.8256237524611</v>
      </c>
      <c r="AF330">
        <v>1.7556451497874669E-2</v>
      </c>
      <c r="AG330">
        <v>22155.925271501401</v>
      </c>
      <c r="AH330">
        <v>0</v>
      </c>
      <c r="AI330">
        <v>22155.925271501401</v>
      </c>
      <c r="AJ330">
        <v>0</v>
      </c>
      <c r="AK330">
        <v>0</v>
      </c>
      <c r="AL330" t="s">
        <v>216</v>
      </c>
      <c r="AM330">
        <v>4833.1571957095566</v>
      </c>
    </row>
    <row r="331" spans="2:39">
      <c r="B331">
        <v>324</v>
      </c>
      <c r="C331" t="s">
        <v>27</v>
      </c>
      <c r="D331" t="s">
        <v>61</v>
      </c>
      <c r="E331" t="s">
        <v>211</v>
      </c>
      <c r="H331" t="s">
        <v>96</v>
      </c>
      <c r="I331" t="s">
        <v>29</v>
      </c>
      <c r="M331" s="29">
        <v>0</v>
      </c>
      <c r="N331" s="29"/>
      <c r="O331" s="29">
        <f>Table2[[#This Row],[Hot water demand (MWh)]]+Table2[[#This Row],[Space heating demand (MWh)]]</f>
        <v>0</v>
      </c>
      <c r="P331" s="29">
        <v>0</v>
      </c>
      <c r="Q331" s="29">
        <v>0</v>
      </c>
      <c r="S331" s="17">
        <v>0</v>
      </c>
      <c r="T331" s="29">
        <v>0</v>
      </c>
      <c r="V331" s="29">
        <v>0</v>
      </c>
      <c r="X331" s="29">
        <v>0</v>
      </c>
      <c r="Y331" s="29">
        <v>0</v>
      </c>
      <c r="AF331">
        <v>0</v>
      </c>
      <c r="AG331">
        <v>0</v>
      </c>
      <c r="AH331">
        <v>0</v>
      </c>
      <c r="AI331">
        <v>0</v>
      </c>
      <c r="AJ331">
        <v>0</v>
      </c>
      <c r="AK331">
        <v>0</v>
      </c>
      <c r="AL331" t="s">
        <v>212</v>
      </c>
      <c r="AM331">
        <v>0</v>
      </c>
    </row>
    <row r="332" spans="2:39">
      <c r="B332">
        <v>325</v>
      </c>
      <c r="C332" t="s">
        <v>27</v>
      </c>
      <c r="D332" t="s">
        <v>61</v>
      </c>
      <c r="E332" t="s">
        <v>211</v>
      </c>
      <c r="H332" t="s">
        <v>97</v>
      </c>
      <c r="I332" t="s">
        <v>29</v>
      </c>
      <c r="M332" s="29">
        <v>0</v>
      </c>
      <c r="N332" s="29"/>
      <c r="O332" s="29">
        <f>Table2[[#This Row],[Hot water demand (MWh)]]+Table2[[#This Row],[Space heating demand (MWh)]]</f>
        <v>0</v>
      </c>
      <c r="P332" s="29">
        <v>0</v>
      </c>
      <c r="Q332" s="29">
        <v>0</v>
      </c>
      <c r="S332" s="17">
        <v>0</v>
      </c>
      <c r="T332" s="29">
        <v>0</v>
      </c>
      <c r="V332" s="29">
        <v>0</v>
      </c>
      <c r="X332" s="29">
        <v>0</v>
      </c>
      <c r="Y332" s="29">
        <v>0</v>
      </c>
      <c r="AF332">
        <v>0</v>
      </c>
      <c r="AG332">
        <v>0</v>
      </c>
      <c r="AH332">
        <v>0</v>
      </c>
      <c r="AI332">
        <v>0</v>
      </c>
      <c r="AJ332">
        <v>0</v>
      </c>
      <c r="AK332">
        <v>0</v>
      </c>
      <c r="AL332" t="s">
        <v>213</v>
      </c>
      <c r="AM332">
        <v>0</v>
      </c>
    </row>
    <row r="333" spans="2:39">
      <c r="B333">
        <v>326</v>
      </c>
      <c r="C333" t="s">
        <v>27</v>
      </c>
      <c r="D333" t="s">
        <v>61</v>
      </c>
      <c r="E333" t="s">
        <v>211</v>
      </c>
      <c r="H333" t="s">
        <v>98</v>
      </c>
      <c r="I333" t="s">
        <v>29</v>
      </c>
      <c r="M333" s="29">
        <v>0</v>
      </c>
      <c r="N333" s="29"/>
      <c r="O333" s="29">
        <f>Table2[[#This Row],[Hot water demand (MWh)]]+Table2[[#This Row],[Space heating demand (MWh)]]</f>
        <v>0</v>
      </c>
      <c r="P333" s="29">
        <v>0</v>
      </c>
      <c r="Q333" s="29">
        <v>0</v>
      </c>
      <c r="S333" s="17">
        <v>0</v>
      </c>
      <c r="T333" s="29">
        <v>0</v>
      </c>
      <c r="V333" s="29">
        <v>0</v>
      </c>
      <c r="X333" s="29">
        <v>0</v>
      </c>
      <c r="Y333" s="29">
        <v>0</v>
      </c>
      <c r="AF333">
        <v>0</v>
      </c>
      <c r="AG333">
        <v>0</v>
      </c>
      <c r="AH333">
        <v>0</v>
      </c>
      <c r="AI333">
        <v>0</v>
      </c>
      <c r="AJ333">
        <v>0</v>
      </c>
      <c r="AK333">
        <v>0</v>
      </c>
      <c r="AL333" t="s">
        <v>214</v>
      </c>
      <c r="AM333">
        <v>0</v>
      </c>
    </row>
    <row r="334" spans="2:39">
      <c r="B334">
        <v>327</v>
      </c>
      <c r="C334" t="s">
        <v>27</v>
      </c>
      <c r="D334" t="s">
        <v>62</v>
      </c>
      <c r="E334" t="s">
        <v>211</v>
      </c>
      <c r="H334" t="s">
        <v>96</v>
      </c>
      <c r="I334" t="s">
        <v>29</v>
      </c>
      <c r="M334" s="29">
        <v>0</v>
      </c>
      <c r="N334" s="29"/>
      <c r="O334" s="29">
        <f>Table2[[#This Row],[Hot water demand (MWh)]]+Table2[[#This Row],[Space heating demand (MWh)]]</f>
        <v>0</v>
      </c>
      <c r="P334" s="29">
        <v>0</v>
      </c>
      <c r="Q334" s="29">
        <v>0</v>
      </c>
      <c r="S334" s="17">
        <v>0</v>
      </c>
      <c r="T334" s="29">
        <v>0</v>
      </c>
      <c r="V334" s="29">
        <v>0</v>
      </c>
      <c r="X334" s="29">
        <v>0</v>
      </c>
      <c r="Y334" s="29">
        <v>0</v>
      </c>
      <c r="AF334">
        <v>0</v>
      </c>
      <c r="AG334">
        <v>0</v>
      </c>
      <c r="AH334">
        <v>0</v>
      </c>
      <c r="AI334">
        <v>0</v>
      </c>
      <c r="AJ334">
        <v>0</v>
      </c>
      <c r="AK334">
        <v>0</v>
      </c>
      <c r="AL334" t="s">
        <v>212</v>
      </c>
      <c r="AM334">
        <v>0</v>
      </c>
    </row>
    <row r="335" spans="2:39">
      <c r="B335">
        <v>328</v>
      </c>
      <c r="C335" t="s">
        <v>27</v>
      </c>
      <c r="D335" t="s">
        <v>62</v>
      </c>
      <c r="E335" t="s">
        <v>211</v>
      </c>
      <c r="H335" t="s">
        <v>100</v>
      </c>
      <c r="I335" t="s">
        <v>29</v>
      </c>
      <c r="M335" s="29">
        <v>0</v>
      </c>
      <c r="N335" s="29"/>
      <c r="O335" s="29">
        <f>Table2[[#This Row],[Hot water demand (MWh)]]+Table2[[#This Row],[Space heating demand (MWh)]]</f>
        <v>0</v>
      </c>
      <c r="P335" s="29">
        <v>0</v>
      </c>
      <c r="Q335" s="29">
        <v>0</v>
      </c>
      <c r="S335" s="17">
        <v>0</v>
      </c>
      <c r="T335" s="29">
        <v>0</v>
      </c>
      <c r="V335" s="29">
        <v>0</v>
      </c>
      <c r="X335" s="29">
        <v>0</v>
      </c>
      <c r="Y335" s="29">
        <v>0</v>
      </c>
      <c r="AF335">
        <v>0</v>
      </c>
      <c r="AG335">
        <v>0</v>
      </c>
      <c r="AH335">
        <v>0</v>
      </c>
      <c r="AI335">
        <v>0</v>
      </c>
      <c r="AJ335">
        <v>0</v>
      </c>
      <c r="AK335">
        <v>0</v>
      </c>
      <c r="AL335" t="s">
        <v>216</v>
      </c>
      <c r="AM335">
        <v>0</v>
      </c>
    </row>
    <row r="336" spans="2:39">
      <c r="B336">
        <v>329</v>
      </c>
      <c r="C336" t="s">
        <v>27</v>
      </c>
      <c r="D336" t="s">
        <v>63</v>
      </c>
      <c r="E336" t="s">
        <v>211</v>
      </c>
      <c r="H336" t="s">
        <v>101</v>
      </c>
      <c r="I336" t="s">
        <v>29</v>
      </c>
      <c r="M336" s="29">
        <v>0</v>
      </c>
      <c r="N336" s="29"/>
      <c r="O336" s="29">
        <f>Table2[[#This Row],[Hot water demand (MWh)]]+Table2[[#This Row],[Space heating demand (MWh)]]</f>
        <v>0</v>
      </c>
      <c r="P336" s="29">
        <v>0</v>
      </c>
      <c r="Q336" s="29">
        <v>0</v>
      </c>
      <c r="S336" s="17">
        <v>0</v>
      </c>
      <c r="T336" s="29">
        <v>0</v>
      </c>
      <c r="V336" s="29">
        <v>0</v>
      </c>
      <c r="X336" s="29">
        <v>0</v>
      </c>
      <c r="Y336" s="29">
        <v>0</v>
      </c>
      <c r="AF336">
        <v>0</v>
      </c>
      <c r="AG336">
        <v>0</v>
      </c>
      <c r="AH336">
        <v>0</v>
      </c>
      <c r="AI336">
        <v>0</v>
      </c>
      <c r="AJ336">
        <v>0</v>
      </c>
      <c r="AK336">
        <v>0</v>
      </c>
      <c r="AL336" t="s">
        <v>217</v>
      </c>
      <c r="AM336">
        <v>0</v>
      </c>
    </row>
    <row r="337" spans="2:39">
      <c r="B337">
        <v>330</v>
      </c>
      <c r="C337" t="s">
        <v>27</v>
      </c>
      <c r="D337" t="s">
        <v>63</v>
      </c>
      <c r="E337" t="s">
        <v>211</v>
      </c>
      <c r="H337" t="s">
        <v>96</v>
      </c>
      <c r="I337" t="s">
        <v>29</v>
      </c>
      <c r="M337" s="29">
        <v>0</v>
      </c>
      <c r="N337" s="29"/>
      <c r="O337" s="29">
        <f>Table2[[#This Row],[Hot water demand (MWh)]]+Table2[[#This Row],[Space heating demand (MWh)]]</f>
        <v>0</v>
      </c>
      <c r="P337" s="29">
        <v>0</v>
      </c>
      <c r="Q337" s="29">
        <v>0</v>
      </c>
      <c r="S337" s="17">
        <v>0</v>
      </c>
      <c r="T337" s="29">
        <v>0</v>
      </c>
      <c r="V337" s="29">
        <v>0</v>
      </c>
      <c r="X337" s="29">
        <v>0</v>
      </c>
      <c r="Y337" s="29">
        <v>0</v>
      </c>
      <c r="AF337">
        <v>0</v>
      </c>
      <c r="AG337">
        <v>0</v>
      </c>
      <c r="AH337">
        <v>0</v>
      </c>
      <c r="AI337">
        <v>0</v>
      </c>
      <c r="AJ337">
        <v>0</v>
      </c>
      <c r="AK337">
        <v>0</v>
      </c>
      <c r="AL337" t="s">
        <v>212</v>
      </c>
      <c r="AM337">
        <v>0</v>
      </c>
    </row>
    <row r="338" spans="2:39">
      <c r="B338">
        <v>331</v>
      </c>
      <c r="C338" t="s">
        <v>27</v>
      </c>
      <c r="D338" t="s">
        <v>63</v>
      </c>
      <c r="E338" t="s">
        <v>211</v>
      </c>
      <c r="H338" t="s">
        <v>100</v>
      </c>
      <c r="I338" t="s">
        <v>29</v>
      </c>
      <c r="M338" s="29">
        <v>0</v>
      </c>
      <c r="N338" s="29"/>
      <c r="O338" s="29">
        <f>Table2[[#This Row],[Hot water demand (MWh)]]+Table2[[#This Row],[Space heating demand (MWh)]]</f>
        <v>0</v>
      </c>
      <c r="P338" s="29">
        <v>0</v>
      </c>
      <c r="Q338" s="29">
        <v>0</v>
      </c>
      <c r="S338" s="17">
        <v>0</v>
      </c>
      <c r="T338" s="29">
        <v>0</v>
      </c>
      <c r="V338" s="29">
        <v>0</v>
      </c>
      <c r="X338" s="29">
        <v>0</v>
      </c>
      <c r="Y338" s="29">
        <v>0</v>
      </c>
      <c r="AF338">
        <v>0</v>
      </c>
      <c r="AG338">
        <v>0</v>
      </c>
      <c r="AH338">
        <v>0</v>
      </c>
      <c r="AI338">
        <v>0</v>
      </c>
      <c r="AJ338">
        <v>0</v>
      </c>
      <c r="AK338">
        <v>0</v>
      </c>
      <c r="AL338" t="s">
        <v>216</v>
      </c>
      <c r="AM338">
        <v>0</v>
      </c>
    </row>
    <row r="339" spans="2:39">
      <c r="B339">
        <v>332</v>
      </c>
      <c r="C339" t="s">
        <v>27</v>
      </c>
      <c r="D339" t="s">
        <v>64</v>
      </c>
      <c r="E339" t="s">
        <v>211</v>
      </c>
      <c r="H339" t="s">
        <v>96</v>
      </c>
      <c r="I339" t="s">
        <v>29</v>
      </c>
      <c r="M339" s="29">
        <v>0</v>
      </c>
      <c r="N339" s="29"/>
      <c r="O339" s="29">
        <f>Table2[[#This Row],[Hot water demand (MWh)]]+Table2[[#This Row],[Space heating demand (MWh)]]</f>
        <v>0</v>
      </c>
      <c r="P339" s="29">
        <v>0</v>
      </c>
      <c r="Q339" s="29">
        <v>0</v>
      </c>
      <c r="S339" s="17">
        <v>0</v>
      </c>
      <c r="T339" s="29">
        <v>0</v>
      </c>
      <c r="V339" s="29">
        <v>0</v>
      </c>
      <c r="X339" s="29">
        <v>0</v>
      </c>
      <c r="Y339" s="29">
        <v>0</v>
      </c>
      <c r="AF339">
        <v>0</v>
      </c>
      <c r="AG339">
        <v>0</v>
      </c>
      <c r="AH339">
        <v>0</v>
      </c>
      <c r="AI339">
        <v>0</v>
      </c>
      <c r="AJ339">
        <v>0</v>
      </c>
      <c r="AK339">
        <v>0</v>
      </c>
      <c r="AL339" t="s">
        <v>212</v>
      </c>
      <c r="AM339">
        <v>0</v>
      </c>
    </row>
    <row r="340" spans="2:39">
      <c r="B340">
        <v>333</v>
      </c>
      <c r="C340" t="s">
        <v>27</v>
      </c>
      <c r="D340" t="s">
        <v>64</v>
      </c>
      <c r="E340" t="s">
        <v>211</v>
      </c>
      <c r="H340" t="s">
        <v>97</v>
      </c>
      <c r="I340" t="s">
        <v>29</v>
      </c>
      <c r="M340" s="29">
        <v>0</v>
      </c>
      <c r="N340" s="29"/>
      <c r="O340" s="29">
        <f>Table2[[#This Row],[Hot water demand (MWh)]]+Table2[[#This Row],[Space heating demand (MWh)]]</f>
        <v>0</v>
      </c>
      <c r="P340" s="29">
        <v>0</v>
      </c>
      <c r="Q340" s="29">
        <v>0</v>
      </c>
      <c r="S340" s="17">
        <v>0</v>
      </c>
      <c r="T340" s="29">
        <v>0</v>
      </c>
      <c r="V340" s="29">
        <v>0</v>
      </c>
      <c r="X340" s="29">
        <v>0</v>
      </c>
      <c r="Y340" s="29">
        <v>0</v>
      </c>
      <c r="AF340">
        <v>0</v>
      </c>
      <c r="AG340">
        <v>0</v>
      </c>
      <c r="AH340">
        <v>0</v>
      </c>
      <c r="AI340">
        <v>0</v>
      </c>
      <c r="AJ340">
        <v>0</v>
      </c>
      <c r="AK340">
        <v>0</v>
      </c>
      <c r="AL340" t="s">
        <v>213</v>
      </c>
      <c r="AM340">
        <v>0</v>
      </c>
    </row>
    <row r="341" spans="2:39">
      <c r="B341">
        <v>334</v>
      </c>
      <c r="C341" t="s">
        <v>27</v>
      </c>
      <c r="D341" t="s">
        <v>64</v>
      </c>
      <c r="E341" t="s">
        <v>211</v>
      </c>
      <c r="H341" t="s">
        <v>102</v>
      </c>
      <c r="I341" t="s">
        <v>29</v>
      </c>
      <c r="M341" s="29">
        <v>0</v>
      </c>
      <c r="N341" s="29"/>
      <c r="O341" s="29">
        <f>Table2[[#This Row],[Hot water demand (MWh)]]+Table2[[#This Row],[Space heating demand (MWh)]]</f>
        <v>0</v>
      </c>
      <c r="P341" s="29">
        <v>0</v>
      </c>
      <c r="Q341" s="29">
        <v>0</v>
      </c>
      <c r="S341" s="17">
        <v>0</v>
      </c>
      <c r="T341" s="29">
        <v>0</v>
      </c>
      <c r="V341" s="29">
        <v>0</v>
      </c>
      <c r="X341" s="29">
        <v>0</v>
      </c>
      <c r="Y341" s="29">
        <v>0</v>
      </c>
      <c r="AF341">
        <v>0</v>
      </c>
      <c r="AG341">
        <v>0</v>
      </c>
      <c r="AH341">
        <v>0</v>
      </c>
      <c r="AI341">
        <v>0</v>
      </c>
      <c r="AJ341">
        <v>0</v>
      </c>
      <c r="AK341">
        <v>0</v>
      </c>
      <c r="AL341" t="s">
        <v>218</v>
      </c>
      <c r="AM341">
        <v>0</v>
      </c>
    </row>
    <row r="342" spans="2:39">
      <c r="B342">
        <v>335</v>
      </c>
      <c r="C342" t="s">
        <v>27</v>
      </c>
      <c r="D342" t="s">
        <v>64</v>
      </c>
      <c r="E342" t="s">
        <v>211</v>
      </c>
      <c r="H342" t="s">
        <v>100</v>
      </c>
      <c r="I342" t="s">
        <v>29</v>
      </c>
      <c r="M342" s="29">
        <v>0</v>
      </c>
      <c r="N342" s="29"/>
      <c r="O342" s="29">
        <f>Table2[[#This Row],[Hot water demand (MWh)]]+Table2[[#This Row],[Space heating demand (MWh)]]</f>
        <v>0</v>
      </c>
      <c r="P342" s="29">
        <v>0</v>
      </c>
      <c r="Q342" s="29">
        <v>0</v>
      </c>
      <c r="S342" s="17">
        <v>0</v>
      </c>
      <c r="T342" s="29">
        <v>0</v>
      </c>
      <c r="V342" s="29">
        <v>0</v>
      </c>
      <c r="X342" s="29">
        <v>0</v>
      </c>
      <c r="Y342" s="29">
        <v>0</v>
      </c>
      <c r="AF342">
        <v>0</v>
      </c>
      <c r="AG342">
        <v>0</v>
      </c>
      <c r="AH342">
        <v>0</v>
      </c>
      <c r="AI342">
        <v>0</v>
      </c>
      <c r="AJ342">
        <v>0</v>
      </c>
      <c r="AK342">
        <v>0</v>
      </c>
      <c r="AL342" t="s">
        <v>216</v>
      </c>
      <c r="AM342">
        <v>0</v>
      </c>
    </row>
    <row r="343" spans="2:39">
      <c r="B343">
        <v>336</v>
      </c>
      <c r="C343" t="s">
        <v>27</v>
      </c>
      <c r="D343" t="s">
        <v>65</v>
      </c>
      <c r="E343" t="s">
        <v>211</v>
      </c>
      <c r="H343" t="s">
        <v>99</v>
      </c>
      <c r="I343" t="s">
        <v>29</v>
      </c>
      <c r="M343" s="29">
        <v>0</v>
      </c>
      <c r="N343" s="29"/>
      <c r="O343" s="29">
        <f>Table2[[#This Row],[Hot water demand (MWh)]]+Table2[[#This Row],[Space heating demand (MWh)]]</f>
        <v>0</v>
      </c>
      <c r="P343" s="29">
        <v>0</v>
      </c>
      <c r="Q343" s="29">
        <v>0</v>
      </c>
      <c r="S343" s="17">
        <v>0</v>
      </c>
      <c r="T343" s="29">
        <v>0</v>
      </c>
      <c r="V343" s="29">
        <v>0</v>
      </c>
      <c r="X343" s="29">
        <v>0</v>
      </c>
      <c r="Y343" s="29">
        <v>0</v>
      </c>
      <c r="AF343">
        <v>0</v>
      </c>
      <c r="AG343">
        <v>0</v>
      </c>
      <c r="AH343">
        <v>0</v>
      </c>
      <c r="AI343">
        <v>0</v>
      </c>
      <c r="AJ343">
        <v>0</v>
      </c>
      <c r="AK343">
        <v>0</v>
      </c>
      <c r="AL343" t="s">
        <v>215</v>
      </c>
      <c r="AM343">
        <v>0</v>
      </c>
    </row>
    <row r="344" spans="2:39">
      <c r="B344">
        <v>337</v>
      </c>
      <c r="C344" t="s">
        <v>27</v>
      </c>
      <c r="D344" t="s">
        <v>65</v>
      </c>
      <c r="E344" t="s">
        <v>211</v>
      </c>
      <c r="H344" t="s">
        <v>101</v>
      </c>
      <c r="I344" t="s">
        <v>29</v>
      </c>
      <c r="M344" s="29">
        <v>0</v>
      </c>
      <c r="N344" s="29"/>
      <c r="O344" s="29">
        <f>Table2[[#This Row],[Hot water demand (MWh)]]+Table2[[#This Row],[Space heating demand (MWh)]]</f>
        <v>0</v>
      </c>
      <c r="P344" s="29">
        <v>0</v>
      </c>
      <c r="Q344" s="29">
        <v>0</v>
      </c>
      <c r="S344" s="17">
        <v>0</v>
      </c>
      <c r="T344" s="29">
        <v>0</v>
      </c>
      <c r="V344" s="29">
        <v>0</v>
      </c>
      <c r="X344" s="29">
        <v>0</v>
      </c>
      <c r="Y344" s="29">
        <v>0</v>
      </c>
      <c r="AF344">
        <v>0</v>
      </c>
      <c r="AG344">
        <v>0</v>
      </c>
      <c r="AH344">
        <v>0</v>
      </c>
      <c r="AI344">
        <v>0</v>
      </c>
      <c r="AJ344">
        <v>0</v>
      </c>
      <c r="AK344">
        <v>0</v>
      </c>
      <c r="AL344" t="s">
        <v>217</v>
      </c>
      <c r="AM344">
        <v>0</v>
      </c>
    </row>
    <row r="345" spans="2:39">
      <c r="B345">
        <v>338</v>
      </c>
      <c r="C345" t="s">
        <v>27</v>
      </c>
      <c r="D345" t="s">
        <v>65</v>
      </c>
      <c r="E345" t="s">
        <v>211</v>
      </c>
      <c r="H345" t="s">
        <v>98</v>
      </c>
      <c r="I345" t="s">
        <v>29</v>
      </c>
      <c r="M345" s="29">
        <v>0</v>
      </c>
      <c r="N345" s="29"/>
      <c r="O345" s="29">
        <f>Table2[[#This Row],[Hot water demand (MWh)]]+Table2[[#This Row],[Space heating demand (MWh)]]</f>
        <v>0</v>
      </c>
      <c r="P345" s="29">
        <v>0</v>
      </c>
      <c r="Q345" s="29">
        <v>0</v>
      </c>
      <c r="S345" s="17">
        <v>0</v>
      </c>
      <c r="T345" s="29">
        <v>0</v>
      </c>
      <c r="V345" s="29">
        <v>0</v>
      </c>
      <c r="X345" s="29">
        <v>0</v>
      </c>
      <c r="Y345" s="29">
        <v>0</v>
      </c>
      <c r="AF345">
        <v>0</v>
      </c>
      <c r="AG345">
        <v>0</v>
      </c>
      <c r="AH345">
        <v>0</v>
      </c>
      <c r="AI345">
        <v>0</v>
      </c>
      <c r="AJ345">
        <v>0</v>
      </c>
      <c r="AK345">
        <v>0</v>
      </c>
      <c r="AL345" t="s">
        <v>214</v>
      </c>
      <c r="AM345">
        <v>0</v>
      </c>
    </row>
    <row r="346" spans="2:39">
      <c r="B346">
        <v>339</v>
      </c>
      <c r="C346" t="s">
        <v>27</v>
      </c>
      <c r="D346" t="s">
        <v>65</v>
      </c>
      <c r="E346" t="s">
        <v>211</v>
      </c>
      <c r="H346" t="s">
        <v>100</v>
      </c>
      <c r="I346" t="s">
        <v>29</v>
      </c>
      <c r="M346" s="29">
        <v>0</v>
      </c>
      <c r="N346" s="29"/>
      <c r="O346" s="29">
        <f>Table2[[#This Row],[Hot water demand (MWh)]]+Table2[[#This Row],[Space heating demand (MWh)]]</f>
        <v>0</v>
      </c>
      <c r="P346" s="29">
        <v>0</v>
      </c>
      <c r="Q346" s="29">
        <v>0</v>
      </c>
      <c r="S346" s="17">
        <v>0</v>
      </c>
      <c r="T346" s="29">
        <v>0</v>
      </c>
      <c r="V346" s="29">
        <v>0</v>
      </c>
      <c r="X346" s="29">
        <v>0</v>
      </c>
      <c r="Y346" s="29">
        <v>0</v>
      </c>
      <c r="AF346">
        <v>0</v>
      </c>
      <c r="AG346">
        <v>0</v>
      </c>
      <c r="AH346">
        <v>0</v>
      </c>
      <c r="AI346">
        <v>0</v>
      </c>
      <c r="AJ346">
        <v>0</v>
      </c>
      <c r="AK346">
        <v>0</v>
      </c>
      <c r="AL346" t="s">
        <v>216</v>
      </c>
      <c r="AM346">
        <v>0</v>
      </c>
    </row>
    <row r="347" spans="2:39">
      <c r="B347">
        <v>340</v>
      </c>
      <c r="C347" t="s">
        <v>27</v>
      </c>
      <c r="D347" t="s">
        <v>66</v>
      </c>
      <c r="E347" t="s">
        <v>211</v>
      </c>
      <c r="H347" t="s">
        <v>101</v>
      </c>
      <c r="I347" t="s">
        <v>29</v>
      </c>
      <c r="M347" s="29">
        <v>0</v>
      </c>
      <c r="N347" s="29"/>
      <c r="O347" s="29">
        <f>Table2[[#This Row],[Hot water demand (MWh)]]+Table2[[#This Row],[Space heating demand (MWh)]]</f>
        <v>0</v>
      </c>
      <c r="P347" s="29">
        <v>0</v>
      </c>
      <c r="Q347" s="29">
        <v>0</v>
      </c>
      <c r="S347" s="17">
        <v>0</v>
      </c>
      <c r="T347" s="29">
        <v>0</v>
      </c>
      <c r="V347" s="29">
        <v>0</v>
      </c>
      <c r="X347" s="29">
        <v>0</v>
      </c>
      <c r="Y347" s="29">
        <v>0</v>
      </c>
      <c r="AF347">
        <v>0</v>
      </c>
      <c r="AG347">
        <v>0</v>
      </c>
      <c r="AH347">
        <v>0</v>
      </c>
      <c r="AI347">
        <v>0</v>
      </c>
      <c r="AJ347">
        <v>0</v>
      </c>
      <c r="AK347">
        <v>0</v>
      </c>
      <c r="AL347" t="s">
        <v>217</v>
      </c>
      <c r="AM347">
        <v>0</v>
      </c>
    </row>
    <row r="348" spans="2:39">
      <c r="B348">
        <v>341</v>
      </c>
      <c r="C348" t="s">
        <v>27</v>
      </c>
      <c r="D348" t="s">
        <v>66</v>
      </c>
      <c r="E348" t="s">
        <v>211</v>
      </c>
      <c r="H348" t="s">
        <v>96</v>
      </c>
      <c r="I348" t="s">
        <v>29</v>
      </c>
      <c r="M348" s="29">
        <v>0</v>
      </c>
      <c r="N348" s="29"/>
      <c r="O348" s="29">
        <f>Table2[[#This Row],[Hot water demand (MWh)]]+Table2[[#This Row],[Space heating demand (MWh)]]</f>
        <v>0</v>
      </c>
      <c r="P348" s="29">
        <v>0</v>
      </c>
      <c r="Q348" s="29">
        <v>0</v>
      </c>
      <c r="S348" s="17">
        <v>0</v>
      </c>
      <c r="T348" s="29">
        <v>0</v>
      </c>
      <c r="V348" s="29">
        <v>0</v>
      </c>
      <c r="X348" s="29">
        <v>0</v>
      </c>
      <c r="Y348" s="29">
        <v>0</v>
      </c>
      <c r="AF348">
        <v>0</v>
      </c>
      <c r="AG348">
        <v>0</v>
      </c>
      <c r="AH348">
        <v>0</v>
      </c>
      <c r="AI348">
        <v>0</v>
      </c>
      <c r="AJ348">
        <v>0</v>
      </c>
      <c r="AK348">
        <v>0</v>
      </c>
      <c r="AL348" t="s">
        <v>212</v>
      </c>
      <c r="AM348">
        <v>0</v>
      </c>
    </row>
    <row r="349" spans="2:39">
      <c r="B349">
        <v>342</v>
      </c>
      <c r="C349" t="s">
        <v>27</v>
      </c>
      <c r="D349" t="s">
        <v>66</v>
      </c>
      <c r="E349" t="s">
        <v>211</v>
      </c>
      <c r="H349" t="s">
        <v>97</v>
      </c>
      <c r="I349" t="s">
        <v>29</v>
      </c>
      <c r="M349" s="29">
        <v>0</v>
      </c>
      <c r="N349" s="29"/>
      <c r="O349" s="29">
        <f>Table2[[#This Row],[Hot water demand (MWh)]]+Table2[[#This Row],[Space heating demand (MWh)]]</f>
        <v>0</v>
      </c>
      <c r="P349" s="29">
        <v>0</v>
      </c>
      <c r="Q349" s="29">
        <v>0</v>
      </c>
      <c r="S349" s="17">
        <v>0</v>
      </c>
      <c r="T349" s="29">
        <v>0</v>
      </c>
      <c r="V349" s="29">
        <v>0</v>
      </c>
      <c r="X349" s="29">
        <v>0</v>
      </c>
      <c r="Y349" s="29">
        <v>0</v>
      </c>
      <c r="AF349">
        <v>0</v>
      </c>
      <c r="AG349">
        <v>0</v>
      </c>
      <c r="AH349">
        <v>0</v>
      </c>
      <c r="AI349">
        <v>0</v>
      </c>
      <c r="AJ349">
        <v>0</v>
      </c>
      <c r="AK349">
        <v>0</v>
      </c>
      <c r="AL349" t="s">
        <v>213</v>
      </c>
      <c r="AM349">
        <v>0</v>
      </c>
    </row>
    <row r="350" spans="2:39">
      <c r="B350">
        <v>343</v>
      </c>
      <c r="C350" t="s">
        <v>27</v>
      </c>
      <c r="D350" t="s">
        <v>66</v>
      </c>
      <c r="E350" t="s">
        <v>211</v>
      </c>
      <c r="H350" t="s">
        <v>102</v>
      </c>
      <c r="I350" t="s">
        <v>29</v>
      </c>
      <c r="M350" s="29">
        <v>0</v>
      </c>
      <c r="N350" s="29"/>
      <c r="O350" s="29">
        <f>Table2[[#This Row],[Hot water demand (MWh)]]+Table2[[#This Row],[Space heating demand (MWh)]]</f>
        <v>0</v>
      </c>
      <c r="P350" s="29">
        <v>0</v>
      </c>
      <c r="Q350" s="29">
        <v>0</v>
      </c>
      <c r="S350" s="17">
        <v>0</v>
      </c>
      <c r="T350" s="29">
        <v>0</v>
      </c>
      <c r="V350" s="29">
        <v>0</v>
      </c>
      <c r="X350" s="29">
        <v>0</v>
      </c>
      <c r="Y350" s="29">
        <v>0</v>
      </c>
      <c r="AF350">
        <v>0</v>
      </c>
      <c r="AG350">
        <v>0</v>
      </c>
      <c r="AH350">
        <v>0</v>
      </c>
      <c r="AI350">
        <v>0</v>
      </c>
      <c r="AJ350">
        <v>0</v>
      </c>
      <c r="AK350">
        <v>0</v>
      </c>
      <c r="AL350" t="s">
        <v>218</v>
      </c>
      <c r="AM350">
        <v>0</v>
      </c>
    </row>
    <row r="351" spans="2:39">
      <c r="B351">
        <v>344</v>
      </c>
      <c r="C351" t="s">
        <v>27</v>
      </c>
      <c r="D351" t="s">
        <v>66</v>
      </c>
      <c r="E351" t="s">
        <v>211</v>
      </c>
      <c r="H351" t="s">
        <v>98</v>
      </c>
      <c r="I351" t="s">
        <v>29</v>
      </c>
      <c r="M351" s="29">
        <v>0</v>
      </c>
      <c r="N351" s="29"/>
      <c r="O351" s="29">
        <f>Table2[[#This Row],[Hot water demand (MWh)]]+Table2[[#This Row],[Space heating demand (MWh)]]</f>
        <v>0</v>
      </c>
      <c r="P351" s="29">
        <v>0</v>
      </c>
      <c r="Q351" s="29">
        <v>0</v>
      </c>
      <c r="S351" s="17">
        <v>0</v>
      </c>
      <c r="T351" s="29">
        <v>0</v>
      </c>
      <c r="V351" s="29">
        <v>0</v>
      </c>
      <c r="X351" s="29">
        <v>0</v>
      </c>
      <c r="Y351" s="29">
        <v>0</v>
      </c>
      <c r="AF351">
        <v>0</v>
      </c>
      <c r="AG351">
        <v>0</v>
      </c>
      <c r="AH351">
        <v>0</v>
      </c>
      <c r="AI351">
        <v>0</v>
      </c>
      <c r="AJ351">
        <v>0</v>
      </c>
      <c r="AK351">
        <v>0</v>
      </c>
      <c r="AL351" t="s">
        <v>214</v>
      </c>
      <c r="AM351">
        <v>0</v>
      </c>
    </row>
    <row r="352" spans="2:39">
      <c r="B352">
        <v>345</v>
      </c>
      <c r="C352" t="s">
        <v>27</v>
      </c>
      <c r="D352" t="s">
        <v>66</v>
      </c>
      <c r="E352" t="s">
        <v>211</v>
      </c>
      <c r="H352" t="s">
        <v>100</v>
      </c>
      <c r="I352" t="s">
        <v>29</v>
      </c>
      <c r="M352" s="29">
        <v>0</v>
      </c>
      <c r="N352" s="29"/>
      <c r="O352" s="29">
        <f>Table2[[#This Row],[Hot water demand (MWh)]]+Table2[[#This Row],[Space heating demand (MWh)]]</f>
        <v>0</v>
      </c>
      <c r="P352" s="29">
        <v>0</v>
      </c>
      <c r="Q352" s="29">
        <v>0</v>
      </c>
      <c r="S352" s="17">
        <v>0</v>
      </c>
      <c r="T352" s="29">
        <v>0</v>
      </c>
      <c r="V352" s="29">
        <v>0</v>
      </c>
      <c r="X352" s="29">
        <v>0</v>
      </c>
      <c r="Y352" s="29">
        <v>0</v>
      </c>
      <c r="AF352">
        <v>0</v>
      </c>
      <c r="AG352">
        <v>0</v>
      </c>
      <c r="AH352">
        <v>0</v>
      </c>
      <c r="AI352">
        <v>0</v>
      </c>
      <c r="AJ352">
        <v>0</v>
      </c>
      <c r="AK352">
        <v>0</v>
      </c>
      <c r="AL352" t="s">
        <v>216</v>
      </c>
      <c r="AM352">
        <v>0</v>
      </c>
    </row>
    <row r="353" spans="2:39">
      <c r="B353">
        <v>346</v>
      </c>
      <c r="C353" t="s">
        <v>27</v>
      </c>
      <c r="D353" t="s">
        <v>67</v>
      </c>
      <c r="E353" t="s">
        <v>211</v>
      </c>
      <c r="H353" t="s">
        <v>96</v>
      </c>
      <c r="I353" t="s">
        <v>29</v>
      </c>
      <c r="M353" s="29">
        <v>0</v>
      </c>
      <c r="N353" s="29"/>
      <c r="O353" s="29">
        <f>Table2[[#This Row],[Hot water demand (MWh)]]+Table2[[#This Row],[Space heating demand (MWh)]]</f>
        <v>0</v>
      </c>
      <c r="P353" s="29">
        <v>0</v>
      </c>
      <c r="Q353" s="29">
        <v>0</v>
      </c>
      <c r="S353" s="17">
        <v>0</v>
      </c>
      <c r="T353" s="29">
        <v>0</v>
      </c>
      <c r="V353" s="29">
        <v>0</v>
      </c>
      <c r="X353" s="29">
        <v>0</v>
      </c>
      <c r="Y353" s="29">
        <v>0</v>
      </c>
      <c r="AF353">
        <v>0</v>
      </c>
      <c r="AG353">
        <v>0</v>
      </c>
      <c r="AH353">
        <v>0</v>
      </c>
      <c r="AI353">
        <v>0</v>
      </c>
      <c r="AJ353">
        <v>0</v>
      </c>
      <c r="AK353">
        <v>0</v>
      </c>
      <c r="AL353" t="s">
        <v>212</v>
      </c>
      <c r="AM353">
        <v>0</v>
      </c>
    </row>
    <row r="354" spans="2:39">
      <c r="B354">
        <v>347</v>
      </c>
      <c r="C354" t="s">
        <v>27</v>
      </c>
      <c r="D354" t="s">
        <v>67</v>
      </c>
      <c r="E354" t="s">
        <v>211</v>
      </c>
      <c r="H354" t="s">
        <v>97</v>
      </c>
      <c r="I354" t="s">
        <v>29</v>
      </c>
      <c r="M354" s="29">
        <v>0</v>
      </c>
      <c r="N354" s="29"/>
      <c r="O354" s="29">
        <f>Table2[[#This Row],[Hot water demand (MWh)]]+Table2[[#This Row],[Space heating demand (MWh)]]</f>
        <v>0</v>
      </c>
      <c r="P354" s="29">
        <v>0</v>
      </c>
      <c r="Q354" s="29">
        <v>0</v>
      </c>
      <c r="S354" s="17">
        <v>0</v>
      </c>
      <c r="T354" s="29">
        <v>0</v>
      </c>
      <c r="V354" s="29">
        <v>0</v>
      </c>
      <c r="X354" s="29">
        <v>0</v>
      </c>
      <c r="Y354" s="29">
        <v>0</v>
      </c>
      <c r="AF354">
        <v>0</v>
      </c>
      <c r="AG354">
        <v>0</v>
      </c>
      <c r="AH354">
        <v>0</v>
      </c>
      <c r="AI354">
        <v>0</v>
      </c>
      <c r="AJ354">
        <v>0</v>
      </c>
      <c r="AK354">
        <v>0</v>
      </c>
      <c r="AL354" t="s">
        <v>213</v>
      </c>
      <c r="AM354">
        <v>0</v>
      </c>
    </row>
    <row r="355" spans="2:39">
      <c r="B355">
        <v>348</v>
      </c>
      <c r="C355" t="s">
        <v>27</v>
      </c>
      <c r="D355" t="s">
        <v>67</v>
      </c>
      <c r="E355" t="s">
        <v>211</v>
      </c>
      <c r="H355" t="s">
        <v>102</v>
      </c>
      <c r="I355" t="s">
        <v>29</v>
      </c>
      <c r="M355" s="29">
        <v>0</v>
      </c>
      <c r="N355" s="29"/>
      <c r="O355" s="29">
        <f>Table2[[#This Row],[Hot water demand (MWh)]]+Table2[[#This Row],[Space heating demand (MWh)]]</f>
        <v>0</v>
      </c>
      <c r="P355" s="29">
        <v>0</v>
      </c>
      <c r="Q355" s="29">
        <v>0</v>
      </c>
      <c r="S355" s="17">
        <v>0</v>
      </c>
      <c r="T355" s="29">
        <v>0</v>
      </c>
      <c r="V355" s="29">
        <v>0</v>
      </c>
      <c r="X355" s="29">
        <v>0</v>
      </c>
      <c r="Y355" s="29">
        <v>0</v>
      </c>
      <c r="AF355">
        <v>0</v>
      </c>
      <c r="AG355">
        <v>0</v>
      </c>
      <c r="AH355">
        <v>0</v>
      </c>
      <c r="AI355">
        <v>0</v>
      </c>
      <c r="AJ355">
        <v>0</v>
      </c>
      <c r="AK355">
        <v>0</v>
      </c>
      <c r="AL355" t="s">
        <v>218</v>
      </c>
      <c r="AM355">
        <v>0</v>
      </c>
    </row>
    <row r="356" spans="2:39">
      <c r="B356">
        <v>349</v>
      </c>
      <c r="C356" t="s">
        <v>27</v>
      </c>
      <c r="D356" t="s">
        <v>67</v>
      </c>
      <c r="E356" t="s">
        <v>211</v>
      </c>
      <c r="H356" t="s">
        <v>98</v>
      </c>
      <c r="I356" t="s">
        <v>29</v>
      </c>
      <c r="M356" s="29">
        <v>0</v>
      </c>
      <c r="N356" s="29"/>
      <c r="O356" s="29">
        <f>Table2[[#This Row],[Hot water demand (MWh)]]+Table2[[#This Row],[Space heating demand (MWh)]]</f>
        <v>0</v>
      </c>
      <c r="P356" s="29">
        <v>0</v>
      </c>
      <c r="Q356" s="29">
        <v>0</v>
      </c>
      <c r="S356" s="17">
        <v>0</v>
      </c>
      <c r="T356" s="29">
        <v>0</v>
      </c>
      <c r="V356" s="29">
        <v>0</v>
      </c>
      <c r="X356" s="29">
        <v>0</v>
      </c>
      <c r="Y356" s="29">
        <v>0</v>
      </c>
      <c r="AF356">
        <v>0</v>
      </c>
      <c r="AG356">
        <v>0</v>
      </c>
      <c r="AH356">
        <v>0</v>
      </c>
      <c r="AI356">
        <v>0</v>
      </c>
      <c r="AJ356">
        <v>0</v>
      </c>
      <c r="AK356">
        <v>0</v>
      </c>
      <c r="AL356" t="s">
        <v>214</v>
      </c>
      <c r="AM356">
        <v>0</v>
      </c>
    </row>
    <row r="357" spans="2:39">
      <c r="B357">
        <v>350</v>
      </c>
      <c r="C357" t="s">
        <v>27</v>
      </c>
      <c r="D357" t="s">
        <v>67</v>
      </c>
      <c r="E357" t="s">
        <v>211</v>
      </c>
      <c r="H357" t="s">
        <v>100</v>
      </c>
      <c r="I357" t="s">
        <v>29</v>
      </c>
      <c r="M357" s="29">
        <v>0</v>
      </c>
      <c r="N357" s="29"/>
      <c r="O357" s="29">
        <f>Table2[[#This Row],[Hot water demand (MWh)]]+Table2[[#This Row],[Space heating demand (MWh)]]</f>
        <v>0</v>
      </c>
      <c r="P357" s="29">
        <v>0</v>
      </c>
      <c r="Q357" s="29">
        <v>0</v>
      </c>
      <c r="S357" s="17">
        <v>0</v>
      </c>
      <c r="T357" s="29">
        <v>0</v>
      </c>
      <c r="V357" s="29">
        <v>0</v>
      </c>
      <c r="X357" s="29">
        <v>0</v>
      </c>
      <c r="Y357" s="29">
        <v>0</v>
      </c>
      <c r="AF357">
        <v>0</v>
      </c>
      <c r="AG357">
        <v>0</v>
      </c>
      <c r="AH357">
        <v>0</v>
      </c>
      <c r="AI357">
        <v>0</v>
      </c>
      <c r="AJ357">
        <v>0</v>
      </c>
      <c r="AK357">
        <v>0</v>
      </c>
      <c r="AL357" t="s">
        <v>216</v>
      </c>
      <c r="AM357">
        <v>0</v>
      </c>
    </row>
    <row r="358" spans="2:39">
      <c r="B358">
        <v>351</v>
      </c>
      <c r="C358" t="s">
        <v>27</v>
      </c>
      <c r="D358" t="s">
        <v>59</v>
      </c>
      <c r="E358" t="s">
        <v>211</v>
      </c>
      <c r="H358" t="s">
        <v>110</v>
      </c>
      <c r="I358" t="s">
        <v>28</v>
      </c>
      <c r="M358" s="29">
        <v>0</v>
      </c>
      <c r="N358" s="29"/>
      <c r="O358" s="29">
        <f>Table2[[#This Row],[Hot water demand (MWh)]]+Table2[[#This Row],[Space heating demand (MWh)]]</f>
        <v>0</v>
      </c>
      <c r="P358" s="29">
        <v>0</v>
      </c>
      <c r="Q358" s="29">
        <v>0</v>
      </c>
      <c r="S358" s="17">
        <v>0</v>
      </c>
      <c r="T358" s="29">
        <v>0</v>
      </c>
      <c r="V358" s="29">
        <v>0</v>
      </c>
      <c r="X358" s="29">
        <v>0</v>
      </c>
      <c r="Y358" s="29">
        <v>0</v>
      </c>
      <c r="AF358">
        <v>0</v>
      </c>
      <c r="AG358">
        <v>0</v>
      </c>
      <c r="AH358">
        <v>0</v>
      </c>
      <c r="AI358">
        <v>0</v>
      </c>
      <c r="AJ358">
        <v>0</v>
      </c>
      <c r="AK358">
        <v>0</v>
      </c>
      <c r="AL358" t="s">
        <v>212</v>
      </c>
      <c r="AM358">
        <v>0</v>
      </c>
    </row>
    <row r="359" spans="2:39">
      <c r="B359">
        <v>352</v>
      </c>
      <c r="C359" t="s">
        <v>27</v>
      </c>
      <c r="D359" t="s">
        <v>59</v>
      </c>
      <c r="E359" t="s">
        <v>211</v>
      </c>
      <c r="H359" t="s">
        <v>111</v>
      </c>
      <c r="I359" t="s">
        <v>28</v>
      </c>
      <c r="M359" s="29">
        <v>0</v>
      </c>
      <c r="N359" s="29"/>
      <c r="O359" s="29">
        <f>Table2[[#This Row],[Hot water demand (MWh)]]+Table2[[#This Row],[Space heating demand (MWh)]]</f>
        <v>0</v>
      </c>
      <c r="P359" s="29">
        <v>0</v>
      </c>
      <c r="Q359" s="29">
        <v>0</v>
      </c>
      <c r="S359" s="17">
        <v>0</v>
      </c>
      <c r="T359" s="29">
        <v>0</v>
      </c>
      <c r="V359" s="29">
        <v>0</v>
      </c>
      <c r="X359" s="29">
        <v>0</v>
      </c>
      <c r="Y359" s="29">
        <v>0</v>
      </c>
      <c r="AF359">
        <v>0</v>
      </c>
      <c r="AG359">
        <v>0</v>
      </c>
      <c r="AH359">
        <v>0</v>
      </c>
      <c r="AI359">
        <v>0</v>
      </c>
      <c r="AJ359">
        <v>0</v>
      </c>
      <c r="AK359">
        <v>0</v>
      </c>
      <c r="AL359" t="s">
        <v>213</v>
      </c>
      <c r="AM359">
        <v>0</v>
      </c>
    </row>
    <row r="360" spans="2:39">
      <c r="B360">
        <v>353</v>
      </c>
      <c r="C360" t="s">
        <v>27</v>
      </c>
      <c r="D360" t="s">
        <v>59</v>
      </c>
      <c r="E360" t="s">
        <v>211</v>
      </c>
      <c r="H360" t="s">
        <v>112</v>
      </c>
      <c r="I360" t="s">
        <v>28</v>
      </c>
      <c r="M360" s="29">
        <v>0</v>
      </c>
      <c r="N360" s="29"/>
      <c r="O360" s="29">
        <f>Table2[[#This Row],[Hot water demand (MWh)]]+Table2[[#This Row],[Space heating demand (MWh)]]</f>
        <v>0</v>
      </c>
      <c r="P360" s="29">
        <v>0</v>
      </c>
      <c r="Q360" s="29">
        <v>0</v>
      </c>
      <c r="S360" s="17">
        <v>0</v>
      </c>
      <c r="T360" s="29">
        <v>0</v>
      </c>
      <c r="V360" s="29">
        <v>0</v>
      </c>
      <c r="X360" s="29">
        <v>0</v>
      </c>
      <c r="Y360" s="29">
        <v>0</v>
      </c>
      <c r="AF360">
        <v>0</v>
      </c>
      <c r="AG360">
        <v>0</v>
      </c>
      <c r="AH360">
        <v>0</v>
      </c>
      <c r="AI360">
        <v>0</v>
      </c>
      <c r="AJ360">
        <v>0</v>
      </c>
      <c r="AK360">
        <v>0</v>
      </c>
      <c r="AL360" t="s">
        <v>214</v>
      </c>
      <c r="AM360">
        <v>0</v>
      </c>
    </row>
    <row r="361" spans="2:39">
      <c r="B361">
        <v>354</v>
      </c>
      <c r="C361" t="s">
        <v>27</v>
      </c>
      <c r="D361" t="s">
        <v>60</v>
      </c>
      <c r="E361" t="s">
        <v>211</v>
      </c>
      <c r="H361" t="s">
        <v>113</v>
      </c>
      <c r="I361" t="s">
        <v>28</v>
      </c>
      <c r="M361" s="29">
        <v>0</v>
      </c>
      <c r="N361" s="29"/>
      <c r="O361" s="29">
        <f>Table2[[#This Row],[Hot water demand (MWh)]]+Table2[[#This Row],[Space heating demand (MWh)]]</f>
        <v>0</v>
      </c>
      <c r="P361" s="29">
        <v>0</v>
      </c>
      <c r="Q361" s="29">
        <v>0</v>
      </c>
      <c r="S361" s="17">
        <v>0</v>
      </c>
      <c r="T361" s="29">
        <v>0</v>
      </c>
      <c r="V361" s="29">
        <v>0</v>
      </c>
      <c r="X361" s="29">
        <v>0</v>
      </c>
      <c r="Y361" s="29">
        <v>0</v>
      </c>
      <c r="AF361">
        <v>0</v>
      </c>
      <c r="AG361">
        <v>0</v>
      </c>
      <c r="AH361">
        <v>0</v>
      </c>
      <c r="AI361">
        <v>0</v>
      </c>
      <c r="AJ361">
        <v>0</v>
      </c>
      <c r="AK361">
        <v>0</v>
      </c>
      <c r="AL361" t="s">
        <v>215</v>
      </c>
      <c r="AM361">
        <v>0</v>
      </c>
    </row>
    <row r="362" spans="2:39">
      <c r="B362">
        <v>355</v>
      </c>
      <c r="C362" t="s">
        <v>27</v>
      </c>
      <c r="D362" t="s">
        <v>60</v>
      </c>
      <c r="E362" t="s">
        <v>211</v>
      </c>
      <c r="H362" t="s">
        <v>112</v>
      </c>
      <c r="I362" t="s">
        <v>28</v>
      </c>
      <c r="M362" s="29">
        <v>0</v>
      </c>
      <c r="N362" s="29"/>
      <c r="O362" s="29">
        <f>Table2[[#This Row],[Hot water demand (MWh)]]+Table2[[#This Row],[Space heating demand (MWh)]]</f>
        <v>0</v>
      </c>
      <c r="P362" s="29">
        <v>0</v>
      </c>
      <c r="Q362" s="29">
        <v>0</v>
      </c>
      <c r="S362" s="17">
        <v>0</v>
      </c>
      <c r="T362" s="29">
        <v>0</v>
      </c>
      <c r="V362" s="29">
        <v>0</v>
      </c>
      <c r="X362" s="29">
        <v>0</v>
      </c>
      <c r="Y362" s="29">
        <v>0</v>
      </c>
      <c r="AF362">
        <v>0</v>
      </c>
      <c r="AG362">
        <v>0</v>
      </c>
      <c r="AH362">
        <v>0</v>
      </c>
      <c r="AI362">
        <v>0</v>
      </c>
      <c r="AJ362">
        <v>0</v>
      </c>
      <c r="AK362">
        <v>0</v>
      </c>
      <c r="AL362" t="s">
        <v>214</v>
      </c>
      <c r="AM362">
        <v>0</v>
      </c>
    </row>
    <row r="363" spans="2:39">
      <c r="B363">
        <v>356</v>
      </c>
      <c r="C363" t="s">
        <v>27</v>
      </c>
      <c r="D363" t="s">
        <v>60</v>
      </c>
      <c r="E363" t="s">
        <v>211</v>
      </c>
      <c r="H363" t="s">
        <v>114</v>
      </c>
      <c r="I363" t="s">
        <v>28</v>
      </c>
      <c r="M363" s="29">
        <v>0</v>
      </c>
      <c r="N363" s="29"/>
      <c r="O363" s="29">
        <f>Table2[[#This Row],[Hot water demand (MWh)]]+Table2[[#This Row],[Space heating demand (MWh)]]</f>
        <v>0</v>
      </c>
      <c r="P363" s="29">
        <v>0</v>
      </c>
      <c r="Q363" s="29">
        <v>0</v>
      </c>
      <c r="S363" s="17">
        <v>0</v>
      </c>
      <c r="T363" s="29">
        <v>0</v>
      </c>
      <c r="V363" s="29">
        <v>0</v>
      </c>
      <c r="X363" s="29">
        <v>0</v>
      </c>
      <c r="Y363" s="29">
        <v>0</v>
      </c>
      <c r="AF363">
        <v>0</v>
      </c>
      <c r="AG363">
        <v>0</v>
      </c>
      <c r="AH363">
        <v>0</v>
      </c>
      <c r="AI363">
        <v>0</v>
      </c>
      <c r="AJ363">
        <v>0</v>
      </c>
      <c r="AK363">
        <v>0</v>
      </c>
      <c r="AL363" t="s">
        <v>216</v>
      </c>
      <c r="AM363">
        <v>0</v>
      </c>
    </row>
    <row r="364" spans="2:39">
      <c r="B364">
        <v>357</v>
      </c>
      <c r="C364" t="s">
        <v>27</v>
      </c>
      <c r="D364" t="s">
        <v>61</v>
      </c>
      <c r="E364" t="s">
        <v>211</v>
      </c>
      <c r="H364" t="s">
        <v>110</v>
      </c>
      <c r="I364" t="s">
        <v>28</v>
      </c>
      <c r="M364" s="29">
        <v>0</v>
      </c>
      <c r="N364" s="29"/>
      <c r="O364" s="29">
        <f>Table2[[#This Row],[Hot water demand (MWh)]]+Table2[[#This Row],[Space heating demand (MWh)]]</f>
        <v>0</v>
      </c>
      <c r="P364" s="29">
        <v>0</v>
      </c>
      <c r="Q364" s="29">
        <v>0</v>
      </c>
      <c r="S364" s="17">
        <v>0</v>
      </c>
      <c r="T364" s="29">
        <v>0</v>
      </c>
      <c r="V364" s="29">
        <v>0</v>
      </c>
      <c r="X364" s="29">
        <v>0</v>
      </c>
      <c r="Y364" s="29">
        <v>0</v>
      </c>
      <c r="AF364">
        <v>0</v>
      </c>
      <c r="AG364">
        <v>0</v>
      </c>
      <c r="AH364">
        <v>0</v>
      </c>
      <c r="AI364">
        <v>0</v>
      </c>
      <c r="AJ364">
        <v>0</v>
      </c>
      <c r="AK364">
        <v>0</v>
      </c>
      <c r="AL364" t="s">
        <v>212</v>
      </c>
      <c r="AM364">
        <v>0</v>
      </c>
    </row>
    <row r="365" spans="2:39">
      <c r="B365">
        <v>358</v>
      </c>
      <c r="C365" t="s">
        <v>27</v>
      </c>
      <c r="D365" t="s">
        <v>61</v>
      </c>
      <c r="E365" t="s">
        <v>211</v>
      </c>
      <c r="H365" t="s">
        <v>111</v>
      </c>
      <c r="I365" t="s">
        <v>28</v>
      </c>
      <c r="M365" s="29">
        <v>0</v>
      </c>
      <c r="N365" s="29"/>
      <c r="O365" s="29">
        <f>Table2[[#This Row],[Hot water demand (MWh)]]+Table2[[#This Row],[Space heating demand (MWh)]]</f>
        <v>0</v>
      </c>
      <c r="P365" s="29">
        <v>0</v>
      </c>
      <c r="Q365" s="29">
        <v>0</v>
      </c>
      <c r="S365" s="17">
        <v>0</v>
      </c>
      <c r="T365" s="29">
        <v>0</v>
      </c>
      <c r="V365" s="29">
        <v>0</v>
      </c>
      <c r="X365" s="29">
        <v>0</v>
      </c>
      <c r="Y365" s="29">
        <v>0</v>
      </c>
      <c r="AF365">
        <v>0</v>
      </c>
      <c r="AG365">
        <v>0</v>
      </c>
      <c r="AH365">
        <v>0</v>
      </c>
      <c r="AI365">
        <v>0</v>
      </c>
      <c r="AJ365">
        <v>0</v>
      </c>
      <c r="AK365">
        <v>0</v>
      </c>
      <c r="AL365" t="s">
        <v>213</v>
      </c>
      <c r="AM365">
        <v>0</v>
      </c>
    </row>
    <row r="366" spans="2:39">
      <c r="B366">
        <v>359</v>
      </c>
      <c r="C366" t="s">
        <v>27</v>
      </c>
      <c r="D366" t="s">
        <v>61</v>
      </c>
      <c r="E366" t="s">
        <v>211</v>
      </c>
      <c r="H366" t="s">
        <v>112</v>
      </c>
      <c r="I366" t="s">
        <v>28</v>
      </c>
      <c r="M366" s="29">
        <v>0</v>
      </c>
      <c r="N366" s="29"/>
      <c r="O366" s="29">
        <f>Table2[[#This Row],[Hot water demand (MWh)]]+Table2[[#This Row],[Space heating demand (MWh)]]</f>
        <v>0</v>
      </c>
      <c r="P366" s="29">
        <v>0</v>
      </c>
      <c r="Q366" s="29">
        <v>0</v>
      </c>
      <c r="S366" s="17">
        <v>0</v>
      </c>
      <c r="T366" s="29">
        <v>0</v>
      </c>
      <c r="V366" s="29">
        <v>0</v>
      </c>
      <c r="X366" s="29">
        <v>0</v>
      </c>
      <c r="Y366" s="29">
        <v>0</v>
      </c>
      <c r="AF366">
        <v>0</v>
      </c>
      <c r="AG366">
        <v>0</v>
      </c>
      <c r="AH366">
        <v>0</v>
      </c>
      <c r="AI366">
        <v>0</v>
      </c>
      <c r="AJ366">
        <v>0</v>
      </c>
      <c r="AK366">
        <v>0</v>
      </c>
      <c r="AL366" t="s">
        <v>214</v>
      </c>
      <c r="AM366">
        <v>0</v>
      </c>
    </row>
    <row r="367" spans="2:39">
      <c r="B367">
        <v>360</v>
      </c>
      <c r="C367" t="s">
        <v>27</v>
      </c>
      <c r="D367" t="s">
        <v>62</v>
      </c>
      <c r="E367" t="s">
        <v>211</v>
      </c>
      <c r="H367" t="s">
        <v>110</v>
      </c>
      <c r="I367" t="s">
        <v>28</v>
      </c>
      <c r="M367" s="29">
        <v>60532.217858898985</v>
      </c>
      <c r="N367" s="29"/>
      <c r="O367" s="29">
        <f>Table2[[#This Row],[Hot water demand (MWh)]]+Table2[[#This Row],[Space heating demand (MWh)]]</f>
        <v>60532.217858898985</v>
      </c>
      <c r="P367" s="29">
        <v>13594.059587070991</v>
      </c>
      <c r="Q367" s="29">
        <v>137.3137332027373</v>
      </c>
      <c r="S367" s="17">
        <v>5.8031442736452767</v>
      </c>
      <c r="T367" s="29">
        <v>65795.888977064111</v>
      </c>
      <c r="V367" s="29">
        <v>65795.888977064111</v>
      </c>
      <c r="X367" s="29">
        <v>137.3137332027373</v>
      </c>
      <c r="Y367" s="29">
        <v>13594.059587070991</v>
      </c>
      <c r="AF367">
        <v>1.1606288547290555</v>
      </c>
      <c r="AG367">
        <v>60532.217858898985</v>
      </c>
      <c r="AH367">
        <v>0</v>
      </c>
      <c r="AI367">
        <v>0</v>
      </c>
      <c r="AJ367">
        <v>60532.217858898985</v>
      </c>
      <c r="AK367">
        <v>0</v>
      </c>
      <c r="AL367" t="s">
        <v>212</v>
      </c>
      <c r="AM367">
        <v>13731.373320273729</v>
      </c>
    </row>
    <row r="368" spans="2:39">
      <c r="B368">
        <v>361</v>
      </c>
      <c r="C368" t="s">
        <v>27</v>
      </c>
      <c r="D368" t="s">
        <v>62</v>
      </c>
      <c r="E368" t="s">
        <v>211</v>
      </c>
      <c r="H368" t="s">
        <v>114</v>
      </c>
      <c r="I368" t="s">
        <v>28</v>
      </c>
      <c r="M368" s="29">
        <v>90798.32678834848</v>
      </c>
      <c r="N368" s="29"/>
      <c r="O368" s="29">
        <f>Table2[[#This Row],[Hot water demand (MWh)]]+Table2[[#This Row],[Space heating demand (MWh)]]</f>
        <v>90798.32678834848</v>
      </c>
      <c r="P368" s="29">
        <v>20391.089380606489</v>
      </c>
      <c r="Q368" s="29">
        <v>205.97059980410594</v>
      </c>
      <c r="S368" s="17">
        <v>5.8031442736452767</v>
      </c>
      <c r="T368" s="29">
        <v>98693.833465596166</v>
      </c>
      <c r="V368" s="29">
        <v>98693.833465596166</v>
      </c>
      <c r="X368" s="29">
        <v>205.97059980410594</v>
      </c>
      <c r="Y368" s="29">
        <v>20391.089380606489</v>
      </c>
      <c r="AF368">
        <v>1.7409432820935828</v>
      </c>
      <c r="AG368">
        <v>90798.32678834848</v>
      </c>
      <c r="AH368">
        <v>0</v>
      </c>
      <c r="AI368">
        <v>0</v>
      </c>
      <c r="AJ368">
        <v>90798.32678834848</v>
      </c>
      <c r="AK368">
        <v>0</v>
      </c>
      <c r="AL368" t="s">
        <v>216</v>
      </c>
      <c r="AM368">
        <v>20597.059980410595</v>
      </c>
    </row>
    <row r="369" spans="2:39">
      <c r="B369">
        <v>362</v>
      </c>
      <c r="C369" t="s">
        <v>27</v>
      </c>
      <c r="D369" t="s">
        <v>63</v>
      </c>
      <c r="E369" t="s">
        <v>211</v>
      </c>
      <c r="H369" t="s">
        <v>115</v>
      </c>
      <c r="I369" t="s">
        <v>28</v>
      </c>
      <c r="M369" s="29">
        <v>0</v>
      </c>
      <c r="N369" s="29"/>
      <c r="O369" s="29">
        <f>Table2[[#This Row],[Hot water demand (MWh)]]+Table2[[#This Row],[Space heating demand (MWh)]]</f>
        <v>0</v>
      </c>
      <c r="P369" s="29">
        <v>0</v>
      </c>
      <c r="Q369" s="29">
        <v>0</v>
      </c>
      <c r="S369" s="17">
        <v>0</v>
      </c>
      <c r="T369" s="29">
        <v>0</v>
      </c>
      <c r="V369" s="29">
        <v>0</v>
      </c>
      <c r="X369" s="29">
        <v>0</v>
      </c>
      <c r="Y369" s="29">
        <v>0</v>
      </c>
      <c r="AF369">
        <v>0</v>
      </c>
      <c r="AG369">
        <v>0</v>
      </c>
      <c r="AH369">
        <v>0</v>
      </c>
      <c r="AI369">
        <v>0</v>
      </c>
      <c r="AJ369">
        <v>0</v>
      </c>
      <c r="AK369">
        <v>0</v>
      </c>
      <c r="AL369" t="s">
        <v>217</v>
      </c>
      <c r="AM369">
        <v>0</v>
      </c>
    </row>
    <row r="370" spans="2:39">
      <c r="B370">
        <v>363</v>
      </c>
      <c r="C370" t="s">
        <v>27</v>
      </c>
      <c r="D370" t="s">
        <v>63</v>
      </c>
      <c r="E370" t="s">
        <v>211</v>
      </c>
      <c r="H370" t="s">
        <v>110</v>
      </c>
      <c r="I370" t="s">
        <v>28</v>
      </c>
      <c r="M370" s="29">
        <v>0</v>
      </c>
      <c r="N370" s="29"/>
      <c r="O370" s="29">
        <f>Table2[[#This Row],[Hot water demand (MWh)]]+Table2[[#This Row],[Space heating demand (MWh)]]</f>
        <v>0</v>
      </c>
      <c r="P370" s="29">
        <v>0</v>
      </c>
      <c r="Q370" s="29">
        <v>0</v>
      </c>
      <c r="S370" s="17">
        <v>0</v>
      </c>
      <c r="T370" s="29">
        <v>0</v>
      </c>
      <c r="V370" s="29">
        <v>0</v>
      </c>
      <c r="X370" s="29">
        <v>0</v>
      </c>
      <c r="Y370" s="29">
        <v>0</v>
      </c>
      <c r="AF370">
        <v>0</v>
      </c>
      <c r="AG370">
        <v>0</v>
      </c>
      <c r="AH370">
        <v>0</v>
      </c>
      <c r="AI370">
        <v>0</v>
      </c>
      <c r="AJ370">
        <v>0</v>
      </c>
      <c r="AK370">
        <v>0</v>
      </c>
      <c r="AL370" t="s">
        <v>212</v>
      </c>
      <c r="AM370">
        <v>0</v>
      </c>
    </row>
    <row r="371" spans="2:39">
      <c r="B371">
        <v>364</v>
      </c>
      <c r="C371" t="s">
        <v>27</v>
      </c>
      <c r="D371" t="s">
        <v>63</v>
      </c>
      <c r="E371" t="s">
        <v>211</v>
      </c>
      <c r="H371" t="s">
        <v>114</v>
      </c>
      <c r="I371" t="s">
        <v>28</v>
      </c>
      <c r="M371" s="29">
        <v>0</v>
      </c>
      <c r="N371" s="29"/>
      <c r="O371" s="29">
        <f>Table2[[#This Row],[Hot water demand (MWh)]]+Table2[[#This Row],[Space heating demand (MWh)]]</f>
        <v>0</v>
      </c>
      <c r="P371" s="29">
        <v>0</v>
      </c>
      <c r="Q371" s="29">
        <v>0</v>
      </c>
      <c r="S371" s="17">
        <v>0</v>
      </c>
      <c r="T371" s="29">
        <v>0</v>
      </c>
      <c r="V371" s="29">
        <v>0</v>
      </c>
      <c r="X371" s="29">
        <v>0</v>
      </c>
      <c r="Y371" s="29">
        <v>0</v>
      </c>
      <c r="AF371">
        <v>0</v>
      </c>
      <c r="AG371">
        <v>0</v>
      </c>
      <c r="AH371">
        <v>0</v>
      </c>
      <c r="AI371">
        <v>0</v>
      </c>
      <c r="AJ371">
        <v>0</v>
      </c>
      <c r="AK371">
        <v>0</v>
      </c>
      <c r="AL371" t="s">
        <v>216</v>
      </c>
      <c r="AM371">
        <v>0</v>
      </c>
    </row>
    <row r="372" spans="2:39">
      <c r="B372">
        <v>365</v>
      </c>
      <c r="C372" t="s">
        <v>27</v>
      </c>
      <c r="D372" t="s">
        <v>64</v>
      </c>
      <c r="E372" t="s">
        <v>211</v>
      </c>
      <c r="H372" t="s">
        <v>110</v>
      </c>
      <c r="I372" t="s">
        <v>28</v>
      </c>
      <c r="M372" s="29">
        <v>25336.63402326277</v>
      </c>
      <c r="N372" s="29"/>
      <c r="O372" s="29">
        <f>Table2[[#This Row],[Hot water demand (MWh)]]+Table2[[#This Row],[Space heating demand (MWh)]]</f>
        <v>25336.63402326277</v>
      </c>
      <c r="P372" s="29">
        <v>4431.3629426572097</v>
      </c>
      <c r="Q372" s="29">
        <v>2672.2009286600437</v>
      </c>
      <c r="S372" s="17">
        <v>2.1769286405903774</v>
      </c>
      <c r="T372" s="29">
        <v>27539.819590503008</v>
      </c>
      <c r="V372" s="29">
        <v>27539.819590503008</v>
      </c>
      <c r="X372" s="29">
        <v>2672.2009286600437</v>
      </c>
      <c r="Y372" s="29">
        <v>4431.3629426572097</v>
      </c>
      <c r="AF372">
        <v>0.43538572811807541</v>
      </c>
      <c r="AG372">
        <v>25336.63402326277</v>
      </c>
      <c r="AH372">
        <v>0</v>
      </c>
      <c r="AI372">
        <v>2533.6634023262773</v>
      </c>
      <c r="AJ372">
        <v>15201.980413957661</v>
      </c>
      <c r="AK372">
        <v>7600.9902069788304</v>
      </c>
      <c r="AL372" t="s">
        <v>212</v>
      </c>
      <c r="AM372">
        <v>9897.0404765186795</v>
      </c>
    </row>
    <row r="373" spans="2:39">
      <c r="B373">
        <v>366</v>
      </c>
      <c r="C373" t="s">
        <v>27</v>
      </c>
      <c r="D373" t="s">
        <v>64</v>
      </c>
      <c r="E373" t="s">
        <v>211</v>
      </c>
      <c r="H373" t="s">
        <v>111</v>
      </c>
      <c r="I373" t="s">
        <v>28</v>
      </c>
      <c r="M373" s="29">
        <v>30982.297039315887</v>
      </c>
      <c r="N373" s="29"/>
      <c r="O373" s="29">
        <f>Table2[[#This Row],[Hot water demand (MWh)]]+Table2[[#This Row],[Space heating demand (MWh)]]</f>
        <v>30982.297039315887</v>
      </c>
      <c r="P373" s="29">
        <v>9970.5666209787232</v>
      </c>
      <c r="Q373" s="29">
        <v>6012.4520894850966</v>
      </c>
      <c r="S373" s="17">
        <v>1.0884643202951887</v>
      </c>
      <c r="T373" s="29">
        <v>61964.594078631773</v>
      </c>
      <c r="V373" s="29">
        <v>61964.594078631773</v>
      </c>
      <c r="X373" s="29">
        <v>6012.4520894850966</v>
      </c>
      <c r="Y373" s="29">
        <v>9970.5666209787232</v>
      </c>
      <c r="AF373">
        <v>0.48980894413283493</v>
      </c>
      <c r="AG373">
        <v>30982.297039315887</v>
      </c>
      <c r="AH373">
        <v>0</v>
      </c>
      <c r="AI373">
        <v>0</v>
      </c>
      <c r="AJ373">
        <v>30982.297039315887</v>
      </c>
      <c r="AK373">
        <v>0</v>
      </c>
      <c r="AL373" t="s">
        <v>213</v>
      </c>
      <c r="AM373">
        <v>22268.341072167023</v>
      </c>
    </row>
    <row r="374" spans="2:39">
      <c r="B374">
        <v>367</v>
      </c>
      <c r="C374" t="s">
        <v>27</v>
      </c>
      <c r="D374" t="s">
        <v>64</v>
      </c>
      <c r="E374" t="s">
        <v>211</v>
      </c>
      <c r="H374" t="s">
        <v>116</v>
      </c>
      <c r="I374" t="s">
        <v>28</v>
      </c>
      <c r="M374" s="29">
        <v>25336.63402326277</v>
      </c>
      <c r="N374" s="29"/>
      <c r="O374" s="29">
        <f>Table2[[#This Row],[Hot water demand (MWh)]]+Table2[[#This Row],[Space heating demand (MWh)]]</f>
        <v>25336.63402326277</v>
      </c>
      <c r="P374" s="29">
        <v>4431.3629426572097</v>
      </c>
      <c r="Q374" s="29">
        <v>2672.2009286600437</v>
      </c>
      <c r="S374" s="17">
        <v>0.54423216014759435</v>
      </c>
      <c r="T374" s="29">
        <v>27539.819590503008</v>
      </c>
      <c r="V374" s="29">
        <v>27539.819590503008</v>
      </c>
      <c r="X374" s="29">
        <v>2672.2009286600437</v>
      </c>
      <c r="Y374" s="29">
        <v>4431.3629426572097</v>
      </c>
      <c r="AF374">
        <v>0.10884643202951885</v>
      </c>
      <c r="AG374">
        <v>25336.63402326277</v>
      </c>
      <c r="AH374">
        <v>0</v>
      </c>
      <c r="AI374">
        <v>25336.63402326277</v>
      </c>
      <c r="AJ374">
        <v>0</v>
      </c>
      <c r="AK374">
        <v>0</v>
      </c>
      <c r="AL374" t="s">
        <v>218</v>
      </c>
      <c r="AM374">
        <v>9897.0404765186795</v>
      </c>
    </row>
    <row r="375" spans="2:39">
      <c r="B375">
        <v>368</v>
      </c>
      <c r="C375" t="s">
        <v>27</v>
      </c>
      <c r="D375" t="s">
        <v>64</v>
      </c>
      <c r="E375" t="s">
        <v>211</v>
      </c>
      <c r="H375" t="s">
        <v>114</v>
      </c>
      <c r="I375" t="s">
        <v>28</v>
      </c>
      <c r="M375" s="29">
        <v>12668.317011631385</v>
      </c>
      <c r="N375" s="29"/>
      <c r="O375" s="29">
        <f>Table2[[#This Row],[Hot water demand (MWh)]]+Table2[[#This Row],[Space heating demand (MWh)]]</f>
        <v>12668.317011631385</v>
      </c>
      <c r="P375" s="29">
        <v>2215.6814713286049</v>
      </c>
      <c r="Q375" s="29">
        <v>1336.1004643300219</v>
      </c>
      <c r="S375" s="17">
        <v>0.54423216014759435</v>
      </c>
      <c r="T375" s="29">
        <v>13769.909795251504</v>
      </c>
      <c r="V375" s="29">
        <v>13769.909795251504</v>
      </c>
      <c r="X375" s="29">
        <v>1336.1004643300219</v>
      </c>
      <c r="Y375" s="29">
        <v>2215.6814713286049</v>
      </c>
      <c r="AF375">
        <v>5.4423216014759426E-2</v>
      </c>
      <c r="AG375">
        <v>12668.317011631385</v>
      </c>
      <c r="AH375">
        <v>0</v>
      </c>
      <c r="AI375">
        <v>0</v>
      </c>
      <c r="AJ375">
        <v>0</v>
      </c>
      <c r="AK375">
        <v>12668.317011631385</v>
      </c>
      <c r="AL375" t="s">
        <v>216</v>
      </c>
      <c r="AM375">
        <v>4948.5202382593397</v>
      </c>
    </row>
    <row r="376" spans="2:39">
      <c r="B376">
        <v>369</v>
      </c>
      <c r="C376" t="s">
        <v>27</v>
      </c>
      <c r="D376" t="s">
        <v>65</v>
      </c>
      <c r="E376" t="s">
        <v>211</v>
      </c>
      <c r="H376" t="s">
        <v>113</v>
      </c>
      <c r="I376" t="s">
        <v>28</v>
      </c>
      <c r="M376" s="29">
        <v>0</v>
      </c>
      <c r="N376" s="29"/>
      <c r="O376" s="29">
        <f>Table2[[#This Row],[Hot water demand (MWh)]]+Table2[[#This Row],[Space heating demand (MWh)]]</f>
        <v>0</v>
      </c>
      <c r="P376" s="29">
        <v>0</v>
      </c>
      <c r="Q376" s="29">
        <v>0</v>
      </c>
      <c r="S376" s="17">
        <v>0</v>
      </c>
      <c r="T376" s="29">
        <v>0</v>
      </c>
      <c r="V376" s="29">
        <v>0</v>
      </c>
      <c r="X376" s="29">
        <v>0</v>
      </c>
      <c r="Y376" s="29">
        <v>0</v>
      </c>
      <c r="AF376">
        <v>0</v>
      </c>
      <c r="AG376">
        <v>0</v>
      </c>
      <c r="AH376">
        <v>0</v>
      </c>
      <c r="AI376">
        <v>0</v>
      </c>
      <c r="AJ376">
        <v>0</v>
      </c>
      <c r="AK376">
        <v>0</v>
      </c>
      <c r="AL376" t="s">
        <v>215</v>
      </c>
      <c r="AM376">
        <v>0</v>
      </c>
    </row>
    <row r="377" spans="2:39">
      <c r="B377">
        <v>370</v>
      </c>
      <c r="C377" t="s">
        <v>27</v>
      </c>
      <c r="D377" t="s">
        <v>65</v>
      </c>
      <c r="E377" t="s">
        <v>211</v>
      </c>
      <c r="H377" t="s">
        <v>115</v>
      </c>
      <c r="I377" t="s">
        <v>28</v>
      </c>
      <c r="M377" s="29">
        <v>0</v>
      </c>
      <c r="N377" s="29"/>
      <c r="O377" s="29">
        <f>Table2[[#This Row],[Hot water demand (MWh)]]+Table2[[#This Row],[Space heating demand (MWh)]]</f>
        <v>0</v>
      </c>
      <c r="P377" s="29">
        <v>0</v>
      </c>
      <c r="Q377" s="29">
        <v>0</v>
      </c>
      <c r="S377" s="17">
        <v>0</v>
      </c>
      <c r="T377" s="29">
        <v>0</v>
      </c>
      <c r="V377" s="29">
        <v>0</v>
      </c>
      <c r="X377" s="29">
        <v>0</v>
      </c>
      <c r="Y377" s="29">
        <v>0</v>
      </c>
      <c r="AF377">
        <v>0</v>
      </c>
      <c r="AG377">
        <v>0</v>
      </c>
      <c r="AH377">
        <v>0</v>
      </c>
      <c r="AI377">
        <v>0</v>
      </c>
      <c r="AJ377">
        <v>0</v>
      </c>
      <c r="AK377">
        <v>0</v>
      </c>
      <c r="AL377" t="s">
        <v>217</v>
      </c>
      <c r="AM377">
        <v>0</v>
      </c>
    </row>
    <row r="378" spans="2:39">
      <c r="B378">
        <v>371</v>
      </c>
      <c r="C378" t="s">
        <v>27</v>
      </c>
      <c r="D378" t="s">
        <v>65</v>
      </c>
      <c r="E378" t="s">
        <v>211</v>
      </c>
      <c r="H378" t="s">
        <v>112</v>
      </c>
      <c r="I378" t="s">
        <v>28</v>
      </c>
      <c r="M378" s="29">
        <v>0</v>
      </c>
      <c r="N378" s="29"/>
      <c r="O378" s="29">
        <f>Table2[[#This Row],[Hot water demand (MWh)]]+Table2[[#This Row],[Space heating demand (MWh)]]</f>
        <v>0</v>
      </c>
      <c r="P378" s="29">
        <v>0</v>
      </c>
      <c r="Q378" s="29">
        <v>0</v>
      </c>
      <c r="S378" s="17">
        <v>0</v>
      </c>
      <c r="T378" s="29">
        <v>0</v>
      </c>
      <c r="V378" s="29">
        <v>0</v>
      </c>
      <c r="X378" s="29">
        <v>0</v>
      </c>
      <c r="Y378" s="29">
        <v>0</v>
      </c>
      <c r="AF378">
        <v>0</v>
      </c>
      <c r="AG378">
        <v>0</v>
      </c>
      <c r="AH378">
        <v>0</v>
      </c>
      <c r="AI378">
        <v>0</v>
      </c>
      <c r="AJ378">
        <v>0</v>
      </c>
      <c r="AK378">
        <v>0</v>
      </c>
      <c r="AL378" t="s">
        <v>214</v>
      </c>
      <c r="AM378">
        <v>0</v>
      </c>
    </row>
    <row r="379" spans="2:39">
      <c r="B379">
        <v>372</v>
      </c>
      <c r="C379" t="s">
        <v>27</v>
      </c>
      <c r="D379" t="s">
        <v>65</v>
      </c>
      <c r="E379" t="s">
        <v>211</v>
      </c>
      <c r="H379" t="s">
        <v>114</v>
      </c>
      <c r="I379" t="s">
        <v>28</v>
      </c>
      <c r="M379" s="29">
        <v>0</v>
      </c>
      <c r="N379" s="29"/>
      <c r="O379" s="29">
        <f>Table2[[#This Row],[Hot water demand (MWh)]]+Table2[[#This Row],[Space heating demand (MWh)]]</f>
        <v>0</v>
      </c>
      <c r="P379" s="29">
        <v>0</v>
      </c>
      <c r="Q379" s="29">
        <v>0</v>
      </c>
      <c r="S379" s="17">
        <v>0</v>
      </c>
      <c r="T379" s="29">
        <v>0</v>
      </c>
      <c r="V379" s="29">
        <v>0</v>
      </c>
      <c r="X379" s="29">
        <v>0</v>
      </c>
      <c r="Y379" s="29">
        <v>0</v>
      </c>
      <c r="AF379">
        <v>0</v>
      </c>
      <c r="AG379">
        <v>0</v>
      </c>
      <c r="AH379">
        <v>0</v>
      </c>
      <c r="AI379">
        <v>0</v>
      </c>
      <c r="AJ379">
        <v>0</v>
      </c>
      <c r="AK379">
        <v>0</v>
      </c>
      <c r="AL379" t="s">
        <v>216</v>
      </c>
      <c r="AM379">
        <v>0</v>
      </c>
    </row>
    <row r="380" spans="2:39">
      <c r="B380">
        <v>373</v>
      </c>
      <c r="C380" t="s">
        <v>27</v>
      </c>
      <c r="D380" t="s">
        <v>66</v>
      </c>
      <c r="E380" t="s">
        <v>211</v>
      </c>
      <c r="H380" t="s">
        <v>115</v>
      </c>
      <c r="I380" t="s">
        <v>28</v>
      </c>
      <c r="M380" s="29">
        <v>0</v>
      </c>
      <c r="N380" s="29"/>
      <c r="O380" s="29">
        <f>Table2[[#This Row],[Hot water demand (MWh)]]+Table2[[#This Row],[Space heating demand (MWh)]]</f>
        <v>0</v>
      </c>
      <c r="P380" s="29">
        <v>0</v>
      </c>
      <c r="Q380" s="29">
        <v>0</v>
      </c>
      <c r="S380" s="17">
        <v>0</v>
      </c>
      <c r="T380" s="29">
        <v>0</v>
      </c>
      <c r="V380" s="29">
        <v>0</v>
      </c>
      <c r="X380" s="29">
        <v>0</v>
      </c>
      <c r="Y380" s="29">
        <v>0</v>
      </c>
      <c r="AF380">
        <v>0</v>
      </c>
      <c r="AG380">
        <v>0</v>
      </c>
      <c r="AH380">
        <v>0</v>
      </c>
      <c r="AI380">
        <v>0</v>
      </c>
      <c r="AJ380">
        <v>0</v>
      </c>
      <c r="AK380">
        <v>0</v>
      </c>
      <c r="AL380" t="s">
        <v>217</v>
      </c>
      <c r="AM380">
        <v>0</v>
      </c>
    </row>
    <row r="381" spans="2:39">
      <c r="B381">
        <v>374</v>
      </c>
      <c r="C381" t="s">
        <v>27</v>
      </c>
      <c r="D381" t="s">
        <v>66</v>
      </c>
      <c r="E381" t="s">
        <v>211</v>
      </c>
      <c r="H381" t="s">
        <v>110</v>
      </c>
      <c r="I381" t="s">
        <v>28</v>
      </c>
      <c r="M381" s="29">
        <v>0</v>
      </c>
      <c r="N381" s="29"/>
      <c r="O381" s="29">
        <f>Table2[[#This Row],[Hot water demand (MWh)]]+Table2[[#This Row],[Space heating demand (MWh)]]</f>
        <v>0</v>
      </c>
      <c r="P381" s="29">
        <v>0</v>
      </c>
      <c r="Q381" s="29">
        <v>0</v>
      </c>
      <c r="S381" s="17">
        <v>0</v>
      </c>
      <c r="T381" s="29">
        <v>0</v>
      </c>
      <c r="V381" s="29">
        <v>0</v>
      </c>
      <c r="X381" s="29">
        <v>0</v>
      </c>
      <c r="Y381" s="29">
        <v>0</v>
      </c>
      <c r="AF381">
        <v>0</v>
      </c>
      <c r="AG381">
        <v>0</v>
      </c>
      <c r="AH381">
        <v>0</v>
      </c>
      <c r="AI381">
        <v>0</v>
      </c>
      <c r="AJ381">
        <v>0</v>
      </c>
      <c r="AK381">
        <v>0</v>
      </c>
      <c r="AL381" t="s">
        <v>212</v>
      </c>
      <c r="AM381">
        <v>0</v>
      </c>
    </row>
    <row r="382" spans="2:39">
      <c r="B382">
        <v>375</v>
      </c>
      <c r="C382" t="s">
        <v>27</v>
      </c>
      <c r="D382" t="s">
        <v>66</v>
      </c>
      <c r="E382" t="s">
        <v>211</v>
      </c>
      <c r="H382" t="s">
        <v>111</v>
      </c>
      <c r="I382" t="s">
        <v>28</v>
      </c>
      <c r="M382" s="29">
        <v>0</v>
      </c>
      <c r="N382" s="29"/>
      <c r="O382" s="29">
        <f>Table2[[#This Row],[Hot water demand (MWh)]]+Table2[[#This Row],[Space heating demand (MWh)]]</f>
        <v>0</v>
      </c>
      <c r="P382" s="29">
        <v>0</v>
      </c>
      <c r="Q382" s="29">
        <v>0</v>
      </c>
      <c r="S382" s="17">
        <v>0</v>
      </c>
      <c r="T382" s="29">
        <v>0</v>
      </c>
      <c r="V382" s="29">
        <v>0</v>
      </c>
      <c r="X382" s="29">
        <v>0</v>
      </c>
      <c r="Y382" s="29">
        <v>0</v>
      </c>
      <c r="AF382">
        <v>0</v>
      </c>
      <c r="AG382">
        <v>0</v>
      </c>
      <c r="AH382">
        <v>0</v>
      </c>
      <c r="AI382">
        <v>0</v>
      </c>
      <c r="AJ382">
        <v>0</v>
      </c>
      <c r="AK382">
        <v>0</v>
      </c>
      <c r="AL382" t="s">
        <v>213</v>
      </c>
      <c r="AM382">
        <v>0</v>
      </c>
    </row>
    <row r="383" spans="2:39">
      <c r="B383">
        <v>376</v>
      </c>
      <c r="C383" t="s">
        <v>27</v>
      </c>
      <c r="D383" t="s">
        <v>66</v>
      </c>
      <c r="E383" t="s">
        <v>211</v>
      </c>
      <c r="H383" t="s">
        <v>116</v>
      </c>
      <c r="I383" t="s">
        <v>28</v>
      </c>
      <c r="M383" s="29">
        <v>0</v>
      </c>
      <c r="N383" s="29"/>
      <c r="O383" s="29">
        <f>Table2[[#This Row],[Hot water demand (MWh)]]+Table2[[#This Row],[Space heating demand (MWh)]]</f>
        <v>0</v>
      </c>
      <c r="P383" s="29">
        <v>0</v>
      </c>
      <c r="Q383" s="29">
        <v>0</v>
      </c>
      <c r="S383" s="17">
        <v>0</v>
      </c>
      <c r="T383" s="29">
        <v>0</v>
      </c>
      <c r="V383" s="29">
        <v>0</v>
      </c>
      <c r="X383" s="29">
        <v>0</v>
      </c>
      <c r="Y383" s="29">
        <v>0</v>
      </c>
      <c r="AF383">
        <v>0</v>
      </c>
      <c r="AG383">
        <v>0</v>
      </c>
      <c r="AH383">
        <v>0</v>
      </c>
      <c r="AI383">
        <v>0</v>
      </c>
      <c r="AJ383">
        <v>0</v>
      </c>
      <c r="AK383">
        <v>0</v>
      </c>
      <c r="AL383" t="s">
        <v>218</v>
      </c>
      <c r="AM383">
        <v>0</v>
      </c>
    </row>
    <row r="384" spans="2:39">
      <c r="B384">
        <v>377</v>
      </c>
      <c r="C384" t="s">
        <v>27</v>
      </c>
      <c r="D384" t="s">
        <v>66</v>
      </c>
      <c r="E384" t="s">
        <v>211</v>
      </c>
      <c r="H384" t="s">
        <v>112</v>
      </c>
      <c r="I384" t="s">
        <v>28</v>
      </c>
      <c r="M384" s="29">
        <v>0</v>
      </c>
      <c r="N384" s="29"/>
      <c r="O384" s="29">
        <f>Table2[[#This Row],[Hot water demand (MWh)]]+Table2[[#This Row],[Space heating demand (MWh)]]</f>
        <v>0</v>
      </c>
      <c r="P384" s="29">
        <v>0</v>
      </c>
      <c r="Q384" s="29">
        <v>0</v>
      </c>
      <c r="S384" s="17">
        <v>0</v>
      </c>
      <c r="T384" s="29">
        <v>0</v>
      </c>
      <c r="V384" s="29">
        <v>0</v>
      </c>
      <c r="X384" s="29">
        <v>0</v>
      </c>
      <c r="Y384" s="29">
        <v>0</v>
      </c>
      <c r="AF384">
        <v>0</v>
      </c>
      <c r="AG384">
        <v>0</v>
      </c>
      <c r="AH384">
        <v>0</v>
      </c>
      <c r="AI384">
        <v>0</v>
      </c>
      <c r="AJ384">
        <v>0</v>
      </c>
      <c r="AK384">
        <v>0</v>
      </c>
      <c r="AL384" t="s">
        <v>214</v>
      </c>
      <c r="AM384">
        <v>0</v>
      </c>
    </row>
    <row r="385" spans="2:39">
      <c r="B385">
        <v>378</v>
      </c>
      <c r="C385" t="s">
        <v>27</v>
      </c>
      <c r="D385" t="s">
        <v>66</v>
      </c>
      <c r="E385" t="s">
        <v>211</v>
      </c>
      <c r="H385" t="s">
        <v>114</v>
      </c>
      <c r="I385" t="s">
        <v>28</v>
      </c>
      <c r="M385" s="29">
        <v>0</v>
      </c>
      <c r="N385" s="29"/>
      <c r="O385" s="29">
        <f>Table2[[#This Row],[Hot water demand (MWh)]]+Table2[[#This Row],[Space heating demand (MWh)]]</f>
        <v>0</v>
      </c>
      <c r="P385" s="29">
        <v>0</v>
      </c>
      <c r="Q385" s="29">
        <v>0</v>
      </c>
      <c r="S385" s="17">
        <v>0</v>
      </c>
      <c r="T385" s="29">
        <v>0</v>
      </c>
      <c r="V385" s="29">
        <v>0</v>
      </c>
      <c r="X385" s="29">
        <v>0</v>
      </c>
      <c r="Y385" s="29">
        <v>0</v>
      </c>
      <c r="AF385">
        <v>0</v>
      </c>
      <c r="AG385">
        <v>0</v>
      </c>
      <c r="AH385">
        <v>0</v>
      </c>
      <c r="AI385">
        <v>0</v>
      </c>
      <c r="AJ385">
        <v>0</v>
      </c>
      <c r="AK385">
        <v>0</v>
      </c>
      <c r="AL385" t="s">
        <v>216</v>
      </c>
      <c r="AM385">
        <v>0</v>
      </c>
    </row>
    <row r="386" spans="2:39">
      <c r="B386">
        <v>379</v>
      </c>
      <c r="C386" t="s">
        <v>27</v>
      </c>
      <c r="D386" t="s">
        <v>67</v>
      </c>
      <c r="E386" t="s">
        <v>211</v>
      </c>
      <c r="H386" t="s">
        <v>110</v>
      </c>
      <c r="I386" t="s">
        <v>28</v>
      </c>
      <c r="M386" s="29">
        <v>0</v>
      </c>
      <c r="N386" s="29"/>
      <c r="O386" s="29">
        <f>Table2[[#This Row],[Hot water demand (MWh)]]+Table2[[#This Row],[Space heating demand (MWh)]]</f>
        <v>0</v>
      </c>
      <c r="P386" s="29">
        <v>0</v>
      </c>
      <c r="Q386" s="29">
        <v>0</v>
      </c>
      <c r="S386" s="17">
        <v>0</v>
      </c>
      <c r="T386" s="29">
        <v>0</v>
      </c>
      <c r="V386" s="29">
        <v>0</v>
      </c>
      <c r="X386" s="29">
        <v>0</v>
      </c>
      <c r="Y386" s="29">
        <v>0</v>
      </c>
      <c r="AF386">
        <v>0</v>
      </c>
      <c r="AG386">
        <v>0</v>
      </c>
      <c r="AH386">
        <v>0</v>
      </c>
      <c r="AI386">
        <v>0</v>
      </c>
      <c r="AJ386">
        <v>0</v>
      </c>
      <c r="AK386">
        <v>0</v>
      </c>
      <c r="AL386" t="s">
        <v>212</v>
      </c>
      <c r="AM386">
        <v>0</v>
      </c>
    </row>
    <row r="387" spans="2:39">
      <c r="B387">
        <v>380</v>
      </c>
      <c r="C387" t="s">
        <v>27</v>
      </c>
      <c r="D387" t="s">
        <v>67</v>
      </c>
      <c r="E387" t="s">
        <v>211</v>
      </c>
      <c r="H387" t="s">
        <v>111</v>
      </c>
      <c r="I387" t="s">
        <v>28</v>
      </c>
      <c r="M387" s="29">
        <v>0</v>
      </c>
      <c r="N387" s="29"/>
      <c r="O387" s="29">
        <f>Table2[[#This Row],[Hot water demand (MWh)]]+Table2[[#This Row],[Space heating demand (MWh)]]</f>
        <v>0</v>
      </c>
      <c r="P387" s="29">
        <v>0</v>
      </c>
      <c r="Q387" s="29">
        <v>0</v>
      </c>
      <c r="S387" s="17">
        <v>0</v>
      </c>
      <c r="T387" s="29">
        <v>0</v>
      </c>
      <c r="V387" s="29">
        <v>0</v>
      </c>
      <c r="X387" s="29">
        <v>0</v>
      </c>
      <c r="Y387" s="29">
        <v>0</v>
      </c>
      <c r="AF387">
        <v>0</v>
      </c>
      <c r="AG387">
        <v>0</v>
      </c>
      <c r="AH387">
        <v>0</v>
      </c>
      <c r="AI387">
        <v>0</v>
      </c>
      <c r="AJ387">
        <v>0</v>
      </c>
      <c r="AK387">
        <v>0</v>
      </c>
      <c r="AL387" t="s">
        <v>213</v>
      </c>
      <c r="AM387">
        <v>0</v>
      </c>
    </row>
    <row r="388" spans="2:39">
      <c r="B388">
        <v>381</v>
      </c>
      <c r="C388" t="s">
        <v>27</v>
      </c>
      <c r="D388" t="s">
        <v>67</v>
      </c>
      <c r="E388" t="s">
        <v>211</v>
      </c>
      <c r="H388" t="s">
        <v>116</v>
      </c>
      <c r="I388" t="s">
        <v>28</v>
      </c>
      <c r="M388" s="29">
        <v>0</v>
      </c>
      <c r="N388" s="29"/>
      <c r="O388" s="29">
        <f>Table2[[#This Row],[Hot water demand (MWh)]]+Table2[[#This Row],[Space heating demand (MWh)]]</f>
        <v>0</v>
      </c>
      <c r="P388" s="29">
        <v>0</v>
      </c>
      <c r="Q388" s="29">
        <v>0</v>
      </c>
      <c r="S388" s="17">
        <v>0</v>
      </c>
      <c r="T388" s="29">
        <v>0</v>
      </c>
      <c r="V388" s="29">
        <v>0</v>
      </c>
      <c r="X388" s="29">
        <v>0</v>
      </c>
      <c r="Y388" s="29">
        <v>0</v>
      </c>
      <c r="AF388">
        <v>0</v>
      </c>
      <c r="AG388">
        <v>0</v>
      </c>
      <c r="AH388">
        <v>0</v>
      </c>
      <c r="AI388">
        <v>0</v>
      </c>
      <c r="AJ388">
        <v>0</v>
      </c>
      <c r="AK388">
        <v>0</v>
      </c>
      <c r="AL388" t="s">
        <v>218</v>
      </c>
      <c r="AM388">
        <v>0</v>
      </c>
    </row>
    <row r="389" spans="2:39">
      <c r="B389">
        <v>382</v>
      </c>
      <c r="C389" t="s">
        <v>27</v>
      </c>
      <c r="D389" t="s">
        <v>67</v>
      </c>
      <c r="E389" t="s">
        <v>211</v>
      </c>
      <c r="H389" t="s">
        <v>112</v>
      </c>
      <c r="I389" t="s">
        <v>28</v>
      </c>
      <c r="M389" s="29">
        <v>0</v>
      </c>
      <c r="N389" s="29"/>
      <c r="O389" s="29">
        <f>Table2[[#This Row],[Hot water demand (MWh)]]+Table2[[#This Row],[Space heating demand (MWh)]]</f>
        <v>0</v>
      </c>
      <c r="P389" s="29">
        <v>0</v>
      </c>
      <c r="Q389" s="29">
        <v>0</v>
      </c>
      <c r="S389" s="17">
        <v>0</v>
      </c>
      <c r="T389" s="29">
        <v>0</v>
      </c>
      <c r="V389" s="29">
        <v>0</v>
      </c>
      <c r="X389" s="29">
        <v>0</v>
      </c>
      <c r="Y389" s="29">
        <v>0</v>
      </c>
      <c r="AF389">
        <v>0</v>
      </c>
      <c r="AG389">
        <v>0</v>
      </c>
      <c r="AH389">
        <v>0</v>
      </c>
      <c r="AI389">
        <v>0</v>
      </c>
      <c r="AJ389">
        <v>0</v>
      </c>
      <c r="AK389">
        <v>0</v>
      </c>
      <c r="AL389" t="s">
        <v>214</v>
      </c>
      <c r="AM389">
        <v>0</v>
      </c>
    </row>
    <row r="390" spans="2:39">
      <c r="B390">
        <v>383</v>
      </c>
      <c r="C390" t="s">
        <v>27</v>
      </c>
      <c r="D390" t="s">
        <v>67</v>
      </c>
      <c r="E390" t="s">
        <v>211</v>
      </c>
      <c r="H390" t="s">
        <v>114</v>
      </c>
      <c r="I390" t="s">
        <v>28</v>
      </c>
      <c r="M390" s="29">
        <v>0</v>
      </c>
      <c r="N390" s="29"/>
      <c r="O390" s="29">
        <f>Table2[[#This Row],[Hot water demand (MWh)]]+Table2[[#This Row],[Space heating demand (MWh)]]</f>
        <v>0</v>
      </c>
      <c r="P390" s="29">
        <v>0</v>
      </c>
      <c r="Q390" s="29">
        <v>0</v>
      </c>
      <c r="S390" s="17">
        <v>0</v>
      </c>
      <c r="T390" s="29">
        <v>0</v>
      </c>
      <c r="V390" s="29">
        <v>0</v>
      </c>
      <c r="X390" s="29">
        <v>0</v>
      </c>
      <c r="Y390" s="29">
        <v>0</v>
      </c>
      <c r="AF390">
        <v>0</v>
      </c>
      <c r="AG390">
        <v>0</v>
      </c>
      <c r="AH390">
        <v>0</v>
      </c>
      <c r="AI390">
        <v>0</v>
      </c>
      <c r="AJ390">
        <v>0</v>
      </c>
      <c r="AK390">
        <v>0</v>
      </c>
      <c r="AL390" t="s">
        <v>216</v>
      </c>
      <c r="AM390">
        <v>0</v>
      </c>
    </row>
    <row r="391" spans="2:39">
      <c r="B391">
        <v>384</v>
      </c>
      <c r="C391" t="s">
        <v>27</v>
      </c>
      <c r="D391" t="s">
        <v>59</v>
      </c>
      <c r="E391" t="s">
        <v>211</v>
      </c>
      <c r="H391" t="s">
        <v>117</v>
      </c>
      <c r="I391" t="s">
        <v>31</v>
      </c>
      <c r="M391" s="29">
        <v>0</v>
      </c>
      <c r="N391" s="29"/>
      <c r="O391" s="29">
        <f>Table2[[#This Row],[Hot water demand (MWh)]]+Table2[[#This Row],[Space heating demand (MWh)]]</f>
        <v>0</v>
      </c>
      <c r="P391" s="29">
        <v>0</v>
      </c>
      <c r="Q391" s="29">
        <v>0</v>
      </c>
      <c r="S391" s="17">
        <v>0</v>
      </c>
      <c r="T391" s="29">
        <v>0</v>
      </c>
      <c r="V391" s="29">
        <v>0</v>
      </c>
      <c r="X391" s="29">
        <v>0</v>
      </c>
      <c r="Y391" s="29">
        <v>0</v>
      </c>
      <c r="AF391">
        <v>0</v>
      </c>
      <c r="AG391">
        <v>0</v>
      </c>
      <c r="AH391">
        <v>0</v>
      </c>
      <c r="AI391">
        <v>0</v>
      </c>
      <c r="AJ391">
        <v>0</v>
      </c>
      <c r="AK391">
        <v>0</v>
      </c>
      <c r="AL391" t="s">
        <v>212</v>
      </c>
      <c r="AM391">
        <v>0</v>
      </c>
    </row>
    <row r="392" spans="2:39">
      <c r="B392">
        <v>385</v>
      </c>
      <c r="C392" t="s">
        <v>27</v>
      </c>
      <c r="D392" t="s">
        <v>59</v>
      </c>
      <c r="E392" t="s">
        <v>211</v>
      </c>
      <c r="H392" t="s">
        <v>118</v>
      </c>
      <c r="I392" t="s">
        <v>31</v>
      </c>
      <c r="M392" s="29">
        <v>0</v>
      </c>
      <c r="N392" s="29"/>
      <c r="O392" s="29">
        <f>Table2[[#This Row],[Hot water demand (MWh)]]+Table2[[#This Row],[Space heating demand (MWh)]]</f>
        <v>0</v>
      </c>
      <c r="P392" s="29">
        <v>0</v>
      </c>
      <c r="Q392" s="29">
        <v>0</v>
      </c>
      <c r="S392" s="17">
        <v>0</v>
      </c>
      <c r="T392" s="29">
        <v>0</v>
      </c>
      <c r="V392" s="29">
        <v>0</v>
      </c>
      <c r="X392" s="29">
        <v>0</v>
      </c>
      <c r="Y392" s="29">
        <v>0</v>
      </c>
      <c r="AF392">
        <v>0</v>
      </c>
      <c r="AG392">
        <v>0</v>
      </c>
      <c r="AH392">
        <v>0</v>
      </c>
      <c r="AI392">
        <v>0</v>
      </c>
      <c r="AJ392">
        <v>0</v>
      </c>
      <c r="AK392">
        <v>0</v>
      </c>
      <c r="AL392" t="s">
        <v>213</v>
      </c>
      <c r="AM392">
        <v>0</v>
      </c>
    </row>
    <row r="393" spans="2:39">
      <c r="B393">
        <v>386</v>
      </c>
      <c r="C393" t="s">
        <v>27</v>
      </c>
      <c r="D393" t="s">
        <v>59</v>
      </c>
      <c r="E393" t="s">
        <v>211</v>
      </c>
      <c r="H393" t="s">
        <v>119</v>
      </c>
      <c r="I393" t="s">
        <v>31</v>
      </c>
      <c r="M393" s="29">
        <v>0</v>
      </c>
      <c r="N393" s="29"/>
      <c r="O393" s="29">
        <f>Table2[[#This Row],[Hot water demand (MWh)]]+Table2[[#This Row],[Space heating demand (MWh)]]</f>
        <v>0</v>
      </c>
      <c r="P393" s="29">
        <v>0</v>
      </c>
      <c r="Q393" s="29">
        <v>0</v>
      </c>
      <c r="S393" s="17">
        <v>0</v>
      </c>
      <c r="T393" s="29">
        <v>0</v>
      </c>
      <c r="V393" s="29">
        <v>0</v>
      </c>
      <c r="X393" s="29">
        <v>0</v>
      </c>
      <c r="Y393" s="29">
        <v>0</v>
      </c>
      <c r="AF393">
        <v>0</v>
      </c>
      <c r="AG393">
        <v>0</v>
      </c>
      <c r="AH393">
        <v>0</v>
      </c>
      <c r="AI393">
        <v>0</v>
      </c>
      <c r="AJ393">
        <v>0</v>
      </c>
      <c r="AK393">
        <v>0</v>
      </c>
      <c r="AL393" t="s">
        <v>214</v>
      </c>
      <c r="AM393">
        <v>0</v>
      </c>
    </row>
    <row r="394" spans="2:39">
      <c r="B394">
        <v>387</v>
      </c>
      <c r="C394" t="s">
        <v>27</v>
      </c>
      <c r="D394" t="s">
        <v>60</v>
      </c>
      <c r="E394" t="s">
        <v>211</v>
      </c>
      <c r="H394" t="s">
        <v>120</v>
      </c>
      <c r="I394" t="s">
        <v>31</v>
      </c>
      <c r="M394" s="29">
        <v>700801.54934857693</v>
      </c>
      <c r="N394" s="29"/>
      <c r="O394" s="29">
        <f>Table2[[#This Row],[Hot water demand (MWh)]]+Table2[[#This Row],[Space heating demand (MWh)]]</f>
        <v>700801.54934857693</v>
      </c>
      <c r="P394" s="29">
        <v>154709.36183466294</v>
      </c>
      <c r="Q394" s="29">
        <v>1562.720826612757</v>
      </c>
      <c r="S394" s="17">
        <v>2.5664154172803317</v>
      </c>
      <c r="T394" s="29">
        <v>778668.38816508546</v>
      </c>
      <c r="V394" s="29">
        <v>778668.38816508546</v>
      </c>
      <c r="X394" s="29">
        <v>1562.720826612757</v>
      </c>
      <c r="Y394" s="29">
        <v>154709.36183466294</v>
      </c>
      <c r="AF394">
        <v>2.4894229547619218</v>
      </c>
      <c r="AG394">
        <v>700801.54934857693</v>
      </c>
      <c r="AH394">
        <v>700801.54934857693</v>
      </c>
      <c r="AI394">
        <v>0</v>
      </c>
      <c r="AJ394">
        <v>0</v>
      </c>
      <c r="AK394">
        <v>0</v>
      </c>
      <c r="AL394" t="s">
        <v>215</v>
      </c>
      <c r="AM394">
        <v>156272.08266127569</v>
      </c>
    </row>
    <row r="395" spans="2:39">
      <c r="B395">
        <v>388</v>
      </c>
      <c r="C395" t="s">
        <v>27</v>
      </c>
      <c r="D395" t="s">
        <v>60</v>
      </c>
      <c r="E395" t="s">
        <v>211</v>
      </c>
      <c r="H395" t="s">
        <v>119</v>
      </c>
      <c r="I395" t="s">
        <v>31</v>
      </c>
      <c r="M395" s="29">
        <v>0</v>
      </c>
      <c r="N395" s="29"/>
      <c r="O395" s="29">
        <f>Table2[[#This Row],[Hot water demand (MWh)]]+Table2[[#This Row],[Space heating demand (MWh)]]</f>
        <v>0</v>
      </c>
      <c r="P395" s="29">
        <v>0</v>
      </c>
      <c r="Q395" s="29">
        <v>0</v>
      </c>
      <c r="S395" s="17">
        <v>0</v>
      </c>
      <c r="T395" s="29">
        <v>0</v>
      </c>
      <c r="V395" s="29">
        <v>0</v>
      </c>
      <c r="X395" s="29">
        <v>0</v>
      </c>
      <c r="Y395" s="29">
        <v>0</v>
      </c>
      <c r="AF395">
        <v>0</v>
      </c>
      <c r="AG395">
        <v>0</v>
      </c>
      <c r="AH395">
        <v>0</v>
      </c>
      <c r="AI395">
        <v>0</v>
      </c>
      <c r="AJ395">
        <v>0</v>
      </c>
      <c r="AK395">
        <v>0</v>
      </c>
      <c r="AL395" t="s">
        <v>214</v>
      </c>
      <c r="AM395">
        <v>0</v>
      </c>
    </row>
    <row r="396" spans="2:39">
      <c r="B396">
        <v>389</v>
      </c>
      <c r="C396" t="s">
        <v>27</v>
      </c>
      <c r="D396" t="s">
        <v>60</v>
      </c>
      <c r="E396" t="s">
        <v>211</v>
      </c>
      <c r="H396" t="s">
        <v>121</v>
      </c>
      <c r="I396" t="s">
        <v>31</v>
      </c>
      <c r="M396" s="29">
        <v>22155.925271501404</v>
      </c>
      <c r="N396" s="29"/>
      <c r="O396" s="29">
        <f>Table2[[#This Row],[Hot water demand (MWh)]]+Table2[[#This Row],[Space heating demand (MWh)]]</f>
        <v>22155.925271501404</v>
      </c>
      <c r="P396" s="29">
        <v>4784.8256237524602</v>
      </c>
      <c r="Q396" s="29">
        <v>48.331571957095555</v>
      </c>
      <c r="S396" s="17">
        <v>2.5664154172803317</v>
      </c>
      <c r="T396" s="29">
        <v>24082.527469023265</v>
      </c>
      <c r="V396" s="29">
        <v>24082.527469023265</v>
      </c>
      <c r="X396" s="29">
        <v>48.331571957095555</v>
      </c>
      <c r="Y396" s="29">
        <v>4784.8256237524602</v>
      </c>
      <c r="AF396">
        <v>7.6992462518409965E-2</v>
      </c>
      <c r="AG396">
        <v>22155.925271501404</v>
      </c>
      <c r="AH396">
        <v>0</v>
      </c>
      <c r="AI396">
        <v>22155.925271501404</v>
      </c>
      <c r="AJ396">
        <v>0</v>
      </c>
      <c r="AK396">
        <v>0</v>
      </c>
      <c r="AL396" t="s">
        <v>216</v>
      </c>
      <c r="AM396">
        <v>4833.1571957095557</v>
      </c>
    </row>
    <row r="397" spans="2:39">
      <c r="B397">
        <v>390</v>
      </c>
      <c r="C397" t="s">
        <v>27</v>
      </c>
      <c r="D397" t="s">
        <v>61</v>
      </c>
      <c r="E397" t="s">
        <v>211</v>
      </c>
      <c r="H397" t="s">
        <v>117</v>
      </c>
      <c r="I397" t="s">
        <v>31</v>
      </c>
      <c r="M397" s="29">
        <v>0</v>
      </c>
      <c r="N397" s="29"/>
      <c r="O397" s="29">
        <f>Table2[[#This Row],[Hot water demand (MWh)]]+Table2[[#This Row],[Space heating demand (MWh)]]</f>
        <v>0</v>
      </c>
      <c r="P397" s="29">
        <v>0</v>
      </c>
      <c r="Q397" s="29">
        <v>0</v>
      </c>
      <c r="S397" s="17">
        <v>0</v>
      </c>
      <c r="T397" s="29">
        <v>0</v>
      </c>
      <c r="V397" s="29">
        <v>0</v>
      </c>
      <c r="X397" s="29">
        <v>0</v>
      </c>
      <c r="Y397" s="29">
        <v>0</v>
      </c>
      <c r="AF397">
        <v>0</v>
      </c>
      <c r="AG397">
        <v>0</v>
      </c>
      <c r="AH397">
        <v>0</v>
      </c>
      <c r="AI397">
        <v>0</v>
      </c>
      <c r="AJ397">
        <v>0</v>
      </c>
      <c r="AK397">
        <v>0</v>
      </c>
      <c r="AL397" t="s">
        <v>212</v>
      </c>
      <c r="AM397">
        <v>0</v>
      </c>
    </row>
    <row r="398" spans="2:39">
      <c r="B398">
        <v>391</v>
      </c>
      <c r="C398" t="s">
        <v>27</v>
      </c>
      <c r="D398" t="s">
        <v>61</v>
      </c>
      <c r="E398" t="s">
        <v>211</v>
      </c>
      <c r="H398" t="s">
        <v>118</v>
      </c>
      <c r="I398" t="s">
        <v>31</v>
      </c>
      <c r="M398" s="29">
        <v>0</v>
      </c>
      <c r="N398" s="29"/>
      <c r="O398" s="29">
        <f>Table2[[#This Row],[Hot water demand (MWh)]]+Table2[[#This Row],[Space heating demand (MWh)]]</f>
        <v>0</v>
      </c>
      <c r="P398" s="29">
        <v>0</v>
      </c>
      <c r="Q398" s="29">
        <v>0</v>
      </c>
      <c r="S398" s="17">
        <v>0</v>
      </c>
      <c r="T398" s="29">
        <v>0</v>
      </c>
      <c r="V398" s="29">
        <v>0</v>
      </c>
      <c r="X398" s="29">
        <v>0</v>
      </c>
      <c r="Y398" s="29">
        <v>0</v>
      </c>
      <c r="AF398">
        <v>0</v>
      </c>
      <c r="AG398">
        <v>0</v>
      </c>
      <c r="AH398">
        <v>0</v>
      </c>
      <c r="AI398">
        <v>0</v>
      </c>
      <c r="AJ398">
        <v>0</v>
      </c>
      <c r="AK398">
        <v>0</v>
      </c>
      <c r="AL398" t="s">
        <v>213</v>
      </c>
      <c r="AM398">
        <v>0</v>
      </c>
    </row>
    <row r="399" spans="2:39">
      <c r="B399">
        <v>392</v>
      </c>
      <c r="C399" t="s">
        <v>27</v>
      </c>
      <c r="D399" t="s">
        <v>61</v>
      </c>
      <c r="E399" t="s">
        <v>211</v>
      </c>
      <c r="H399" t="s">
        <v>119</v>
      </c>
      <c r="I399" t="s">
        <v>31</v>
      </c>
      <c r="M399" s="29">
        <v>0</v>
      </c>
      <c r="N399" s="29"/>
      <c r="O399" s="29">
        <f>Table2[[#This Row],[Hot water demand (MWh)]]+Table2[[#This Row],[Space heating demand (MWh)]]</f>
        <v>0</v>
      </c>
      <c r="P399" s="29">
        <v>0</v>
      </c>
      <c r="Q399" s="29">
        <v>0</v>
      </c>
      <c r="S399" s="17">
        <v>0</v>
      </c>
      <c r="T399" s="29">
        <v>0</v>
      </c>
      <c r="V399" s="29">
        <v>0</v>
      </c>
      <c r="X399" s="29">
        <v>0</v>
      </c>
      <c r="Y399" s="29">
        <v>0</v>
      </c>
      <c r="AF399">
        <v>0</v>
      </c>
      <c r="AG399">
        <v>0</v>
      </c>
      <c r="AH399">
        <v>0</v>
      </c>
      <c r="AI399">
        <v>0</v>
      </c>
      <c r="AJ399">
        <v>0</v>
      </c>
      <c r="AK399">
        <v>0</v>
      </c>
      <c r="AL399" t="s">
        <v>214</v>
      </c>
      <c r="AM399">
        <v>0</v>
      </c>
    </row>
    <row r="400" spans="2:39">
      <c r="B400">
        <v>393</v>
      </c>
      <c r="C400" t="s">
        <v>27</v>
      </c>
      <c r="D400" t="s">
        <v>62</v>
      </c>
      <c r="E400" t="s">
        <v>211</v>
      </c>
      <c r="H400" t="s">
        <v>117</v>
      </c>
      <c r="I400" t="s">
        <v>31</v>
      </c>
      <c r="M400" s="29">
        <v>0</v>
      </c>
      <c r="N400" s="29"/>
      <c r="O400" s="29">
        <f>Table2[[#This Row],[Hot water demand (MWh)]]+Table2[[#This Row],[Space heating demand (MWh)]]</f>
        <v>0</v>
      </c>
      <c r="P400" s="29">
        <v>0</v>
      </c>
      <c r="Q400" s="29">
        <v>0</v>
      </c>
      <c r="S400" s="17">
        <v>0</v>
      </c>
      <c r="T400" s="29">
        <v>0</v>
      </c>
      <c r="V400" s="29">
        <v>0</v>
      </c>
      <c r="X400" s="29">
        <v>0</v>
      </c>
      <c r="Y400" s="29">
        <v>0</v>
      </c>
      <c r="AF400">
        <v>0</v>
      </c>
      <c r="AG400">
        <v>0</v>
      </c>
      <c r="AH400">
        <v>0</v>
      </c>
      <c r="AI400">
        <v>0</v>
      </c>
      <c r="AJ400">
        <v>0</v>
      </c>
      <c r="AK400">
        <v>0</v>
      </c>
      <c r="AL400" t="s">
        <v>212</v>
      </c>
      <c r="AM400">
        <v>0</v>
      </c>
    </row>
    <row r="401" spans="2:39">
      <c r="B401">
        <v>394</v>
      </c>
      <c r="C401" t="s">
        <v>27</v>
      </c>
      <c r="D401" t="s">
        <v>62</v>
      </c>
      <c r="E401" t="s">
        <v>211</v>
      </c>
      <c r="H401" t="s">
        <v>121</v>
      </c>
      <c r="I401" t="s">
        <v>31</v>
      </c>
      <c r="M401" s="29">
        <v>0</v>
      </c>
      <c r="N401" s="29"/>
      <c r="O401" s="29">
        <f>Table2[[#This Row],[Hot water demand (MWh)]]+Table2[[#This Row],[Space heating demand (MWh)]]</f>
        <v>0</v>
      </c>
      <c r="P401" s="29">
        <v>0</v>
      </c>
      <c r="Q401" s="29">
        <v>0</v>
      </c>
      <c r="S401" s="17">
        <v>0</v>
      </c>
      <c r="T401" s="29">
        <v>0</v>
      </c>
      <c r="V401" s="29">
        <v>0</v>
      </c>
      <c r="X401" s="29">
        <v>0</v>
      </c>
      <c r="Y401" s="29">
        <v>0</v>
      </c>
      <c r="AF401">
        <v>0</v>
      </c>
      <c r="AG401">
        <v>0</v>
      </c>
      <c r="AH401">
        <v>0</v>
      </c>
      <c r="AI401">
        <v>0</v>
      </c>
      <c r="AJ401">
        <v>0</v>
      </c>
      <c r="AK401">
        <v>0</v>
      </c>
      <c r="AL401" t="s">
        <v>216</v>
      </c>
      <c r="AM401">
        <v>0</v>
      </c>
    </row>
    <row r="402" spans="2:39">
      <c r="B402">
        <v>395</v>
      </c>
      <c r="C402" t="s">
        <v>27</v>
      </c>
      <c r="D402" t="s">
        <v>63</v>
      </c>
      <c r="E402" t="s">
        <v>211</v>
      </c>
      <c r="H402" t="s">
        <v>122</v>
      </c>
      <c r="I402" t="s">
        <v>31</v>
      </c>
      <c r="M402" s="29">
        <v>3912.5926646471189</v>
      </c>
      <c r="N402" s="29"/>
      <c r="O402" s="29">
        <f>Table2[[#This Row],[Hot water demand (MWh)]]+Table2[[#This Row],[Space heating demand (MWh)]]</f>
        <v>3912.5926646471189</v>
      </c>
      <c r="P402" s="29">
        <v>2274.5250033373973</v>
      </c>
      <c r="Q402" s="29">
        <v>22.975000033711087</v>
      </c>
      <c r="S402" s="17">
        <v>0.28790229906970927</v>
      </c>
      <c r="T402" s="29">
        <v>4603.0501937024928</v>
      </c>
      <c r="V402" s="29">
        <v>4603.0501937024928</v>
      </c>
      <c r="X402" s="29">
        <v>22.975000033711087</v>
      </c>
      <c r="Y402" s="29">
        <v>2274.5250033373973</v>
      </c>
      <c r="AF402">
        <v>2.8790229906970926E-2</v>
      </c>
      <c r="AG402">
        <v>3912.5926646471189</v>
      </c>
      <c r="AH402">
        <v>3912.5926646471189</v>
      </c>
      <c r="AI402">
        <v>0</v>
      </c>
      <c r="AJ402">
        <v>0</v>
      </c>
      <c r="AK402">
        <v>0</v>
      </c>
      <c r="AL402" t="s">
        <v>217</v>
      </c>
      <c r="AM402">
        <v>2297.5000033711085</v>
      </c>
    </row>
    <row r="403" spans="2:39">
      <c r="B403">
        <v>396</v>
      </c>
      <c r="C403" t="s">
        <v>27</v>
      </c>
      <c r="D403" t="s">
        <v>63</v>
      </c>
      <c r="E403" t="s">
        <v>211</v>
      </c>
      <c r="H403" t="s">
        <v>117</v>
      </c>
      <c r="I403" t="s">
        <v>31</v>
      </c>
      <c r="M403" s="29">
        <v>12704.418534618881</v>
      </c>
      <c r="N403" s="29"/>
      <c r="O403" s="29">
        <f>Table2[[#This Row],[Hot water demand (MWh)]]+Table2[[#This Row],[Space heating demand (MWh)]]</f>
        <v>12704.418534618881</v>
      </c>
      <c r="P403" s="29">
        <v>6823.5750100121913</v>
      </c>
      <c r="Q403" s="29">
        <v>68.92500010113325</v>
      </c>
      <c r="S403" s="17">
        <v>0.57580459813941842</v>
      </c>
      <c r="T403" s="29">
        <v>13809.150581107479</v>
      </c>
      <c r="V403" s="29">
        <v>13809.150581107479</v>
      </c>
      <c r="X403" s="29">
        <v>68.92500010113325</v>
      </c>
      <c r="Y403" s="29">
        <v>6823.5750100121913</v>
      </c>
      <c r="AF403">
        <v>0.17274137944182552</v>
      </c>
      <c r="AG403">
        <v>12704.418534618881</v>
      </c>
      <c r="AH403">
        <v>0</v>
      </c>
      <c r="AI403">
        <v>0</v>
      </c>
      <c r="AJ403">
        <v>12704.418534618881</v>
      </c>
      <c r="AK403">
        <v>0</v>
      </c>
      <c r="AL403" t="s">
        <v>212</v>
      </c>
      <c r="AM403">
        <v>6892.5000101133246</v>
      </c>
    </row>
    <row r="404" spans="2:39">
      <c r="B404">
        <v>397</v>
      </c>
      <c r="C404" t="s">
        <v>27</v>
      </c>
      <c r="D404" t="s">
        <v>63</v>
      </c>
      <c r="E404" t="s">
        <v>211</v>
      </c>
      <c r="H404" t="s">
        <v>121</v>
      </c>
      <c r="I404" t="s">
        <v>31</v>
      </c>
      <c r="M404" s="29">
        <v>6352.2092673094403</v>
      </c>
      <c r="N404" s="29"/>
      <c r="O404" s="29">
        <f>Table2[[#This Row],[Hot water demand (MWh)]]+Table2[[#This Row],[Space heating demand (MWh)]]</f>
        <v>6352.2092673094403</v>
      </c>
      <c r="P404" s="29">
        <v>3411.7875050060957</v>
      </c>
      <c r="Q404" s="29">
        <v>34.462500050566625</v>
      </c>
      <c r="S404" s="17">
        <v>0.57580459813941842</v>
      </c>
      <c r="T404" s="29">
        <v>6904.5752905537393</v>
      </c>
      <c r="V404" s="29">
        <v>6904.5752905537393</v>
      </c>
      <c r="X404" s="29">
        <v>34.462500050566625</v>
      </c>
      <c r="Y404" s="29">
        <v>3411.7875050060957</v>
      </c>
      <c r="AF404">
        <v>8.6370689720912761E-2</v>
      </c>
      <c r="AG404">
        <v>6352.2092673094403</v>
      </c>
      <c r="AH404">
        <v>0</v>
      </c>
      <c r="AI404">
        <v>6352.2092673094403</v>
      </c>
      <c r="AJ404">
        <v>0</v>
      </c>
      <c r="AK404">
        <v>0</v>
      </c>
      <c r="AL404" t="s">
        <v>216</v>
      </c>
      <c r="AM404">
        <v>3446.2500050566623</v>
      </c>
    </row>
    <row r="405" spans="2:39">
      <c r="B405">
        <v>398</v>
      </c>
      <c r="C405" t="s">
        <v>27</v>
      </c>
      <c r="D405" t="s">
        <v>64</v>
      </c>
      <c r="E405" t="s">
        <v>211</v>
      </c>
      <c r="H405" t="s">
        <v>117</v>
      </c>
      <c r="I405" t="s">
        <v>31</v>
      </c>
      <c r="M405" s="29">
        <v>0</v>
      </c>
      <c r="N405" s="29"/>
      <c r="O405" s="29">
        <f>Table2[[#This Row],[Hot water demand (MWh)]]+Table2[[#This Row],[Space heating demand (MWh)]]</f>
        <v>0</v>
      </c>
      <c r="P405" s="29">
        <v>0</v>
      </c>
      <c r="Q405" s="29">
        <v>0</v>
      </c>
      <c r="S405" s="17">
        <v>0</v>
      </c>
      <c r="T405" s="29">
        <v>0</v>
      </c>
      <c r="V405" s="29">
        <v>0</v>
      </c>
      <c r="X405" s="29">
        <v>0</v>
      </c>
      <c r="Y405" s="29">
        <v>0</v>
      </c>
      <c r="AF405">
        <v>0</v>
      </c>
      <c r="AG405">
        <v>0</v>
      </c>
      <c r="AH405">
        <v>0</v>
      </c>
      <c r="AI405">
        <v>0</v>
      </c>
      <c r="AJ405">
        <v>0</v>
      </c>
      <c r="AK405">
        <v>0</v>
      </c>
      <c r="AL405" t="s">
        <v>212</v>
      </c>
      <c r="AM405">
        <v>0</v>
      </c>
    </row>
    <row r="406" spans="2:39">
      <c r="B406">
        <v>399</v>
      </c>
      <c r="C406" t="s">
        <v>27</v>
      </c>
      <c r="D406" t="s">
        <v>64</v>
      </c>
      <c r="E406" t="s">
        <v>211</v>
      </c>
      <c r="H406" t="s">
        <v>118</v>
      </c>
      <c r="I406" t="s">
        <v>31</v>
      </c>
      <c r="M406" s="29">
        <v>0</v>
      </c>
      <c r="N406" s="29"/>
      <c r="O406" s="29">
        <f>Table2[[#This Row],[Hot water demand (MWh)]]+Table2[[#This Row],[Space heating demand (MWh)]]</f>
        <v>0</v>
      </c>
      <c r="P406" s="29">
        <v>0</v>
      </c>
      <c r="Q406" s="29">
        <v>0</v>
      </c>
      <c r="S406" s="17">
        <v>0</v>
      </c>
      <c r="T406" s="29">
        <v>0</v>
      </c>
      <c r="V406" s="29">
        <v>0</v>
      </c>
      <c r="X406" s="29">
        <v>0</v>
      </c>
      <c r="Y406" s="29">
        <v>0</v>
      </c>
      <c r="AF406">
        <v>0</v>
      </c>
      <c r="AG406">
        <v>0</v>
      </c>
      <c r="AH406">
        <v>0</v>
      </c>
      <c r="AI406">
        <v>0</v>
      </c>
      <c r="AJ406">
        <v>0</v>
      </c>
      <c r="AK406">
        <v>0</v>
      </c>
      <c r="AL406" t="s">
        <v>213</v>
      </c>
      <c r="AM406">
        <v>0</v>
      </c>
    </row>
    <row r="407" spans="2:39">
      <c r="B407">
        <v>400</v>
      </c>
      <c r="C407" t="s">
        <v>27</v>
      </c>
      <c r="D407" t="s">
        <v>64</v>
      </c>
      <c r="E407" t="s">
        <v>211</v>
      </c>
      <c r="H407" t="s">
        <v>123</v>
      </c>
      <c r="I407" t="s">
        <v>31</v>
      </c>
      <c r="M407" s="29">
        <v>0</v>
      </c>
      <c r="N407" s="29"/>
      <c r="O407" s="29">
        <f>Table2[[#This Row],[Hot water demand (MWh)]]+Table2[[#This Row],[Space heating demand (MWh)]]</f>
        <v>0</v>
      </c>
      <c r="P407" s="29">
        <v>0</v>
      </c>
      <c r="Q407" s="29">
        <v>0</v>
      </c>
      <c r="S407" s="17">
        <v>0</v>
      </c>
      <c r="T407" s="29">
        <v>0</v>
      </c>
      <c r="V407" s="29">
        <v>0</v>
      </c>
      <c r="X407" s="29">
        <v>0</v>
      </c>
      <c r="Y407" s="29">
        <v>0</v>
      </c>
      <c r="AF407">
        <v>0</v>
      </c>
      <c r="AG407">
        <v>0</v>
      </c>
      <c r="AH407">
        <v>0</v>
      </c>
      <c r="AI407">
        <v>0</v>
      </c>
      <c r="AJ407">
        <v>0</v>
      </c>
      <c r="AK407">
        <v>0</v>
      </c>
      <c r="AL407" t="s">
        <v>218</v>
      </c>
      <c r="AM407">
        <v>0</v>
      </c>
    </row>
    <row r="408" spans="2:39">
      <c r="B408">
        <v>401</v>
      </c>
      <c r="C408" t="s">
        <v>27</v>
      </c>
      <c r="D408" t="s">
        <v>64</v>
      </c>
      <c r="E408" t="s">
        <v>211</v>
      </c>
      <c r="H408" t="s">
        <v>121</v>
      </c>
      <c r="I408" t="s">
        <v>31</v>
      </c>
      <c r="M408" s="29">
        <v>0</v>
      </c>
      <c r="N408" s="29"/>
      <c r="O408" s="29">
        <f>Table2[[#This Row],[Hot water demand (MWh)]]+Table2[[#This Row],[Space heating demand (MWh)]]</f>
        <v>0</v>
      </c>
      <c r="P408" s="29">
        <v>0</v>
      </c>
      <c r="Q408" s="29">
        <v>0</v>
      </c>
      <c r="S408" s="17">
        <v>0</v>
      </c>
      <c r="T408" s="29">
        <v>0</v>
      </c>
      <c r="V408" s="29">
        <v>0</v>
      </c>
      <c r="X408" s="29">
        <v>0</v>
      </c>
      <c r="Y408" s="29">
        <v>0</v>
      </c>
      <c r="AF408">
        <v>0</v>
      </c>
      <c r="AG408">
        <v>0</v>
      </c>
      <c r="AH408">
        <v>0</v>
      </c>
      <c r="AI408">
        <v>0</v>
      </c>
      <c r="AJ408">
        <v>0</v>
      </c>
      <c r="AK408">
        <v>0</v>
      </c>
      <c r="AL408" t="s">
        <v>216</v>
      </c>
      <c r="AM408">
        <v>0</v>
      </c>
    </row>
    <row r="409" spans="2:39">
      <c r="B409">
        <v>402</v>
      </c>
      <c r="C409" t="s">
        <v>27</v>
      </c>
      <c r="D409" t="s">
        <v>65</v>
      </c>
      <c r="E409" t="s">
        <v>211</v>
      </c>
      <c r="H409" t="s">
        <v>120</v>
      </c>
      <c r="I409" t="s">
        <v>31</v>
      </c>
      <c r="M409" s="29">
        <v>92024.203710652975</v>
      </c>
      <c r="N409" s="29"/>
      <c r="O409" s="29">
        <f>Table2[[#This Row],[Hot water demand (MWh)]]+Table2[[#This Row],[Space heating demand (MWh)]]</f>
        <v>92024.203710652975</v>
      </c>
      <c r="P409" s="29">
        <v>20021.626308795476</v>
      </c>
      <c r="Q409" s="29">
        <v>202.23864958379269</v>
      </c>
      <c r="S409" s="17">
        <v>1.3436796472691261</v>
      </c>
      <c r="T409" s="29">
        <v>102249.11523405886</v>
      </c>
      <c r="V409" s="29">
        <v>102249.11523405886</v>
      </c>
      <c r="X409" s="29">
        <v>202.23864958379269</v>
      </c>
      <c r="Y409" s="29">
        <v>20021.626308795476</v>
      </c>
      <c r="AF409">
        <v>1.0077597354518448</v>
      </c>
      <c r="AG409">
        <v>92024.203710652975</v>
      </c>
      <c r="AH409">
        <v>92024.203710652975</v>
      </c>
      <c r="AI409">
        <v>0</v>
      </c>
      <c r="AJ409">
        <v>0</v>
      </c>
      <c r="AK409">
        <v>0</v>
      </c>
      <c r="AL409" t="s">
        <v>215</v>
      </c>
      <c r="AM409">
        <v>20223.864958379269</v>
      </c>
    </row>
    <row r="410" spans="2:39">
      <c r="B410">
        <v>403</v>
      </c>
      <c r="C410" t="s">
        <v>27</v>
      </c>
      <c r="D410" t="s">
        <v>65</v>
      </c>
      <c r="E410" t="s">
        <v>211</v>
      </c>
      <c r="H410" t="s">
        <v>122</v>
      </c>
      <c r="I410" t="s">
        <v>31</v>
      </c>
      <c r="M410" s="29">
        <v>5794.1165299300019</v>
      </c>
      <c r="N410" s="29"/>
      <c r="O410" s="29">
        <f>Table2[[#This Row],[Hot water demand (MWh)]]+Table2[[#This Row],[Space heating demand (MWh)]]</f>
        <v>5794.1165299300019</v>
      </c>
      <c r="P410" s="29">
        <v>1334.7750872530321</v>
      </c>
      <c r="Q410" s="29">
        <v>13.482576638919516</v>
      </c>
      <c r="S410" s="17">
        <v>1.3436796472691261</v>
      </c>
      <c r="T410" s="29">
        <v>6816.6076822705909</v>
      </c>
      <c r="V410" s="29">
        <v>6816.6076822705909</v>
      </c>
      <c r="X410" s="29">
        <v>13.482576638919516</v>
      </c>
      <c r="Y410" s="29">
        <v>1334.7750872530321</v>
      </c>
      <c r="AF410">
        <v>6.718398236345631E-2</v>
      </c>
      <c r="AG410">
        <v>5794.1165299300019</v>
      </c>
      <c r="AH410">
        <v>5794.1165299300019</v>
      </c>
      <c r="AI410">
        <v>0</v>
      </c>
      <c r="AJ410">
        <v>0</v>
      </c>
      <c r="AK410">
        <v>0</v>
      </c>
      <c r="AL410" t="s">
        <v>217</v>
      </c>
      <c r="AM410">
        <v>1348.2576638919516</v>
      </c>
    </row>
    <row r="411" spans="2:39">
      <c r="B411">
        <v>404</v>
      </c>
      <c r="C411" t="s">
        <v>27</v>
      </c>
      <c r="D411" t="s">
        <v>65</v>
      </c>
      <c r="E411" t="s">
        <v>211</v>
      </c>
      <c r="H411" t="s">
        <v>119</v>
      </c>
      <c r="I411" t="s">
        <v>31</v>
      </c>
      <c r="M411" s="29">
        <v>23176.466119720008</v>
      </c>
      <c r="N411" s="29"/>
      <c r="O411" s="29">
        <f>Table2[[#This Row],[Hot water demand (MWh)]]+Table2[[#This Row],[Space heating demand (MWh)]]</f>
        <v>23176.466119720008</v>
      </c>
      <c r="P411" s="29">
        <v>5339.1003490121284</v>
      </c>
      <c r="Q411" s="29">
        <v>53.930306555678065</v>
      </c>
      <c r="S411" s="17">
        <v>1.3436796472691261</v>
      </c>
      <c r="T411" s="29">
        <v>27266.430729082364</v>
      </c>
      <c r="V411" s="29">
        <v>27266.430729082364</v>
      </c>
      <c r="X411" s="29">
        <v>53.930306555678065</v>
      </c>
      <c r="Y411" s="29">
        <v>5339.1003490121284</v>
      </c>
      <c r="AF411">
        <v>0.26873592945382524</v>
      </c>
      <c r="AG411">
        <v>23176.466119720008</v>
      </c>
      <c r="AH411">
        <v>23176.466119720008</v>
      </c>
      <c r="AI411">
        <v>0</v>
      </c>
      <c r="AJ411">
        <v>0</v>
      </c>
      <c r="AK411">
        <v>0</v>
      </c>
      <c r="AL411" t="s">
        <v>214</v>
      </c>
      <c r="AM411">
        <v>5393.0306555678062</v>
      </c>
    </row>
    <row r="412" spans="2:39">
      <c r="B412">
        <v>405</v>
      </c>
      <c r="C412" t="s">
        <v>27</v>
      </c>
      <c r="D412" t="s">
        <v>65</v>
      </c>
      <c r="E412" t="s">
        <v>211</v>
      </c>
      <c r="H412" t="s">
        <v>121</v>
      </c>
      <c r="I412" t="s">
        <v>31</v>
      </c>
      <c r="M412" s="29">
        <v>0</v>
      </c>
      <c r="N412" s="29"/>
      <c r="O412" s="29">
        <f>Table2[[#This Row],[Hot water demand (MWh)]]+Table2[[#This Row],[Space heating demand (MWh)]]</f>
        <v>0</v>
      </c>
      <c r="P412" s="29">
        <v>0</v>
      </c>
      <c r="Q412" s="29">
        <v>0</v>
      </c>
      <c r="S412" s="17">
        <v>0</v>
      </c>
      <c r="T412" s="29">
        <v>0</v>
      </c>
      <c r="V412" s="29">
        <v>0</v>
      </c>
      <c r="X412" s="29">
        <v>0</v>
      </c>
      <c r="Y412" s="29">
        <v>0</v>
      </c>
      <c r="AF412">
        <v>0</v>
      </c>
      <c r="AG412">
        <v>0</v>
      </c>
      <c r="AH412">
        <v>0</v>
      </c>
      <c r="AI412">
        <v>0</v>
      </c>
      <c r="AJ412">
        <v>0</v>
      </c>
      <c r="AK412">
        <v>0</v>
      </c>
      <c r="AL412" t="s">
        <v>216</v>
      </c>
      <c r="AM412">
        <v>0</v>
      </c>
    </row>
    <row r="413" spans="2:39">
      <c r="B413">
        <v>406</v>
      </c>
      <c r="C413" t="s">
        <v>27</v>
      </c>
      <c r="D413" t="s">
        <v>66</v>
      </c>
      <c r="E413" t="s">
        <v>211</v>
      </c>
      <c r="H413" t="s">
        <v>122</v>
      </c>
      <c r="I413" t="s">
        <v>31</v>
      </c>
      <c r="M413" s="29">
        <v>0</v>
      </c>
      <c r="N413" s="29"/>
      <c r="O413" s="29">
        <f>Table2[[#This Row],[Hot water demand (MWh)]]+Table2[[#This Row],[Space heating demand (MWh)]]</f>
        <v>0</v>
      </c>
      <c r="P413" s="29">
        <v>0</v>
      </c>
      <c r="Q413" s="29">
        <v>0</v>
      </c>
      <c r="S413" s="17">
        <v>0</v>
      </c>
      <c r="T413" s="29">
        <v>0</v>
      </c>
      <c r="V413" s="29">
        <v>0</v>
      </c>
      <c r="X413" s="29">
        <v>0</v>
      </c>
      <c r="Y413" s="29">
        <v>0</v>
      </c>
      <c r="AF413">
        <v>0</v>
      </c>
      <c r="AG413">
        <v>0</v>
      </c>
      <c r="AH413">
        <v>0</v>
      </c>
      <c r="AI413">
        <v>0</v>
      </c>
      <c r="AJ413">
        <v>0</v>
      </c>
      <c r="AK413">
        <v>0</v>
      </c>
      <c r="AL413" t="s">
        <v>217</v>
      </c>
      <c r="AM413">
        <v>0</v>
      </c>
    </row>
    <row r="414" spans="2:39">
      <c r="B414">
        <v>407</v>
      </c>
      <c r="C414" t="s">
        <v>27</v>
      </c>
      <c r="D414" t="s">
        <v>66</v>
      </c>
      <c r="E414" t="s">
        <v>211</v>
      </c>
      <c r="H414" t="s">
        <v>117</v>
      </c>
      <c r="I414" t="s">
        <v>31</v>
      </c>
      <c r="M414" s="29">
        <v>0</v>
      </c>
      <c r="N414" s="29"/>
      <c r="O414" s="29">
        <f>Table2[[#This Row],[Hot water demand (MWh)]]+Table2[[#This Row],[Space heating demand (MWh)]]</f>
        <v>0</v>
      </c>
      <c r="P414" s="29">
        <v>0</v>
      </c>
      <c r="Q414" s="29">
        <v>0</v>
      </c>
      <c r="S414" s="17">
        <v>0</v>
      </c>
      <c r="T414" s="29">
        <v>0</v>
      </c>
      <c r="V414" s="29">
        <v>0</v>
      </c>
      <c r="X414" s="29">
        <v>0</v>
      </c>
      <c r="Y414" s="29">
        <v>0</v>
      </c>
      <c r="AF414">
        <v>0</v>
      </c>
      <c r="AG414">
        <v>0</v>
      </c>
      <c r="AH414">
        <v>0</v>
      </c>
      <c r="AI414">
        <v>0</v>
      </c>
      <c r="AJ414">
        <v>0</v>
      </c>
      <c r="AK414">
        <v>0</v>
      </c>
      <c r="AL414" t="s">
        <v>212</v>
      </c>
      <c r="AM414">
        <v>0</v>
      </c>
    </row>
    <row r="415" spans="2:39">
      <c r="B415">
        <v>408</v>
      </c>
      <c r="C415" t="s">
        <v>27</v>
      </c>
      <c r="D415" t="s">
        <v>66</v>
      </c>
      <c r="E415" t="s">
        <v>211</v>
      </c>
      <c r="H415" t="s">
        <v>118</v>
      </c>
      <c r="I415" t="s">
        <v>31</v>
      </c>
      <c r="M415" s="29">
        <v>0</v>
      </c>
      <c r="N415" s="29"/>
      <c r="O415" s="29">
        <f>Table2[[#This Row],[Hot water demand (MWh)]]+Table2[[#This Row],[Space heating demand (MWh)]]</f>
        <v>0</v>
      </c>
      <c r="P415" s="29">
        <v>0</v>
      </c>
      <c r="Q415" s="29">
        <v>0</v>
      </c>
      <c r="S415" s="17">
        <v>0</v>
      </c>
      <c r="T415" s="29">
        <v>0</v>
      </c>
      <c r="V415" s="29">
        <v>0</v>
      </c>
      <c r="X415" s="29">
        <v>0</v>
      </c>
      <c r="Y415" s="29">
        <v>0</v>
      </c>
      <c r="AF415">
        <v>0</v>
      </c>
      <c r="AG415">
        <v>0</v>
      </c>
      <c r="AH415">
        <v>0</v>
      </c>
      <c r="AI415">
        <v>0</v>
      </c>
      <c r="AJ415">
        <v>0</v>
      </c>
      <c r="AK415">
        <v>0</v>
      </c>
      <c r="AL415" t="s">
        <v>213</v>
      </c>
      <c r="AM415">
        <v>0</v>
      </c>
    </row>
    <row r="416" spans="2:39">
      <c r="B416">
        <v>409</v>
      </c>
      <c r="C416" t="s">
        <v>27</v>
      </c>
      <c r="D416" t="s">
        <v>66</v>
      </c>
      <c r="E416" t="s">
        <v>211</v>
      </c>
      <c r="H416" t="s">
        <v>123</v>
      </c>
      <c r="I416" t="s">
        <v>31</v>
      </c>
      <c r="M416" s="29">
        <v>0</v>
      </c>
      <c r="N416" s="29"/>
      <c r="O416" s="29">
        <f>Table2[[#This Row],[Hot water demand (MWh)]]+Table2[[#This Row],[Space heating demand (MWh)]]</f>
        <v>0</v>
      </c>
      <c r="P416" s="29">
        <v>0</v>
      </c>
      <c r="Q416" s="29">
        <v>0</v>
      </c>
      <c r="S416" s="17">
        <v>0</v>
      </c>
      <c r="T416" s="29">
        <v>0</v>
      </c>
      <c r="V416" s="29">
        <v>0</v>
      </c>
      <c r="X416" s="29">
        <v>0</v>
      </c>
      <c r="Y416" s="29">
        <v>0</v>
      </c>
      <c r="AF416">
        <v>0</v>
      </c>
      <c r="AG416">
        <v>0</v>
      </c>
      <c r="AH416">
        <v>0</v>
      </c>
      <c r="AI416">
        <v>0</v>
      </c>
      <c r="AJ416">
        <v>0</v>
      </c>
      <c r="AK416">
        <v>0</v>
      </c>
      <c r="AL416" t="s">
        <v>218</v>
      </c>
      <c r="AM416">
        <v>0</v>
      </c>
    </row>
    <row r="417" spans="2:39">
      <c r="B417">
        <v>410</v>
      </c>
      <c r="C417" t="s">
        <v>27</v>
      </c>
      <c r="D417" t="s">
        <v>66</v>
      </c>
      <c r="E417" t="s">
        <v>211</v>
      </c>
      <c r="H417" t="s">
        <v>119</v>
      </c>
      <c r="I417" t="s">
        <v>31</v>
      </c>
      <c r="M417" s="29">
        <v>0</v>
      </c>
      <c r="N417" s="29"/>
      <c r="O417" s="29">
        <f>Table2[[#This Row],[Hot water demand (MWh)]]+Table2[[#This Row],[Space heating demand (MWh)]]</f>
        <v>0</v>
      </c>
      <c r="P417" s="29">
        <v>0</v>
      </c>
      <c r="Q417" s="29">
        <v>0</v>
      </c>
      <c r="S417" s="17">
        <v>0</v>
      </c>
      <c r="T417" s="29">
        <v>0</v>
      </c>
      <c r="V417" s="29">
        <v>0</v>
      </c>
      <c r="X417" s="29">
        <v>0</v>
      </c>
      <c r="Y417" s="29">
        <v>0</v>
      </c>
      <c r="AF417">
        <v>0</v>
      </c>
      <c r="AG417">
        <v>0</v>
      </c>
      <c r="AH417">
        <v>0</v>
      </c>
      <c r="AI417">
        <v>0</v>
      </c>
      <c r="AJ417">
        <v>0</v>
      </c>
      <c r="AK417">
        <v>0</v>
      </c>
      <c r="AL417" t="s">
        <v>214</v>
      </c>
      <c r="AM417">
        <v>0</v>
      </c>
    </row>
    <row r="418" spans="2:39">
      <c r="B418">
        <v>411</v>
      </c>
      <c r="C418" t="s">
        <v>27</v>
      </c>
      <c r="D418" t="s">
        <v>66</v>
      </c>
      <c r="E418" t="s">
        <v>211</v>
      </c>
      <c r="H418" t="s">
        <v>121</v>
      </c>
      <c r="I418" t="s">
        <v>31</v>
      </c>
      <c r="M418" s="29">
        <v>0</v>
      </c>
      <c r="N418" s="29"/>
      <c r="O418" s="29">
        <f>Table2[[#This Row],[Hot water demand (MWh)]]+Table2[[#This Row],[Space heating demand (MWh)]]</f>
        <v>0</v>
      </c>
      <c r="P418" s="29">
        <v>0</v>
      </c>
      <c r="Q418" s="29">
        <v>0</v>
      </c>
      <c r="S418" s="17">
        <v>0</v>
      </c>
      <c r="T418" s="29">
        <v>0</v>
      </c>
      <c r="V418" s="29">
        <v>0</v>
      </c>
      <c r="X418" s="29">
        <v>0</v>
      </c>
      <c r="Y418" s="29">
        <v>0</v>
      </c>
      <c r="AF418">
        <v>0</v>
      </c>
      <c r="AG418">
        <v>0</v>
      </c>
      <c r="AH418">
        <v>0</v>
      </c>
      <c r="AI418">
        <v>0</v>
      </c>
      <c r="AJ418">
        <v>0</v>
      </c>
      <c r="AK418">
        <v>0</v>
      </c>
      <c r="AL418" t="s">
        <v>216</v>
      </c>
      <c r="AM418">
        <v>0</v>
      </c>
    </row>
    <row r="419" spans="2:39">
      <c r="B419">
        <v>412</v>
      </c>
      <c r="C419" t="s">
        <v>27</v>
      </c>
      <c r="D419" t="s">
        <v>67</v>
      </c>
      <c r="E419" t="s">
        <v>211</v>
      </c>
      <c r="H419" t="s">
        <v>117</v>
      </c>
      <c r="I419" t="s">
        <v>31</v>
      </c>
      <c r="M419" s="29">
        <v>0</v>
      </c>
      <c r="N419" s="29"/>
      <c r="O419" s="29">
        <f>Table2[[#This Row],[Hot water demand (MWh)]]+Table2[[#This Row],[Space heating demand (MWh)]]</f>
        <v>0</v>
      </c>
      <c r="P419" s="29">
        <v>0</v>
      </c>
      <c r="Q419" s="29">
        <v>0</v>
      </c>
      <c r="S419" s="17">
        <v>0</v>
      </c>
      <c r="T419" s="29">
        <v>0</v>
      </c>
      <c r="V419" s="29">
        <v>0</v>
      </c>
      <c r="X419" s="29">
        <v>0</v>
      </c>
      <c r="Y419" s="29">
        <v>0</v>
      </c>
      <c r="AF419">
        <v>0</v>
      </c>
      <c r="AG419">
        <v>0</v>
      </c>
      <c r="AH419">
        <v>0</v>
      </c>
      <c r="AI419">
        <v>0</v>
      </c>
      <c r="AJ419">
        <v>0</v>
      </c>
      <c r="AK419">
        <v>0</v>
      </c>
      <c r="AL419" t="s">
        <v>212</v>
      </c>
      <c r="AM419">
        <v>0</v>
      </c>
    </row>
    <row r="420" spans="2:39">
      <c r="B420">
        <v>413</v>
      </c>
      <c r="C420" t="s">
        <v>27</v>
      </c>
      <c r="D420" t="s">
        <v>67</v>
      </c>
      <c r="E420" t="s">
        <v>211</v>
      </c>
      <c r="H420" t="s">
        <v>118</v>
      </c>
      <c r="I420" t="s">
        <v>31</v>
      </c>
      <c r="M420" s="29">
        <v>0</v>
      </c>
      <c r="N420" s="29"/>
      <c r="O420" s="29">
        <f>Table2[[#This Row],[Hot water demand (MWh)]]+Table2[[#This Row],[Space heating demand (MWh)]]</f>
        <v>0</v>
      </c>
      <c r="P420" s="29">
        <v>0</v>
      </c>
      <c r="Q420" s="29">
        <v>0</v>
      </c>
      <c r="S420" s="17">
        <v>0</v>
      </c>
      <c r="T420" s="29">
        <v>0</v>
      </c>
      <c r="V420" s="29">
        <v>0</v>
      </c>
      <c r="X420" s="29">
        <v>0</v>
      </c>
      <c r="Y420" s="29">
        <v>0</v>
      </c>
      <c r="AF420">
        <v>0</v>
      </c>
      <c r="AG420">
        <v>0</v>
      </c>
      <c r="AH420">
        <v>0</v>
      </c>
      <c r="AI420">
        <v>0</v>
      </c>
      <c r="AJ420">
        <v>0</v>
      </c>
      <c r="AK420">
        <v>0</v>
      </c>
      <c r="AL420" t="s">
        <v>213</v>
      </c>
      <c r="AM420">
        <v>0</v>
      </c>
    </row>
    <row r="421" spans="2:39">
      <c r="B421">
        <v>414</v>
      </c>
      <c r="C421" t="s">
        <v>27</v>
      </c>
      <c r="D421" t="s">
        <v>67</v>
      </c>
      <c r="E421" t="s">
        <v>211</v>
      </c>
      <c r="H421" t="s">
        <v>123</v>
      </c>
      <c r="I421" t="s">
        <v>31</v>
      </c>
      <c r="M421" s="29">
        <v>0</v>
      </c>
      <c r="N421" s="29"/>
      <c r="O421" s="29">
        <f>Table2[[#This Row],[Hot water demand (MWh)]]+Table2[[#This Row],[Space heating demand (MWh)]]</f>
        <v>0</v>
      </c>
      <c r="P421" s="29">
        <v>0</v>
      </c>
      <c r="Q421" s="29">
        <v>0</v>
      </c>
      <c r="S421" s="17">
        <v>0</v>
      </c>
      <c r="T421" s="29">
        <v>0</v>
      </c>
      <c r="V421" s="29">
        <v>0</v>
      </c>
      <c r="X421" s="29">
        <v>0</v>
      </c>
      <c r="Y421" s="29">
        <v>0</v>
      </c>
      <c r="AF421">
        <v>0</v>
      </c>
      <c r="AG421">
        <v>0</v>
      </c>
      <c r="AH421">
        <v>0</v>
      </c>
      <c r="AI421">
        <v>0</v>
      </c>
      <c r="AJ421">
        <v>0</v>
      </c>
      <c r="AK421">
        <v>0</v>
      </c>
      <c r="AL421" t="s">
        <v>218</v>
      </c>
      <c r="AM421">
        <v>0</v>
      </c>
    </row>
    <row r="422" spans="2:39">
      <c r="B422">
        <v>415</v>
      </c>
      <c r="C422" t="s">
        <v>27</v>
      </c>
      <c r="D422" t="s">
        <v>67</v>
      </c>
      <c r="E422" t="s">
        <v>211</v>
      </c>
      <c r="H422" t="s">
        <v>119</v>
      </c>
      <c r="I422" t="s">
        <v>31</v>
      </c>
      <c r="M422" s="29">
        <v>0</v>
      </c>
      <c r="N422" s="29"/>
      <c r="O422" s="29">
        <f>Table2[[#This Row],[Hot water demand (MWh)]]+Table2[[#This Row],[Space heating demand (MWh)]]</f>
        <v>0</v>
      </c>
      <c r="P422" s="29">
        <v>0</v>
      </c>
      <c r="Q422" s="29">
        <v>0</v>
      </c>
      <c r="S422" s="17">
        <v>0</v>
      </c>
      <c r="T422" s="29">
        <v>0</v>
      </c>
      <c r="V422" s="29">
        <v>0</v>
      </c>
      <c r="X422" s="29">
        <v>0</v>
      </c>
      <c r="Y422" s="29">
        <v>0</v>
      </c>
      <c r="AF422">
        <v>0</v>
      </c>
      <c r="AG422">
        <v>0</v>
      </c>
      <c r="AH422">
        <v>0</v>
      </c>
      <c r="AI422">
        <v>0</v>
      </c>
      <c r="AJ422">
        <v>0</v>
      </c>
      <c r="AK422">
        <v>0</v>
      </c>
      <c r="AL422" t="s">
        <v>214</v>
      </c>
      <c r="AM422">
        <v>0</v>
      </c>
    </row>
    <row r="423" spans="2:39">
      <c r="B423">
        <v>416</v>
      </c>
      <c r="C423" t="s">
        <v>27</v>
      </c>
      <c r="D423" t="s">
        <v>67</v>
      </c>
      <c r="E423" t="s">
        <v>211</v>
      </c>
      <c r="H423" t="s">
        <v>121</v>
      </c>
      <c r="I423" t="s">
        <v>31</v>
      </c>
      <c r="M423" s="29">
        <v>0</v>
      </c>
      <c r="N423" s="29"/>
      <c r="O423" s="29">
        <f>Table2[[#This Row],[Hot water demand (MWh)]]+Table2[[#This Row],[Space heating demand (MWh)]]</f>
        <v>0</v>
      </c>
      <c r="P423" s="29">
        <v>0</v>
      </c>
      <c r="Q423" s="29">
        <v>0</v>
      </c>
      <c r="S423" s="17">
        <v>0</v>
      </c>
      <c r="T423" s="29">
        <v>0</v>
      </c>
      <c r="V423" s="29">
        <v>0</v>
      </c>
      <c r="X423" s="29">
        <v>0</v>
      </c>
      <c r="Y423" s="29">
        <v>0</v>
      </c>
      <c r="AF423">
        <v>0</v>
      </c>
      <c r="AG423">
        <v>0</v>
      </c>
      <c r="AH423">
        <v>0</v>
      </c>
      <c r="AI423">
        <v>0</v>
      </c>
      <c r="AJ423">
        <v>0</v>
      </c>
      <c r="AK423">
        <v>0</v>
      </c>
      <c r="AL423" t="s">
        <v>216</v>
      </c>
      <c r="AM423">
        <v>0</v>
      </c>
    </row>
    <row r="424" spans="2:39">
      <c r="B424">
        <v>417</v>
      </c>
      <c r="C424" t="s">
        <v>27</v>
      </c>
      <c r="D424" t="s">
        <v>59</v>
      </c>
      <c r="E424" t="s">
        <v>211</v>
      </c>
      <c r="H424" t="s">
        <v>124</v>
      </c>
      <c r="I424" t="s">
        <v>20</v>
      </c>
      <c r="M424" s="29">
        <v>224926.73512874768</v>
      </c>
      <c r="N424" s="29"/>
      <c r="O424" s="29">
        <f>Table2[[#This Row],[Hot water demand (MWh)]]+Table2[[#This Row],[Space heating demand (MWh)]]</f>
        <v>224926.73512874768</v>
      </c>
      <c r="P424" s="29">
        <v>-24622.601305633518</v>
      </c>
      <c r="Q424" s="29">
        <v>213.08579730150552</v>
      </c>
      <c r="S424" s="17">
        <v>3.986636436067359E-2</v>
      </c>
      <c r="T424" s="29">
        <v>244485.58166168226</v>
      </c>
      <c r="V424" s="29">
        <v>244485.58166168226</v>
      </c>
      <c r="X424" s="29">
        <v>213.08579730150552</v>
      </c>
      <c r="Y424" s="29">
        <v>-24622.601305633518</v>
      </c>
      <c r="AF424">
        <v>1.5946545744269433E-3</v>
      </c>
      <c r="AG424">
        <v>224926.73512874768</v>
      </c>
      <c r="AH424">
        <v>0</v>
      </c>
      <c r="AI424">
        <v>224926.73512874768</v>
      </c>
      <c r="AJ424">
        <v>0</v>
      </c>
      <c r="AK424">
        <v>0</v>
      </c>
      <c r="AL424" t="s">
        <v>212</v>
      </c>
      <c r="AM424">
        <v>21308.579730150552</v>
      </c>
    </row>
    <row r="425" spans="2:39">
      <c r="B425">
        <v>418</v>
      </c>
      <c r="C425" t="s">
        <v>27</v>
      </c>
      <c r="D425" t="s">
        <v>59</v>
      </c>
      <c r="E425" t="s">
        <v>211</v>
      </c>
      <c r="H425" t="s">
        <v>125</v>
      </c>
      <c r="I425" t="s">
        <v>20</v>
      </c>
      <c r="M425" s="29">
        <v>1833641.8624626175</v>
      </c>
      <c r="N425" s="29"/>
      <c r="O425" s="29">
        <f>Table2[[#This Row],[Hot water demand (MWh)]]+Table2[[#This Row],[Space heating demand (MWh)]]</f>
        <v>1833641.8624626175</v>
      </c>
      <c r="P425" s="29">
        <v>-369339.01958450273</v>
      </c>
      <c r="Q425" s="29">
        <v>3196.2869595225829</v>
      </c>
      <c r="S425" s="29">
        <v>6.644394060112262E-3</v>
      </c>
      <c r="T425" s="29">
        <v>3667283.7249252349</v>
      </c>
      <c r="V425" s="29">
        <v>3667283.7249252349</v>
      </c>
      <c r="X425" s="29">
        <v>3196.2869595225829</v>
      </c>
      <c r="Y425" s="29">
        <v>-369339.01958450273</v>
      </c>
      <c r="AF425">
        <v>3.9866364360673567E-3</v>
      </c>
      <c r="AG425">
        <v>1833641.8624626175</v>
      </c>
      <c r="AH425">
        <v>0</v>
      </c>
      <c r="AI425">
        <v>1833641.8624626175</v>
      </c>
      <c r="AJ425">
        <v>0</v>
      </c>
      <c r="AK425">
        <v>0</v>
      </c>
      <c r="AL425" t="s">
        <v>213</v>
      </c>
      <c r="AM425">
        <v>319628.69595225831</v>
      </c>
    </row>
    <row r="426" spans="2:39">
      <c r="B426">
        <v>419</v>
      </c>
      <c r="C426" t="s">
        <v>27</v>
      </c>
      <c r="D426" t="s">
        <v>59</v>
      </c>
      <c r="E426" t="s">
        <v>211</v>
      </c>
      <c r="H426" t="s">
        <v>126</v>
      </c>
      <c r="I426" t="s">
        <v>20</v>
      </c>
      <c r="M426" s="29">
        <v>277083.65921657329</v>
      </c>
      <c r="N426" s="29"/>
      <c r="O426" s="29">
        <f>Table2[[#This Row],[Hot water demand (MWh)]]+Table2[[#This Row],[Space heating demand (MWh)]]</f>
        <v>277083.65921657329</v>
      </c>
      <c r="P426" s="29">
        <v>-32830.135074178026</v>
      </c>
      <c r="Q426" s="29">
        <v>284.11439640200746</v>
      </c>
      <c r="S426" s="29">
        <v>1.9933182180336788E-2</v>
      </c>
      <c r="T426" s="29">
        <v>325980.77554890979</v>
      </c>
      <c r="V426" s="29">
        <v>325980.77554890979</v>
      </c>
      <c r="X426" s="29">
        <v>284.11439640200746</v>
      </c>
      <c r="Y426" s="29">
        <v>-32830.135074178026</v>
      </c>
      <c r="AF426">
        <v>1.063103049617962E-3</v>
      </c>
      <c r="AG426">
        <v>277083.65921657329</v>
      </c>
      <c r="AH426">
        <v>277083.65921657329</v>
      </c>
      <c r="AI426">
        <v>0</v>
      </c>
      <c r="AJ426">
        <v>0</v>
      </c>
      <c r="AK426">
        <v>0</v>
      </c>
      <c r="AL426" t="s">
        <v>214</v>
      </c>
      <c r="AM426">
        <v>28411.439640200748</v>
      </c>
    </row>
    <row r="427" spans="2:39">
      <c r="B427">
        <v>420</v>
      </c>
      <c r="C427" t="s">
        <v>27</v>
      </c>
      <c r="D427" t="s">
        <v>60</v>
      </c>
      <c r="E427" t="s">
        <v>211</v>
      </c>
      <c r="H427" t="s">
        <v>127</v>
      </c>
      <c r="I427" t="s">
        <v>20</v>
      </c>
      <c r="M427" s="29">
        <v>700801.54934857693</v>
      </c>
      <c r="N427" s="29"/>
      <c r="O427" s="29">
        <f>Table2[[#This Row],[Hot water demand (MWh)]]+Table2[[#This Row],[Space heating demand (MWh)]]</f>
        <v>700801.54934857693</v>
      </c>
      <c r="P427" s="29">
        <v>154709.36183466294</v>
      </c>
      <c r="Q427" s="29">
        <v>1562.720826612757</v>
      </c>
      <c r="S427" s="17">
        <v>3.1544078347838532E-2</v>
      </c>
      <c r="T427" s="29">
        <v>778668.38816508546</v>
      </c>
      <c r="V427" s="29">
        <v>778668.38816508546</v>
      </c>
      <c r="X427" s="29">
        <v>1562.720826612757</v>
      </c>
      <c r="Y427" s="29">
        <v>154709.36183466294</v>
      </c>
      <c r="AF427">
        <v>3.0597755997403376E-2</v>
      </c>
      <c r="AG427">
        <v>700801.54934857693</v>
      </c>
      <c r="AH427">
        <v>700801.54934857693</v>
      </c>
      <c r="AI427">
        <v>0</v>
      </c>
      <c r="AJ427">
        <v>0</v>
      </c>
      <c r="AK427">
        <v>0</v>
      </c>
      <c r="AL427" t="s">
        <v>215</v>
      </c>
      <c r="AM427">
        <v>156272.08266127569</v>
      </c>
    </row>
    <row r="428" spans="2:39">
      <c r="B428">
        <v>421</v>
      </c>
      <c r="C428" t="s">
        <v>27</v>
      </c>
      <c r="D428" t="s">
        <v>60</v>
      </c>
      <c r="E428" t="s">
        <v>211</v>
      </c>
      <c r="H428" t="s">
        <v>126</v>
      </c>
      <c r="I428" t="s">
        <v>20</v>
      </c>
      <c r="M428" s="29">
        <v>0</v>
      </c>
      <c r="N428" s="29"/>
      <c r="O428" s="29">
        <f>Table2[[#This Row],[Hot water demand (MWh)]]+Table2[[#This Row],[Space heating demand (MWh)]]</f>
        <v>0</v>
      </c>
      <c r="P428" s="29">
        <v>0</v>
      </c>
      <c r="Q428" s="29">
        <v>0</v>
      </c>
      <c r="S428" s="17">
        <v>0</v>
      </c>
      <c r="T428" s="29">
        <v>0</v>
      </c>
      <c r="V428" s="29">
        <v>0</v>
      </c>
      <c r="X428" s="29">
        <v>0</v>
      </c>
      <c r="Y428" s="29">
        <v>0</v>
      </c>
      <c r="AF428">
        <v>0</v>
      </c>
      <c r="AG428">
        <v>0</v>
      </c>
      <c r="AH428">
        <v>0</v>
      </c>
      <c r="AI428">
        <v>0</v>
      </c>
      <c r="AJ428">
        <v>0</v>
      </c>
      <c r="AK428">
        <v>0</v>
      </c>
      <c r="AL428" t="s">
        <v>214</v>
      </c>
      <c r="AM428">
        <v>0</v>
      </c>
    </row>
    <row r="429" spans="2:39">
      <c r="B429">
        <v>422</v>
      </c>
      <c r="C429" t="s">
        <v>27</v>
      </c>
      <c r="D429" t="s">
        <v>60</v>
      </c>
      <c r="E429" t="s">
        <v>211</v>
      </c>
      <c r="H429" t="s">
        <v>128</v>
      </c>
      <c r="I429" t="s">
        <v>20</v>
      </c>
      <c r="M429" s="29">
        <v>22155.925271501401</v>
      </c>
      <c r="N429" s="29"/>
      <c r="O429" s="29">
        <f>Table2[[#This Row],[Hot water demand (MWh)]]+Table2[[#This Row],[Space heating demand (MWh)]]</f>
        <v>22155.925271501401</v>
      </c>
      <c r="P429" s="29">
        <v>4784.8256237524611</v>
      </c>
      <c r="Q429" s="29">
        <v>48.331571957095569</v>
      </c>
      <c r="S429" s="17">
        <v>3.1544078347838525E-2</v>
      </c>
      <c r="T429" s="29">
        <v>24082.527469023262</v>
      </c>
      <c r="V429" s="29">
        <v>24082.527469023262</v>
      </c>
      <c r="X429" s="29">
        <v>48.331571957095569</v>
      </c>
      <c r="Y429" s="29">
        <v>4784.8256237524611</v>
      </c>
      <c r="AF429">
        <v>9.4632235043515581E-4</v>
      </c>
      <c r="AG429">
        <v>22155.925271501401</v>
      </c>
      <c r="AH429">
        <v>0</v>
      </c>
      <c r="AI429">
        <v>22155.925271501401</v>
      </c>
      <c r="AJ429">
        <v>0</v>
      </c>
      <c r="AK429">
        <v>0</v>
      </c>
      <c r="AL429" t="s">
        <v>216</v>
      </c>
      <c r="AM429">
        <v>4833.1571957095566</v>
      </c>
    </row>
    <row r="430" spans="2:39">
      <c r="B430">
        <v>423</v>
      </c>
      <c r="C430" t="s">
        <v>27</v>
      </c>
      <c r="D430" t="s">
        <v>61</v>
      </c>
      <c r="E430" t="s">
        <v>211</v>
      </c>
      <c r="H430" t="s">
        <v>124</v>
      </c>
      <c r="I430" t="s">
        <v>20</v>
      </c>
      <c r="M430" s="29">
        <v>44244.853521556033</v>
      </c>
      <c r="N430" s="29"/>
      <c r="O430" s="29">
        <f>Table2[[#This Row],[Hot water demand (MWh)]]+Table2[[#This Row],[Space heating demand (MWh)]]</f>
        <v>44244.853521556033</v>
      </c>
      <c r="P430" s="29">
        <v>3856.5827587257759</v>
      </c>
      <c r="Q430" s="29">
        <v>680.57342801043103</v>
      </c>
      <c r="S430" s="17">
        <v>5.129408087239426E-2</v>
      </c>
      <c r="T430" s="29">
        <v>48092.232088647863</v>
      </c>
      <c r="V430" s="29">
        <v>48092.232088647863</v>
      </c>
      <c r="X430" s="29">
        <v>680.57342801043103</v>
      </c>
      <c r="Y430" s="29">
        <v>3856.5827587257759</v>
      </c>
      <c r="AF430">
        <v>1.7098026957464755E-3</v>
      </c>
      <c r="AG430">
        <v>44244.853521556033</v>
      </c>
      <c r="AH430">
        <v>0</v>
      </c>
      <c r="AI430">
        <v>44244.853521556033</v>
      </c>
      <c r="AJ430">
        <v>0</v>
      </c>
      <c r="AK430">
        <v>0</v>
      </c>
      <c r="AL430" t="s">
        <v>212</v>
      </c>
      <c r="AM430">
        <v>4537.156186736207</v>
      </c>
    </row>
    <row r="431" spans="2:39">
      <c r="B431">
        <v>424</v>
      </c>
      <c r="C431" t="s">
        <v>27</v>
      </c>
      <c r="D431" t="s">
        <v>61</v>
      </c>
      <c r="E431" t="s">
        <v>211</v>
      </c>
      <c r="H431" t="s">
        <v>125</v>
      </c>
      <c r="I431" t="s">
        <v>20</v>
      </c>
      <c r="M431" s="29">
        <v>144276.69626594358</v>
      </c>
      <c r="N431" s="29"/>
      <c r="O431" s="29">
        <f>Table2[[#This Row],[Hot water demand (MWh)]]+Table2[[#This Row],[Space heating demand (MWh)]]</f>
        <v>144276.69626594358</v>
      </c>
      <c r="P431" s="29">
        <v>23139.49655235466</v>
      </c>
      <c r="Q431" s="29">
        <v>4083.4405680625869</v>
      </c>
      <c r="S431" s="17">
        <v>1.7098026957464752E-2</v>
      </c>
      <c r="T431" s="29">
        <v>288553.39253188716</v>
      </c>
      <c r="V431" s="29">
        <v>288553.39253188716</v>
      </c>
      <c r="X431" s="29">
        <v>4083.4405680625869</v>
      </c>
      <c r="Y431" s="29">
        <v>23139.49655235466</v>
      </c>
      <c r="AF431">
        <v>3.4196053914929509E-3</v>
      </c>
      <c r="AG431">
        <v>144276.69626594358</v>
      </c>
      <c r="AH431">
        <v>0</v>
      </c>
      <c r="AI431">
        <v>144276.69626594358</v>
      </c>
      <c r="AJ431">
        <v>0</v>
      </c>
      <c r="AK431">
        <v>0</v>
      </c>
      <c r="AL431" t="s">
        <v>213</v>
      </c>
      <c r="AM431">
        <v>27222.937120417246</v>
      </c>
    </row>
    <row r="432" spans="2:39">
      <c r="B432">
        <v>425</v>
      </c>
      <c r="C432" t="s">
        <v>27</v>
      </c>
      <c r="D432" t="s">
        <v>61</v>
      </c>
      <c r="E432" t="s">
        <v>211</v>
      </c>
      <c r="H432" t="s">
        <v>126</v>
      </c>
      <c r="I432" t="s">
        <v>20</v>
      </c>
      <c r="M432" s="29">
        <v>85844.634278236394</v>
      </c>
      <c r="N432" s="29"/>
      <c r="O432" s="29">
        <f>Table2[[#This Row],[Hot water demand (MWh)]]+Table2[[#This Row],[Space heating demand (MWh)]]</f>
        <v>85844.634278236394</v>
      </c>
      <c r="P432" s="29">
        <v>8098.8237933241298</v>
      </c>
      <c r="Q432" s="29">
        <v>1429.2041988219053</v>
      </c>
      <c r="S432" s="17">
        <v>0.17098026957464757</v>
      </c>
      <c r="T432" s="29">
        <v>100993.68738616047</v>
      </c>
      <c r="V432" s="29">
        <v>100993.68738616047</v>
      </c>
      <c r="X432" s="29">
        <v>1429.2041988219053</v>
      </c>
      <c r="Y432" s="29">
        <v>8098.8237933241298</v>
      </c>
      <c r="AF432">
        <v>1.1968618870225326E-2</v>
      </c>
      <c r="AG432">
        <v>85844.634278236394</v>
      </c>
      <c r="AH432">
        <v>0</v>
      </c>
      <c r="AI432">
        <v>85844.634278236394</v>
      </c>
      <c r="AJ432">
        <v>0</v>
      </c>
      <c r="AK432">
        <v>0</v>
      </c>
      <c r="AL432" t="s">
        <v>214</v>
      </c>
      <c r="AM432">
        <v>9528.0279921460351</v>
      </c>
    </row>
    <row r="433" spans="2:39">
      <c r="B433">
        <v>426</v>
      </c>
      <c r="C433" t="s">
        <v>27</v>
      </c>
      <c r="D433" t="s">
        <v>62</v>
      </c>
      <c r="E433" t="s">
        <v>211</v>
      </c>
      <c r="H433" t="s">
        <v>124</v>
      </c>
      <c r="I433" t="s">
        <v>20</v>
      </c>
      <c r="M433" s="29">
        <v>60532.217858898985</v>
      </c>
      <c r="N433" s="29"/>
      <c r="O433" s="29">
        <f>Table2[[#This Row],[Hot water demand (MWh)]]+Table2[[#This Row],[Space heating demand (MWh)]]</f>
        <v>60532.217858898985</v>
      </c>
      <c r="P433" s="29">
        <v>13594.059587070991</v>
      </c>
      <c r="Q433" s="29">
        <v>137.3137332027373</v>
      </c>
      <c r="S433" s="17">
        <v>2.5020761530506457E-2</v>
      </c>
      <c r="T433" s="29">
        <v>65795.888977064111</v>
      </c>
      <c r="V433" s="29">
        <v>65795.888977064111</v>
      </c>
      <c r="X433" s="29">
        <v>137.3137332027373</v>
      </c>
      <c r="Y433" s="29">
        <v>13594.059587070991</v>
      </c>
      <c r="AF433">
        <v>5.0041523061012914E-3</v>
      </c>
      <c r="AG433">
        <v>60532.217858898985</v>
      </c>
      <c r="AH433">
        <v>0</v>
      </c>
      <c r="AI433">
        <v>0</v>
      </c>
      <c r="AJ433">
        <v>60532.217858898985</v>
      </c>
      <c r="AK433">
        <v>0</v>
      </c>
      <c r="AL433" t="s">
        <v>212</v>
      </c>
      <c r="AM433">
        <v>13731.373320273729</v>
      </c>
    </row>
    <row r="434" spans="2:39">
      <c r="B434">
        <v>427</v>
      </c>
      <c r="C434" t="s">
        <v>27</v>
      </c>
      <c r="D434" t="s">
        <v>62</v>
      </c>
      <c r="E434" t="s">
        <v>211</v>
      </c>
      <c r="H434" t="s">
        <v>128</v>
      </c>
      <c r="I434" t="s">
        <v>20</v>
      </c>
      <c r="M434" s="29">
        <v>90798.32678834848</v>
      </c>
      <c r="N434" s="29"/>
      <c r="O434" s="29">
        <f>Table2[[#This Row],[Hot water demand (MWh)]]+Table2[[#This Row],[Space heating demand (MWh)]]</f>
        <v>90798.32678834848</v>
      </c>
      <c r="P434" s="29">
        <v>20391.089380606489</v>
      </c>
      <c r="Q434" s="29">
        <v>205.97059980410594</v>
      </c>
      <c r="S434" s="17">
        <v>2.5020761530506454E-2</v>
      </c>
      <c r="T434" s="29">
        <v>98693.833465596166</v>
      </c>
      <c r="V434" s="29">
        <v>98693.833465596166</v>
      </c>
      <c r="X434" s="29">
        <v>205.97059980410594</v>
      </c>
      <c r="Y434" s="29">
        <v>20391.089380606489</v>
      </c>
      <c r="AF434">
        <v>7.5062284591519328E-3</v>
      </c>
      <c r="AG434">
        <v>90798.32678834848</v>
      </c>
      <c r="AH434">
        <v>0</v>
      </c>
      <c r="AI434">
        <v>0</v>
      </c>
      <c r="AJ434">
        <v>90798.32678834848</v>
      </c>
      <c r="AK434">
        <v>0</v>
      </c>
      <c r="AL434" t="s">
        <v>216</v>
      </c>
      <c r="AM434">
        <v>20597.059980410595</v>
      </c>
    </row>
    <row r="435" spans="2:39">
      <c r="B435">
        <v>428</v>
      </c>
      <c r="C435" t="s">
        <v>27</v>
      </c>
      <c r="D435" t="s">
        <v>63</v>
      </c>
      <c r="E435" t="s">
        <v>211</v>
      </c>
      <c r="H435" t="s">
        <v>129</v>
      </c>
      <c r="I435" t="s">
        <v>20</v>
      </c>
      <c r="M435" s="29">
        <v>3912.5926646471194</v>
      </c>
      <c r="N435" s="29"/>
      <c r="O435" s="29">
        <f>Table2[[#This Row],[Hot water demand (MWh)]]+Table2[[#This Row],[Space heating demand (MWh)]]</f>
        <v>3912.5926646471194</v>
      </c>
      <c r="P435" s="29">
        <v>2274.5250033373973</v>
      </c>
      <c r="Q435" s="29">
        <v>22.975000033711087</v>
      </c>
      <c r="S435" s="17">
        <v>5.7610504902319448E-2</v>
      </c>
      <c r="T435" s="29">
        <v>4603.0501937024937</v>
      </c>
      <c r="V435" s="29">
        <v>4603.0501937024937</v>
      </c>
      <c r="X435" s="29">
        <v>22.975000033711087</v>
      </c>
      <c r="Y435" s="29">
        <v>2274.5250033373973</v>
      </c>
      <c r="AF435">
        <v>5.7610504902319455E-3</v>
      </c>
      <c r="AG435">
        <v>3912.5926646471194</v>
      </c>
      <c r="AH435">
        <v>3912.5926646471194</v>
      </c>
      <c r="AI435">
        <v>0</v>
      </c>
      <c r="AJ435">
        <v>0</v>
      </c>
      <c r="AK435">
        <v>0</v>
      </c>
      <c r="AL435" t="s">
        <v>217</v>
      </c>
      <c r="AM435">
        <v>2297.5000033711085</v>
      </c>
    </row>
    <row r="436" spans="2:39">
      <c r="B436">
        <v>429</v>
      </c>
      <c r="C436" t="s">
        <v>27</v>
      </c>
      <c r="D436" t="s">
        <v>63</v>
      </c>
      <c r="E436" t="s">
        <v>211</v>
      </c>
      <c r="H436" t="s">
        <v>124</v>
      </c>
      <c r="I436" t="s">
        <v>20</v>
      </c>
      <c r="M436" s="29">
        <v>12704.418534618882</v>
      </c>
      <c r="N436" s="29"/>
      <c r="O436" s="29">
        <f>Table2[[#This Row],[Hot water demand (MWh)]]+Table2[[#This Row],[Space heating demand (MWh)]]</f>
        <v>12704.418534618882</v>
      </c>
      <c r="P436" s="29">
        <v>6823.5750100121904</v>
      </c>
      <c r="Q436" s="29">
        <v>68.925000101133236</v>
      </c>
      <c r="S436" s="17">
        <v>0.11522100980463888</v>
      </c>
      <c r="T436" s="29">
        <v>13809.15058110748</v>
      </c>
      <c r="V436" s="29">
        <v>13809.15058110748</v>
      </c>
      <c r="X436" s="29">
        <v>68.925000101133236</v>
      </c>
      <c r="Y436" s="29">
        <v>6823.5750100121904</v>
      </c>
      <c r="AF436">
        <v>3.4566302941391666E-2</v>
      </c>
      <c r="AG436">
        <v>12704.418534618882</v>
      </c>
      <c r="AH436">
        <v>0</v>
      </c>
      <c r="AI436">
        <v>0</v>
      </c>
      <c r="AJ436">
        <v>12704.418534618882</v>
      </c>
      <c r="AK436">
        <v>0</v>
      </c>
      <c r="AL436" t="s">
        <v>212</v>
      </c>
      <c r="AM436">
        <v>6892.5000101133237</v>
      </c>
    </row>
    <row r="437" spans="2:39">
      <c r="B437">
        <v>430</v>
      </c>
      <c r="C437" t="s">
        <v>27</v>
      </c>
      <c r="D437" t="s">
        <v>63</v>
      </c>
      <c r="E437" t="s">
        <v>211</v>
      </c>
      <c r="H437" t="s">
        <v>128</v>
      </c>
      <c r="I437" t="s">
        <v>20</v>
      </c>
      <c r="M437" s="29">
        <v>6352.2092673094412</v>
      </c>
      <c r="N437" s="29"/>
      <c r="O437" s="29">
        <f>Table2[[#This Row],[Hot water demand (MWh)]]+Table2[[#This Row],[Space heating demand (MWh)]]</f>
        <v>6352.2092673094412</v>
      </c>
      <c r="P437" s="29">
        <v>3411.7875050060952</v>
      </c>
      <c r="Q437" s="29">
        <v>34.462500050566618</v>
      </c>
      <c r="S437" s="17">
        <v>0.11522100980463888</v>
      </c>
      <c r="T437" s="29">
        <v>6904.5752905537402</v>
      </c>
      <c r="V437" s="29">
        <v>6904.5752905537402</v>
      </c>
      <c r="X437" s="29">
        <v>34.462500050566618</v>
      </c>
      <c r="Y437" s="29">
        <v>3411.7875050060952</v>
      </c>
      <c r="AF437">
        <v>1.7283151470695833E-2</v>
      </c>
      <c r="AG437">
        <v>6352.2092673094412</v>
      </c>
      <c r="AH437">
        <v>0</v>
      </c>
      <c r="AI437">
        <v>6352.2092673094412</v>
      </c>
      <c r="AJ437">
        <v>0</v>
      </c>
      <c r="AK437">
        <v>0</v>
      </c>
      <c r="AL437" t="s">
        <v>216</v>
      </c>
      <c r="AM437">
        <v>3446.2500050566618</v>
      </c>
    </row>
    <row r="438" spans="2:39">
      <c r="B438">
        <v>431</v>
      </c>
      <c r="C438" t="s">
        <v>27</v>
      </c>
      <c r="D438" t="s">
        <v>64</v>
      </c>
      <c r="E438" t="s">
        <v>211</v>
      </c>
      <c r="H438" t="s">
        <v>124</v>
      </c>
      <c r="I438" t="s">
        <v>20</v>
      </c>
      <c r="M438" s="29">
        <v>25336.63402326277</v>
      </c>
      <c r="N438" s="29"/>
      <c r="O438" s="29">
        <f>Table2[[#This Row],[Hot water demand (MWh)]]+Table2[[#This Row],[Space heating demand (MWh)]]</f>
        <v>25336.63402326277</v>
      </c>
      <c r="P438" s="29">
        <v>4431.3629426572079</v>
      </c>
      <c r="Q438" s="29">
        <v>2672.2009286600437</v>
      </c>
      <c r="S438" s="17">
        <v>3.92366413622275</v>
      </c>
      <c r="T438" s="29">
        <v>27539.819590503008</v>
      </c>
      <c r="V438" s="29">
        <v>27539.819590503008</v>
      </c>
      <c r="X438" s="29">
        <v>2672.2009286600437</v>
      </c>
      <c r="Y438" s="29">
        <v>4431.3629426572079</v>
      </c>
      <c r="AF438">
        <v>0.78473282724454996</v>
      </c>
      <c r="AG438">
        <v>25336.63402326277</v>
      </c>
      <c r="AH438">
        <v>0</v>
      </c>
      <c r="AI438">
        <v>2533.6634023262773</v>
      </c>
      <c r="AJ438">
        <v>15201.980413957661</v>
      </c>
      <c r="AK438">
        <v>7600.9902069788304</v>
      </c>
      <c r="AL438" t="s">
        <v>212</v>
      </c>
      <c r="AM438">
        <v>9897.0404765186795</v>
      </c>
    </row>
    <row r="439" spans="2:39">
      <c r="B439">
        <v>432</v>
      </c>
      <c r="C439" t="s">
        <v>27</v>
      </c>
      <c r="D439" t="s">
        <v>64</v>
      </c>
      <c r="E439" t="s">
        <v>211</v>
      </c>
      <c r="H439" t="s">
        <v>125</v>
      </c>
      <c r="I439" t="s">
        <v>20</v>
      </c>
      <c r="M439" s="29">
        <v>30982.297039315879</v>
      </c>
      <c r="N439" s="29"/>
      <c r="O439" s="29">
        <f>Table2[[#This Row],[Hot water demand (MWh)]]+Table2[[#This Row],[Space heating demand (MWh)]]</f>
        <v>30982.297039315879</v>
      </c>
      <c r="P439" s="29">
        <v>9970.5666209787232</v>
      </c>
      <c r="Q439" s="29">
        <v>6012.4520894850966</v>
      </c>
      <c r="S439" s="17">
        <v>1.961832068111375</v>
      </c>
      <c r="T439" s="29">
        <v>61964.594078631759</v>
      </c>
      <c r="V439" s="29">
        <v>61964.594078631759</v>
      </c>
      <c r="X439" s="29">
        <v>6012.4520894850966</v>
      </c>
      <c r="Y439" s="29">
        <v>9970.5666209787232</v>
      </c>
      <c r="AF439">
        <v>0.88282443065011862</v>
      </c>
      <c r="AG439">
        <v>30982.297039315879</v>
      </c>
      <c r="AH439">
        <v>0</v>
      </c>
      <c r="AI439">
        <v>0</v>
      </c>
      <c r="AJ439">
        <v>30982.297039315879</v>
      </c>
      <c r="AK439">
        <v>0</v>
      </c>
      <c r="AL439" t="s">
        <v>213</v>
      </c>
      <c r="AM439">
        <v>22268.341072167023</v>
      </c>
    </row>
    <row r="440" spans="2:39">
      <c r="B440">
        <v>433</v>
      </c>
      <c r="C440" t="s">
        <v>27</v>
      </c>
      <c r="D440" t="s">
        <v>64</v>
      </c>
      <c r="E440" t="s">
        <v>211</v>
      </c>
      <c r="H440" t="s">
        <v>130</v>
      </c>
      <c r="I440" t="s">
        <v>20</v>
      </c>
      <c r="M440" s="29">
        <v>25336.63402326277</v>
      </c>
      <c r="N440" s="29"/>
      <c r="O440" s="29">
        <f>Table2[[#This Row],[Hot water demand (MWh)]]+Table2[[#This Row],[Space heating demand (MWh)]]</f>
        <v>25336.63402326277</v>
      </c>
      <c r="P440" s="29">
        <v>4431.3629426572079</v>
      </c>
      <c r="Q440" s="29">
        <v>2672.2009286600437</v>
      </c>
      <c r="S440" s="17">
        <v>0.9809160340556875</v>
      </c>
      <c r="T440" s="29">
        <v>27539.819590503008</v>
      </c>
      <c r="V440" s="29">
        <v>27539.819590503008</v>
      </c>
      <c r="X440" s="29">
        <v>2672.2009286600437</v>
      </c>
      <c r="Y440" s="29">
        <v>4431.3629426572079</v>
      </c>
      <c r="AF440">
        <v>0.19618320681113749</v>
      </c>
      <c r="AG440">
        <v>25336.63402326277</v>
      </c>
      <c r="AH440">
        <v>0</v>
      </c>
      <c r="AI440">
        <v>25336.63402326277</v>
      </c>
      <c r="AJ440">
        <v>0</v>
      </c>
      <c r="AK440">
        <v>0</v>
      </c>
      <c r="AL440" t="s">
        <v>218</v>
      </c>
      <c r="AM440">
        <v>9897.0404765186795</v>
      </c>
    </row>
    <row r="441" spans="2:39">
      <c r="B441">
        <v>434</v>
      </c>
      <c r="C441" t="s">
        <v>27</v>
      </c>
      <c r="D441" t="s">
        <v>64</v>
      </c>
      <c r="E441" t="s">
        <v>211</v>
      </c>
      <c r="H441" t="s">
        <v>128</v>
      </c>
      <c r="I441" t="s">
        <v>20</v>
      </c>
      <c r="M441" s="29">
        <v>12668.317011631385</v>
      </c>
      <c r="N441" s="29"/>
      <c r="O441" s="29">
        <f>Table2[[#This Row],[Hot water demand (MWh)]]+Table2[[#This Row],[Space heating demand (MWh)]]</f>
        <v>12668.317011631385</v>
      </c>
      <c r="P441" s="29">
        <v>2215.6814713286039</v>
      </c>
      <c r="Q441" s="29">
        <v>1336.1004643300219</v>
      </c>
      <c r="S441" s="17">
        <v>0.9809160340556875</v>
      </c>
      <c r="T441" s="29">
        <v>13769.909795251504</v>
      </c>
      <c r="V441" s="29">
        <v>13769.909795251504</v>
      </c>
      <c r="X441" s="29">
        <v>1336.1004643300219</v>
      </c>
      <c r="Y441" s="29">
        <v>2215.6814713286039</v>
      </c>
      <c r="AF441">
        <v>9.8091603405568745E-2</v>
      </c>
      <c r="AG441">
        <v>12668.317011631385</v>
      </c>
      <c r="AH441">
        <v>0</v>
      </c>
      <c r="AI441">
        <v>0</v>
      </c>
      <c r="AJ441">
        <v>0</v>
      </c>
      <c r="AK441">
        <v>12668.317011631385</v>
      </c>
      <c r="AL441" t="s">
        <v>216</v>
      </c>
      <c r="AM441">
        <v>4948.5202382593397</v>
      </c>
    </row>
    <row r="442" spans="2:39">
      <c r="B442">
        <v>435</v>
      </c>
      <c r="C442" t="s">
        <v>27</v>
      </c>
      <c r="D442" t="s">
        <v>65</v>
      </c>
      <c r="E442" t="s">
        <v>211</v>
      </c>
      <c r="H442" t="s">
        <v>127</v>
      </c>
      <c r="I442" t="s">
        <v>20</v>
      </c>
      <c r="M442" s="29">
        <v>92024.203710652961</v>
      </c>
      <c r="N442" s="29"/>
      <c r="O442" s="29">
        <f>Table2[[#This Row],[Hot water demand (MWh)]]+Table2[[#This Row],[Space heating demand (MWh)]]</f>
        <v>92024.203710652961</v>
      </c>
      <c r="P442" s="29">
        <v>20021.626308795479</v>
      </c>
      <c r="Q442" s="29">
        <v>202.23864958379272</v>
      </c>
      <c r="S442" s="17">
        <v>7.5462102807185676E-3</v>
      </c>
      <c r="T442" s="29">
        <v>102249.11523405885</v>
      </c>
      <c r="V442" s="29">
        <v>102249.11523405885</v>
      </c>
      <c r="X442" s="29">
        <v>202.23864958379272</v>
      </c>
      <c r="Y442" s="29">
        <v>20021.626308795479</v>
      </c>
      <c r="AF442">
        <v>5.6596577105389257E-3</v>
      </c>
      <c r="AG442">
        <v>92024.203710652961</v>
      </c>
      <c r="AH442">
        <v>92024.203710652961</v>
      </c>
      <c r="AI442">
        <v>0</v>
      </c>
      <c r="AJ442">
        <v>0</v>
      </c>
      <c r="AK442">
        <v>0</v>
      </c>
      <c r="AL442" t="s">
        <v>215</v>
      </c>
      <c r="AM442">
        <v>20223.864958379272</v>
      </c>
    </row>
    <row r="443" spans="2:39">
      <c r="B443">
        <v>436</v>
      </c>
      <c r="C443" t="s">
        <v>27</v>
      </c>
      <c r="D443" t="s">
        <v>65</v>
      </c>
      <c r="E443" t="s">
        <v>211</v>
      </c>
      <c r="H443" t="s">
        <v>129</v>
      </c>
      <c r="I443" t="s">
        <v>20</v>
      </c>
      <c r="M443" s="29">
        <v>5794.1165299300019</v>
      </c>
      <c r="N443" s="29"/>
      <c r="O443" s="29">
        <f>Table2[[#This Row],[Hot water demand (MWh)]]+Table2[[#This Row],[Space heating demand (MWh)]]</f>
        <v>5794.1165299300019</v>
      </c>
      <c r="P443" s="29">
        <v>1334.7750872530321</v>
      </c>
      <c r="Q443" s="29">
        <v>13.482576638919516</v>
      </c>
      <c r="S443" s="17">
        <v>7.5462102807185676E-3</v>
      </c>
      <c r="T443" s="29">
        <v>6816.6076822705909</v>
      </c>
      <c r="V443" s="29">
        <v>6816.6076822705909</v>
      </c>
      <c r="X443" s="29">
        <v>13.482576638919516</v>
      </c>
      <c r="Y443" s="29">
        <v>1334.7750872530321</v>
      </c>
      <c r="AF443">
        <v>3.7731051403592836E-4</v>
      </c>
      <c r="AG443">
        <v>5794.1165299300019</v>
      </c>
      <c r="AH443">
        <v>5794.1165299300019</v>
      </c>
      <c r="AI443">
        <v>0</v>
      </c>
      <c r="AJ443">
        <v>0</v>
      </c>
      <c r="AK443">
        <v>0</v>
      </c>
      <c r="AL443" t="s">
        <v>217</v>
      </c>
      <c r="AM443">
        <v>1348.2576638919516</v>
      </c>
    </row>
    <row r="444" spans="2:39">
      <c r="B444">
        <v>437</v>
      </c>
      <c r="C444" t="s">
        <v>27</v>
      </c>
      <c r="D444" t="s">
        <v>65</v>
      </c>
      <c r="E444" t="s">
        <v>211</v>
      </c>
      <c r="H444" t="s">
        <v>126</v>
      </c>
      <c r="I444" t="s">
        <v>20</v>
      </c>
      <c r="M444" s="29">
        <v>23176.466119720008</v>
      </c>
      <c r="N444" s="29"/>
      <c r="O444" s="29">
        <f>Table2[[#This Row],[Hot water demand (MWh)]]+Table2[[#This Row],[Space heating demand (MWh)]]</f>
        <v>23176.466119720008</v>
      </c>
      <c r="P444" s="29">
        <v>5339.1003490121284</v>
      </c>
      <c r="Q444" s="29">
        <v>53.930306555678065</v>
      </c>
      <c r="S444" s="17">
        <v>7.5462102807185676E-3</v>
      </c>
      <c r="T444" s="29">
        <v>27266.430729082364</v>
      </c>
      <c r="V444" s="29">
        <v>27266.430729082364</v>
      </c>
      <c r="X444" s="29">
        <v>53.930306555678065</v>
      </c>
      <c r="Y444" s="29">
        <v>5339.1003490121284</v>
      </c>
      <c r="AF444">
        <v>1.5092420561437134E-3</v>
      </c>
      <c r="AG444">
        <v>23176.466119720008</v>
      </c>
      <c r="AH444">
        <v>23176.466119720008</v>
      </c>
      <c r="AI444">
        <v>0</v>
      </c>
      <c r="AJ444">
        <v>0</v>
      </c>
      <c r="AK444">
        <v>0</v>
      </c>
      <c r="AL444" t="s">
        <v>214</v>
      </c>
      <c r="AM444">
        <v>5393.0306555678062</v>
      </c>
    </row>
    <row r="445" spans="2:39">
      <c r="B445">
        <v>438</v>
      </c>
      <c r="C445" t="s">
        <v>27</v>
      </c>
      <c r="D445" t="s">
        <v>65</v>
      </c>
      <c r="E445" t="s">
        <v>211</v>
      </c>
      <c r="H445" t="s">
        <v>128</v>
      </c>
      <c r="I445" t="s">
        <v>20</v>
      </c>
      <c r="M445" s="29">
        <v>0</v>
      </c>
      <c r="N445" s="29"/>
      <c r="O445" s="29">
        <f>Table2[[#This Row],[Hot water demand (MWh)]]+Table2[[#This Row],[Space heating demand (MWh)]]</f>
        <v>0</v>
      </c>
      <c r="P445" s="29">
        <v>0</v>
      </c>
      <c r="Q445" s="29">
        <v>0</v>
      </c>
      <c r="S445" s="17">
        <v>0</v>
      </c>
      <c r="T445" s="29">
        <v>0</v>
      </c>
      <c r="V445" s="29">
        <v>0</v>
      </c>
      <c r="X445" s="29">
        <v>0</v>
      </c>
      <c r="Y445" s="29">
        <v>0</v>
      </c>
      <c r="AF445">
        <v>0</v>
      </c>
      <c r="AG445">
        <v>0</v>
      </c>
      <c r="AH445">
        <v>0</v>
      </c>
      <c r="AI445">
        <v>0</v>
      </c>
      <c r="AJ445">
        <v>0</v>
      </c>
      <c r="AK445">
        <v>0</v>
      </c>
      <c r="AL445" t="s">
        <v>216</v>
      </c>
      <c r="AM445">
        <v>0</v>
      </c>
    </row>
    <row r="446" spans="2:39">
      <c r="B446">
        <v>439</v>
      </c>
      <c r="C446" t="s">
        <v>27</v>
      </c>
      <c r="D446" t="s">
        <v>66</v>
      </c>
      <c r="E446" t="s">
        <v>211</v>
      </c>
      <c r="H446" t="s">
        <v>129</v>
      </c>
      <c r="I446" t="s">
        <v>20</v>
      </c>
      <c r="M446" s="29">
        <v>0</v>
      </c>
      <c r="N446" s="29"/>
      <c r="O446" s="29">
        <f>Table2[[#This Row],[Hot water demand (MWh)]]+Table2[[#This Row],[Space heating demand (MWh)]]</f>
        <v>0</v>
      </c>
      <c r="P446" s="29">
        <v>0</v>
      </c>
      <c r="Q446" s="29">
        <v>0</v>
      </c>
      <c r="S446" s="17">
        <v>0</v>
      </c>
      <c r="T446" s="29">
        <v>0</v>
      </c>
      <c r="V446" s="29">
        <v>0</v>
      </c>
      <c r="X446" s="29">
        <v>0</v>
      </c>
      <c r="Y446" s="29">
        <v>0</v>
      </c>
      <c r="AF446">
        <v>0</v>
      </c>
      <c r="AG446">
        <v>0</v>
      </c>
      <c r="AH446">
        <v>0</v>
      </c>
      <c r="AI446">
        <v>0</v>
      </c>
      <c r="AJ446">
        <v>0</v>
      </c>
      <c r="AK446">
        <v>0</v>
      </c>
      <c r="AL446" t="s">
        <v>217</v>
      </c>
      <c r="AM446">
        <v>0</v>
      </c>
    </row>
    <row r="447" spans="2:39">
      <c r="B447">
        <v>440</v>
      </c>
      <c r="C447" t="s">
        <v>27</v>
      </c>
      <c r="D447" t="s">
        <v>66</v>
      </c>
      <c r="E447" t="s">
        <v>211</v>
      </c>
      <c r="H447" t="s">
        <v>124</v>
      </c>
      <c r="I447" t="s">
        <v>20</v>
      </c>
      <c r="M447" s="29">
        <v>67341.297623179882</v>
      </c>
      <c r="N447" s="29"/>
      <c r="O447" s="29">
        <f>Table2[[#This Row],[Hot water demand (MWh)]]+Table2[[#This Row],[Space heating demand (MWh)]]</f>
        <v>67341.297623179882</v>
      </c>
      <c r="P447" s="29">
        <v>110208.47844633301</v>
      </c>
      <c r="Q447" s="29">
        <v>5886.6755547565954</v>
      </c>
      <c r="S447" s="17">
        <v>6.9989830222831617E-3</v>
      </c>
      <c r="T447" s="29">
        <v>73197.062633891168</v>
      </c>
      <c r="V447" s="29">
        <v>73197.062633891168</v>
      </c>
      <c r="X447" s="29">
        <v>5886.6755547565954</v>
      </c>
      <c r="Y447" s="29">
        <v>110208.47844633301</v>
      </c>
      <c r="AF447">
        <v>3.4994915111415809E-3</v>
      </c>
      <c r="AG447">
        <v>67341.297623179882</v>
      </c>
      <c r="AH447">
        <v>0</v>
      </c>
      <c r="AI447">
        <v>0</v>
      </c>
      <c r="AJ447">
        <v>40404.778573907926</v>
      </c>
      <c r="AK447">
        <v>26936.519049271956</v>
      </c>
      <c r="AL447" t="s">
        <v>212</v>
      </c>
      <c r="AM447">
        <v>117733.51109513191</v>
      </c>
    </row>
    <row r="448" spans="2:39">
      <c r="B448">
        <v>441</v>
      </c>
      <c r="C448" t="s">
        <v>27</v>
      </c>
      <c r="D448" t="s">
        <v>66</v>
      </c>
      <c r="E448" t="s">
        <v>211</v>
      </c>
      <c r="H448" t="s">
        <v>125</v>
      </c>
      <c r="I448" t="s">
        <v>20</v>
      </c>
      <c r="M448" s="29">
        <v>32938.678185251025</v>
      </c>
      <c r="N448" s="29"/>
      <c r="O448" s="29">
        <f>Table2[[#This Row],[Hot water demand (MWh)]]+Table2[[#This Row],[Space heating demand (MWh)]]</f>
        <v>32938.678185251025</v>
      </c>
      <c r="P448" s="29">
        <v>99187.630601699726</v>
      </c>
      <c r="Q448" s="29">
        <v>5298.007999280936</v>
      </c>
      <c r="S448" s="17">
        <v>6.9989830222831608E-3</v>
      </c>
      <c r="T448" s="29">
        <v>65877.35637050205</v>
      </c>
      <c r="V448" s="29">
        <v>65877.35637050205</v>
      </c>
      <c r="X448" s="29">
        <v>5298.007999280936</v>
      </c>
      <c r="Y448" s="29">
        <v>99187.630601699726</v>
      </c>
      <c r="AF448">
        <v>3.1495423600274228E-3</v>
      </c>
      <c r="AG448">
        <v>32938.678185251025</v>
      </c>
      <c r="AH448">
        <v>0</v>
      </c>
      <c r="AI448">
        <v>0</v>
      </c>
      <c r="AJ448">
        <v>32938.678185251025</v>
      </c>
      <c r="AK448">
        <v>0</v>
      </c>
      <c r="AL448" t="s">
        <v>213</v>
      </c>
      <c r="AM448">
        <v>105960.15998561871</v>
      </c>
    </row>
    <row r="449" spans="2:39">
      <c r="B449">
        <v>442</v>
      </c>
      <c r="C449" t="s">
        <v>27</v>
      </c>
      <c r="D449" t="s">
        <v>66</v>
      </c>
      <c r="E449" t="s">
        <v>211</v>
      </c>
      <c r="H449" t="s">
        <v>130</v>
      </c>
      <c r="I449" t="s">
        <v>20</v>
      </c>
      <c r="M449" s="29">
        <v>0</v>
      </c>
      <c r="N449" s="29"/>
      <c r="O449" s="29">
        <f>Table2[[#This Row],[Hot water demand (MWh)]]+Table2[[#This Row],[Space heating demand (MWh)]]</f>
        <v>0</v>
      </c>
      <c r="P449" s="29">
        <v>0</v>
      </c>
      <c r="Q449" s="29">
        <v>0</v>
      </c>
      <c r="S449" s="17">
        <v>0</v>
      </c>
      <c r="T449" s="29">
        <v>0</v>
      </c>
      <c r="V449" s="29">
        <v>0</v>
      </c>
      <c r="X449" s="29">
        <v>0</v>
      </c>
      <c r="Y449" s="29">
        <v>0</v>
      </c>
      <c r="AF449">
        <v>0</v>
      </c>
      <c r="AG449">
        <v>0</v>
      </c>
      <c r="AH449">
        <v>0</v>
      </c>
      <c r="AI449">
        <v>0</v>
      </c>
      <c r="AJ449">
        <v>0</v>
      </c>
      <c r="AK449">
        <v>0</v>
      </c>
      <c r="AL449" t="s">
        <v>218</v>
      </c>
      <c r="AM449">
        <v>0</v>
      </c>
    </row>
    <row r="450" spans="2:39">
      <c r="B450">
        <v>443</v>
      </c>
      <c r="C450" t="s">
        <v>27</v>
      </c>
      <c r="D450" t="s">
        <v>66</v>
      </c>
      <c r="E450" t="s">
        <v>211</v>
      </c>
      <c r="H450" t="s">
        <v>126</v>
      </c>
      <c r="I450" t="s">
        <v>20</v>
      </c>
      <c r="M450" s="29">
        <v>0</v>
      </c>
      <c r="N450" s="29"/>
      <c r="O450" s="29">
        <f>Table2[[#This Row],[Hot water demand (MWh)]]+Table2[[#This Row],[Space heating demand (MWh)]]</f>
        <v>0</v>
      </c>
      <c r="P450" s="29">
        <v>0</v>
      </c>
      <c r="Q450" s="29">
        <v>0</v>
      </c>
      <c r="S450" s="17">
        <v>0</v>
      </c>
      <c r="T450" s="29">
        <v>0</v>
      </c>
      <c r="V450" s="29">
        <v>0</v>
      </c>
      <c r="X450" s="29">
        <v>0</v>
      </c>
      <c r="Y450" s="29">
        <v>0</v>
      </c>
      <c r="AF450">
        <v>0</v>
      </c>
      <c r="AG450">
        <v>0</v>
      </c>
      <c r="AH450">
        <v>0</v>
      </c>
      <c r="AI450">
        <v>0</v>
      </c>
      <c r="AJ450">
        <v>0</v>
      </c>
      <c r="AK450">
        <v>0</v>
      </c>
      <c r="AL450" t="s">
        <v>214</v>
      </c>
      <c r="AM450">
        <v>0</v>
      </c>
    </row>
    <row r="451" spans="2:39">
      <c r="B451">
        <v>444</v>
      </c>
      <c r="C451" t="s">
        <v>27</v>
      </c>
      <c r="D451" t="s">
        <v>66</v>
      </c>
      <c r="E451" t="s">
        <v>211</v>
      </c>
      <c r="H451" t="s">
        <v>128</v>
      </c>
      <c r="I451" t="s">
        <v>20</v>
      </c>
      <c r="M451" s="29">
        <v>6734.1297623179862</v>
      </c>
      <c r="N451" s="29"/>
      <c r="O451" s="29">
        <f>Table2[[#This Row],[Hot water demand (MWh)]]+Table2[[#This Row],[Space heating demand (MWh)]]</f>
        <v>6734.1297623179862</v>
      </c>
      <c r="P451" s="29">
        <v>11020.847844633301</v>
      </c>
      <c r="Q451" s="29">
        <v>588.66755547565947</v>
      </c>
      <c r="S451" s="17">
        <v>6.9989830222831617E-3</v>
      </c>
      <c r="T451" s="29">
        <v>7319.7062633891155</v>
      </c>
      <c r="V451" s="29">
        <v>7319.7062633891155</v>
      </c>
      <c r="X451" s="29">
        <v>588.66755547565947</v>
      </c>
      <c r="Y451" s="29">
        <v>11020.847844633301</v>
      </c>
      <c r="AF451">
        <v>3.4994915111415803E-4</v>
      </c>
      <c r="AG451">
        <v>6734.1297623179862</v>
      </c>
      <c r="AH451">
        <v>0</v>
      </c>
      <c r="AI451">
        <v>0</v>
      </c>
      <c r="AJ451">
        <v>6734.1297623179862</v>
      </c>
      <c r="AK451">
        <v>0</v>
      </c>
      <c r="AL451" t="s">
        <v>216</v>
      </c>
      <c r="AM451">
        <v>11773.351109513189</v>
      </c>
    </row>
    <row r="452" spans="2:39">
      <c r="B452">
        <v>445</v>
      </c>
      <c r="C452" t="s">
        <v>27</v>
      </c>
      <c r="D452" t="s">
        <v>67</v>
      </c>
      <c r="E452" t="s">
        <v>211</v>
      </c>
      <c r="H452" t="s">
        <v>124</v>
      </c>
      <c r="I452" t="s">
        <v>20</v>
      </c>
      <c r="M452" s="29">
        <v>11518.273164948983</v>
      </c>
      <c r="N452" s="29"/>
      <c r="O452" s="29">
        <f>Table2[[#This Row],[Hot water demand (MWh)]]+Table2[[#This Row],[Space heating demand (MWh)]]</f>
        <v>11518.273164948983</v>
      </c>
      <c r="P452" s="29">
        <v>6959.790259026654</v>
      </c>
      <c r="Q452" s="29">
        <v>1088.4261113601781</v>
      </c>
      <c r="S452" s="17">
        <v>2.6718469589948715</v>
      </c>
      <c r="T452" s="29">
        <v>12519.862135814112</v>
      </c>
      <c r="V452" s="29">
        <v>12519.862135814112</v>
      </c>
      <c r="X452" s="29">
        <v>1088.4261113601781</v>
      </c>
      <c r="Y452" s="29">
        <v>6959.790259026654</v>
      </c>
      <c r="AF452">
        <v>0.60116556577384617</v>
      </c>
      <c r="AG452">
        <v>11518.273164948983</v>
      </c>
      <c r="AH452">
        <v>0</v>
      </c>
      <c r="AI452">
        <v>1151.8273164948985</v>
      </c>
      <c r="AJ452">
        <v>8062.7912154642881</v>
      </c>
      <c r="AK452">
        <v>2303.6546329897969</v>
      </c>
      <c r="AL452" t="s">
        <v>212</v>
      </c>
      <c r="AM452">
        <v>9070.2175946681509</v>
      </c>
    </row>
    <row r="453" spans="2:39">
      <c r="B453">
        <v>446</v>
      </c>
      <c r="C453" t="s">
        <v>27</v>
      </c>
      <c r="D453" t="s">
        <v>67</v>
      </c>
      <c r="E453" t="s">
        <v>211</v>
      </c>
      <c r="H453" t="s">
        <v>125</v>
      </c>
      <c r="I453" t="s">
        <v>20</v>
      </c>
      <c r="M453" s="29">
        <v>13910.957928682348</v>
      </c>
      <c r="N453" s="29"/>
      <c r="O453" s="29">
        <f>Table2[[#This Row],[Hot water demand (MWh)]]+Table2[[#This Row],[Space heating demand (MWh)]]</f>
        <v>13910.957928682348</v>
      </c>
      <c r="P453" s="29">
        <v>15466.200575614792</v>
      </c>
      <c r="Q453" s="29">
        <v>2418.7246919115069</v>
      </c>
      <c r="S453" s="17">
        <v>1.3359234794974353</v>
      </c>
      <c r="T453" s="29">
        <v>27821.915857364696</v>
      </c>
      <c r="V453" s="29">
        <v>27821.915857364696</v>
      </c>
      <c r="X453" s="29">
        <v>2418.7246919115069</v>
      </c>
      <c r="Y453" s="29">
        <v>15466.200575614792</v>
      </c>
      <c r="AF453">
        <v>0.66796173974871764</v>
      </c>
      <c r="AG453">
        <v>13910.957928682348</v>
      </c>
      <c r="AH453">
        <v>0</v>
      </c>
      <c r="AI453">
        <v>13910.957928682348</v>
      </c>
      <c r="AJ453">
        <v>0</v>
      </c>
      <c r="AK453">
        <v>0</v>
      </c>
      <c r="AL453" t="s">
        <v>213</v>
      </c>
      <c r="AM453">
        <v>20156.039099262558</v>
      </c>
    </row>
    <row r="454" spans="2:39">
      <c r="B454">
        <v>447</v>
      </c>
      <c r="C454" t="s">
        <v>27</v>
      </c>
      <c r="D454" t="s">
        <v>67</v>
      </c>
      <c r="E454" t="s">
        <v>211</v>
      </c>
      <c r="H454" t="s">
        <v>130</v>
      </c>
      <c r="I454" t="s">
        <v>20</v>
      </c>
      <c r="M454" s="29">
        <v>2559.6162588775514</v>
      </c>
      <c r="N454" s="29"/>
      <c r="O454" s="29">
        <f>Table2[[#This Row],[Hot water demand (MWh)]]+Table2[[#This Row],[Space heating demand (MWh)]]</f>
        <v>2559.6162588775514</v>
      </c>
      <c r="P454" s="29">
        <v>1546.6200575614787</v>
      </c>
      <c r="Q454" s="29">
        <v>241.87246919115066</v>
      </c>
      <c r="S454" s="17">
        <v>1.3359234794974357</v>
      </c>
      <c r="T454" s="29">
        <v>2782.1915857364688</v>
      </c>
      <c r="V454" s="29">
        <v>2782.1915857364688</v>
      </c>
      <c r="X454" s="29">
        <v>241.87246919115066</v>
      </c>
      <c r="Y454" s="29">
        <v>1546.6200575614787</v>
      </c>
      <c r="AF454">
        <v>6.6796173974871781E-2</v>
      </c>
      <c r="AG454">
        <v>2559.6162588775514</v>
      </c>
      <c r="AH454">
        <v>0</v>
      </c>
      <c r="AI454">
        <v>0</v>
      </c>
      <c r="AJ454">
        <v>2559.6162588775514</v>
      </c>
      <c r="AK454">
        <v>0</v>
      </c>
      <c r="AL454" t="s">
        <v>218</v>
      </c>
      <c r="AM454">
        <v>2015.6039099262555</v>
      </c>
    </row>
    <row r="455" spans="2:39">
      <c r="B455">
        <v>448</v>
      </c>
      <c r="C455" t="s">
        <v>27</v>
      </c>
      <c r="D455" t="s">
        <v>67</v>
      </c>
      <c r="E455" t="s">
        <v>211</v>
      </c>
      <c r="H455" t="s">
        <v>126</v>
      </c>
      <c r="I455" t="s">
        <v>20</v>
      </c>
      <c r="M455" s="29">
        <v>0</v>
      </c>
      <c r="N455" s="29"/>
      <c r="O455" s="29">
        <f>Table2[[#This Row],[Hot water demand (MWh)]]+Table2[[#This Row],[Space heating demand (MWh)]]</f>
        <v>0</v>
      </c>
      <c r="P455" s="29">
        <v>0</v>
      </c>
      <c r="Q455" s="29">
        <v>0</v>
      </c>
      <c r="S455" s="17">
        <v>0</v>
      </c>
      <c r="T455" s="29">
        <v>0</v>
      </c>
      <c r="V455" s="29">
        <v>0</v>
      </c>
      <c r="X455" s="29">
        <v>0</v>
      </c>
      <c r="Y455" s="29">
        <v>0</v>
      </c>
      <c r="AF455">
        <v>0</v>
      </c>
      <c r="AG455">
        <v>0</v>
      </c>
      <c r="AH455">
        <v>0</v>
      </c>
      <c r="AI455">
        <v>0</v>
      </c>
      <c r="AJ455">
        <v>0</v>
      </c>
      <c r="AK455">
        <v>0</v>
      </c>
      <c r="AL455" t="s">
        <v>214</v>
      </c>
      <c r="AM455">
        <v>0</v>
      </c>
    </row>
    <row r="456" spans="2:39">
      <c r="B456">
        <v>449</v>
      </c>
      <c r="C456" t="s">
        <v>27</v>
      </c>
      <c r="D456" t="s">
        <v>67</v>
      </c>
      <c r="E456" t="s">
        <v>211</v>
      </c>
      <c r="H456" t="s">
        <v>128</v>
      </c>
      <c r="I456" t="s">
        <v>20</v>
      </c>
      <c r="M456" s="29">
        <v>0</v>
      </c>
      <c r="N456" s="29"/>
      <c r="O456" s="29">
        <f>Table2[[#This Row],[Hot water demand (MWh)]]+Table2[[#This Row],[Space heating demand (MWh)]]</f>
        <v>0</v>
      </c>
      <c r="P456" s="29">
        <v>0</v>
      </c>
      <c r="Q456" s="29">
        <v>0</v>
      </c>
      <c r="S456" s="17">
        <v>0</v>
      </c>
      <c r="T456" s="29">
        <v>0</v>
      </c>
      <c r="V456" s="29">
        <v>0</v>
      </c>
      <c r="X456" s="29">
        <v>0</v>
      </c>
      <c r="Y456" s="29">
        <v>0</v>
      </c>
      <c r="AF456">
        <v>0</v>
      </c>
      <c r="AG456">
        <v>0</v>
      </c>
      <c r="AH456">
        <v>0</v>
      </c>
      <c r="AI456">
        <v>0</v>
      </c>
      <c r="AJ456">
        <v>0</v>
      </c>
      <c r="AK456">
        <v>0</v>
      </c>
      <c r="AL456" t="s">
        <v>216</v>
      </c>
      <c r="AM456">
        <v>0</v>
      </c>
    </row>
    <row r="457" spans="2:39">
      <c r="B457">
        <v>450</v>
      </c>
      <c r="C457" t="s">
        <v>27</v>
      </c>
      <c r="D457" t="s">
        <v>59</v>
      </c>
      <c r="E457" t="s">
        <v>211</v>
      </c>
      <c r="H457" t="s">
        <v>131</v>
      </c>
      <c r="I457" t="s">
        <v>19</v>
      </c>
      <c r="M457" s="29">
        <v>224926.73512874771</v>
      </c>
      <c r="N457" s="29"/>
      <c r="O457" s="29">
        <f>Table2[[#This Row],[Hot water demand (MWh)]]+Table2[[#This Row],[Space heating demand (MWh)]]</f>
        <v>224926.73512874771</v>
      </c>
      <c r="P457" s="29">
        <v>-24622.601305633518</v>
      </c>
      <c r="Q457" s="29">
        <v>213.08579730150555</v>
      </c>
      <c r="S457" s="17">
        <v>5.9601336356393269</v>
      </c>
      <c r="T457" s="29">
        <v>244485.58166168228</v>
      </c>
      <c r="V457" s="29">
        <v>244485.58166168228</v>
      </c>
      <c r="X457" s="29">
        <v>213.08579730150555</v>
      </c>
      <c r="Y457" s="29">
        <v>-24622.601305633518</v>
      </c>
      <c r="AF457">
        <v>0.23840534542557304</v>
      </c>
      <c r="AG457">
        <v>224926.73512874771</v>
      </c>
      <c r="AH457">
        <v>0</v>
      </c>
      <c r="AI457">
        <v>224926.73512874771</v>
      </c>
      <c r="AJ457">
        <v>0</v>
      </c>
      <c r="AK457">
        <v>0</v>
      </c>
      <c r="AL457" t="s">
        <v>212</v>
      </c>
      <c r="AM457">
        <v>21308.579730150555</v>
      </c>
    </row>
    <row r="458" spans="2:39">
      <c r="B458">
        <v>451</v>
      </c>
      <c r="C458" t="s">
        <v>27</v>
      </c>
      <c r="D458" t="s">
        <v>59</v>
      </c>
      <c r="E458" t="s">
        <v>211</v>
      </c>
      <c r="H458" t="s">
        <v>132</v>
      </c>
      <c r="I458" t="s">
        <v>19</v>
      </c>
      <c r="M458" s="29">
        <v>1833641.8624626177</v>
      </c>
      <c r="N458" s="29"/>
      <c r="O458" s="29">
        <f>Table2[[#This Row],[Hot water demand (MWh)]]+Table2[[#This Row],[Space heating demand (MWh)]]</f>
        <v>1833641.8624626177</v>
      </c>
      <c r="P458" s="29">
        <v>-369339.01958450273</v>
      </c>
      <c r="Q458" s="29">
        <v>3196.2869595225839</v>
      </c>
      <c r="S458" s="29">
        <v>0.9933556059398877</v>
      </c>
      <c r="T458" s="29">
        <v>3667283.7249252354</v>
      </c>
      <c r="V458" s="29">
        <v>3667283.7249252354</v>
      </c>
      <c r="X458" s="29">
        <v>3196.2869595225839</v>
      </c>
      <c r="Y458" s="29">
        <v>-369339.01958450273</v>
      </c>
      <c r="AF458">
        <v>0.59601336356393264</v>
      </c>
      <c r="AG458">
        <v>1833641.8624626177</v>
      </c>
      <c r="AH458">
        <v>0</v>
      </c>
      <c r="AI458">
        <v>1833641.8624626177</v>
      </c>
      <c r="AJ458">
        <v>0</v>
      </c>
      <c r="AK458">
        <v>0</v>
      </c>
      <c r="AL458" t="s">
        <v>213</v>
      </c>
      <c r="AM458">
        <v>319628.69595225836</v>
      </c>
    </row>
    <row r="459" spans="2:39">
      <c r="B459">
        <v>452</v>
      </c>
      <c r="C459" t="s">
        <v>27</v>
      </c>
      <c r="D459" t="s">
        <v>59</v>
      </c>
      <c r="E459" t="s">
        <v>211</v>
      </c>
      <c r="H459" t="s">
        <v>133</v>
      </c>
      <c r="I459" t="s">
        <v>19</v>
      </c>
      <c r="M459" s="29">
        <v>277083.65921657329</v>
      </c>
      <c r="N459" s="29"/>
      <c r="O459" s="29">
        <f>Table2[[#This Row],[Hot water demand (MWh)]]+Table2[[#This Row],[Space heating demand (MWh)]]</f>
        <v>277083.65921657329</v>
      </c>
      <c r="P459" s="29">
        <v>-32830.135074178026</v>
      </c>
      <c r="Q459" s="29">
        <v>284.11439640200746</v>
      </c>
      <c r="S459" s="17">
        <v>2.980066817819663</v>
      </c>
      <c r="T459" s="29">
        <v>325980.77554890979</v>
      </c>
      <c r="V459" s="29">
        <v>325980.77554890979</v>
      </c>
      <c r="X459" s="29">
        <v>284.11439640200746</v>
      </c>
      <c r="Y459" s="29">
        <v>-32830.135074178026</v>
      </c>
      <c r="AF459">
        <v>0.15893689695038199</v>
      </c>
      <c r="AG459">
        <v>277083.65921657329</v>
      </c>
      <c r="AH459">
        <v>277083.65921657329</v>
      </c>
      <c r="AI459">
        <v>0</v>
      </c>
      <c r="AJ459">
        <v>0</v>
      </c>
      <c r="AK459">
        <v>0</v>
      </c>
      <c r="AL459" t="s">
        <v>214</v>
      </c>
      <c r="AM459">
        <v>28411.439640200748</v>
      </c>
    </row>
    <row r="460" spans="2:39">
      <c r="B460">
        <v>453</v>
      </c>
      <c r="C460" t="s">
        <v>27</v>
      </c>
      <c r="D460" t="s">
        <v>60</v>
      </c>
      <c r="E460" t="s">
        <v>211</v>
      </c>
      <c r="H460" t="s">
        <v>134</v>
      </c>
      <c r="I460" t="s">
        <v>19</v>
      </c>
      <c r="M460" s="29">
        <v>700801.54934857693</v>
      </c>
      <c r="N460" s="29"/>
      <c r="O460" s="29">
        <f>Table2[[#This Row],[Hot water demand (MWh)]]+Table2[[#This Row],[Space heating demand (MWh)]]</f>
        <v>700801.54934857693</v>
      </c>
      <c r="P460" s="29">
        <v>154709.36183466291</v>
      </c>
      <c r="Q460" s="29">
        <v>1562.7208266127566</v>
      </c>
      <c r="S460" s="17">
        <v>1.3407985816647636E-4</v>
      </c>
      <c r="T460" s="29">
        <v>778668.38816508546</v>
      </c>
      <c r="V460" s="29">
        <v>778668.38816508546</v>
      </c>
      <c r="X460" s="29">
        <v>1562.7208266127566</v>
      </c>
      <c r="Y460" s="29">
        <v>154709.36183466291</v>
      </c>
      <c r="AF460">
        <v>1.3005746242148207E-4</v>
      </c>
      <c r="AG460">
        <v>700801.54934857693</v>
      </c>
      <c r="AH460">
        <v>700801.54934857693</v>
      </c>
      <c r="AI460">
        <v>0</v>
      </c>
      <c r="AJ460">
        <v>0</v>
      </c>
      <c r="AK460">
        <v>0</v>
      </c>
      <c r="AL460" t="s">
        <v>215</v>
      </c>
      <c r="AM460">
        <v>156272.08266127566</v>
      </c>
    </row>
    <row r="461" spans="2:39">
      <c r="B461">
        <v>454</v>
      </c>
      <c r="C461" t="s">
        <v>27</v>
      </c>
      <c r="D461" t="s">
        <v>60</v>
      </c>
      <c r="E461" t="s">
        <v>211</v>
      </c>
      <c r="H461" t="s">
        <v>133</v>
      </c>
      <c r="I461" t="s">
        <v>19</v>
      </c>
      <c r="M461" s="29">
        <v>0</v>
      </c>
      <c r="N461" s="29"/>
      <c r="O461" s="29">
        <f>Table2[[#This Row],[Hot water demand (MWh)]]+Table2[[#This Row],[Space heating demand (MWh)]]</f>
        <v>0</v>
      </c>
      <c r="P461" s="29">
        <v>0</v>
      </c>
      <c r="Q461" s="29">
        <v>0</v>
      </c>
      <c r="S461" s="17">
        <v>0</v>
      </c>
      <c r="T461" s="29">
        <v>0</v>
      </c>
      <c r="V461" s="29">
        <v>0</v>
      </c>
      <c r="X461" s="29">
        <v>0</v>
      </c>
      <c r="Y461" s="29">
        <v>0</v>
      </c>
      <c r="AF461">
        <v>0</v>
      </c>
      <c r="AG461">
        <v>0</v>
      </c>
      <c r="AH461">
        <v>0</v>
      </c>
      <c r="AI461">
        <v>0</v>
      </c>
      <c r="AJ461">
        <v>0</v>
      </c>
      <c r="AK461">
        <v>0</v>
      </c>
      <c r="AL461" t="s">
        <v>214</v>
      </c>
      <c r="AM461">
        <v>0</v>
      </c>
    </row>
    <row r="462" spans="2:39">
      <c r="B462">
        <v>455</v>
      </c>
      <c r="C462" t="s">
        <v>27</v>
      </c>
      <c r="D462" t="s">
        <v>60</v>
      </c>
      <c r="E462" t="s">
        <v>211</v>
      </c>
      <c r="H462" t="s">
        <v>135</v>
      </c>
      <c r="I462" t="s">
        <v>19</v>
      </c>
      <c r="M462" s="29">
        <v>22155.925271501401</v>
      </c>
      <c r="N462" s="29"/>
      <c r="O462" s="29">
        <f>Table2[[#This Row],[Hot water demand (MWh)]]+Table2[[#This Row],[Space heating demand (MWh)]]</f>
        <v>22155.925271501401</v>
      </c>
      <c r="P462" s="29">
        <v>4784.8256237524611</v>
      </c>
      <c r="Q462" s="29">
        <v>48.331571957095569</v>
      </c>
      <c r="S462" s="17">
        <v>1.3407985816647636E-4</v>
      </c>
      <c r="T462" s="29">
        <v>24082.527469023262</v>
      </c>
      <c r="V462" s="29">
        <v>24082.527469023262</v>
      </c>
      <c r="X462" s="29">
        <v>48.331571957095569</v>
      </c>
      <c r="Y462" s="29">
        <v>4784.8256237524611</v>
      </c>
      <c r="AF462">
        <v>4.0223957449942901E-6</v>
      </c>
      <c r="AG462">
        <v>22155.925271501401</v>
      </c>
      <c r="AH462">
        <v>0</v>
      </c>
      <c r="AI462">
        <v>22155.925271501401</v>
      </c>
      <c r="AJ462">
        <v>0</v>
      </c>
      <c r="AK462">
        <v>0</v>
      </c>
      <c r="AL462" t="s">
        <v>216</v>
      </c>
      <c r="AM462">
        <v>4833.1571957095566</v>
      </c>
    </row>
    <row r="463" spans="2:39">
      <c r="B463">
        <v>456</v>
      </c>
      <c r="C463" t="s">
        <v>27</v>
      </c>
      <c r="D463" t="s">
        <v>61</v>
      </c>
      <c r="E463" t="s">
        <v>211</v>
      </c>
      <c r="H463" t="s">
        <v>131</v>
      </c>
      <c r="I463" t="s">
        <v>19</v>
      </c>
      <c r="M463" s="29">
        <v>44244.853521556033</v>
      </c>
      <c r="N463" s="29"/>
      <c r="O463" s="29">
        <f>Table2[[#This Row],[Hot water demand (MWh)]]+Table2[[#This Row],[Space heating demand (MWh)]]</f>
        <v>44244.853521556033</v>
      </c>
      <c r="P463" s="29">
        <v>3856.5827587257759</v>
      </c>
      <c r="Q463" s="29">
        <v>680.57342801043103</v>
      </c>
      <c r="S463" s="17">
        <v>2.9487059191276055</v>
      </c>
      <c r="T463" s="29">
        <v>48092.232088647863</v>
      </c>
      <c r="V463" s="29">
        <v>48092.232088647863</v>
      </c>
      <c r="X463" s="29">
        <v>680.57342801043103</v>
      </c>
      <c r="Y463" s="29">
        <v>3856.5827587257759</v>
      </c>
      <c r="AF463">
        <v>9.8290197304253535E-2</v>
      </c>
      <c r="AG463">
        <v>44244.853521556033</v>
      </c>
      <c r="AH463">
        <v>0</v>
      </c>
      <c r="AI463">
        <v>44244.853521556033</v>
      </c>
      <c r="AJ463">
        <v>0</v>
      </c>
      <c r="AK463">
        <v>0</v>
      </c>
      <c r="AL463" t="s">
        <v>212</v>
      </c>
      <c r="AM463">
        <v>4537.156186736207</v>
      </c>
    </row>
    <row r="464" spans="2:39">
      <c r="B464">
        <v>457</v>
      </c>
      <c r="C464" t="s">
        <v>27</v>
      </c>
      <c r="D464" t="s">
        <v>61</v>
      </c>
      <c r="E464" t="s">
        <v>211</v>
      </c>
      <c r="H464" t="s">
        <v>132</v>
      </c>
      <c r="I464" t="s">
        <v>19</v>
      </c>
      <c r="M464" s="29">
        <v>144276.69626594358</v>
      </c>
      <c r="N464" s="29"/>
      <c r="O464" s="29">
        <f>Table2[[#This Row],[Hot water demand (MWh)]]+Table2[[#This Row],[Space heating demand (MWh)]]</f>
        <v>144276.69626594358</v>
      </c>
      <c r="P464" s="29">
        <v>23139.49655235466</v>
      </c>
      <c r="Q464" s="29">
        <v>4083.4405680625869</v>
      </c>
      <c r="S464" s="17">
        <v>0.98290197304253524</v>
      </c>
      <c r="T464" s="29">
        <v>288553.39253188716</v>
      </c>
      <c r="V464" s="29">
        <v>288553.39253188716</v>
      </c>
      <c r="X464" s="29">
        <v>4083.4405680625869</v>
      </c>
      <c r="Y464" s="29">
        <v>23139.49655235466</v>
      </c>
      <c r="AF464">
        <v>0.19658039460850707</v>
      </c>
      <c r="AG464">
        <v>144276.69626594358</v>
      </c>
      <c r="AH464">
        <v>0</v>
      </c>
      <c r="AI464">
        <v>144276.69626594358</v>
      </c>
      <c r="AJ464">
        <v>0</v>
      </c>
      <c r="AK464">
        <v>0</v>
      </c>
      <c r="AL464" t="s">
        <v>213</v>
      </c>
      <c r="AM464">
        <v>27222.937120417246</v>
      </c>
    </row>
    <row r="465" spans="2:39">
      <c r="B465">
        <v>458</v>
      </c>
      <c r="C465" t="s">
        <v>27</v>
      </c>
      <c r="D465" t="s">
        <v>61</v>
      </c>
      <c r="E465" t="s">
        <v>211</v>
      </c>
      <c r="H465" t="s">
        <v>133</v>
      </c>
      <c r="I465" t="s">
        <v>19</v>
      </c>
      <c r="M465" s="29">
        <v>85844.634278236408</v>
      </c>
      <c r="N465" s="29"/>
      <c r="O465" s="29">
        <f>Table2[[#This Row],[Hot water demand (MWh)]]+Table2[[#This Row],[Space heating demand (MWh)]]</f>
        <v>85844.634278236408</v>
      </c>
      <c r="P465" s="29">
        <v>8098.823793324128</v>
      </c>
      <c r="Q465" s="29">
        <v>1429.204198821905</v>
      </c>
      <c r="S465" s="17">
        <v>9.8290197304253528</v>
      </c>
      <c r="T465" s="29">
        <v>100993.68738616048</v>
      </c>
      <c r="V465" s="29">
        <v>100993.68738616048</v>
      </c>
      <c r="X465" s="29">
        <v>1429.204198821905</v>
      </c>
      <c r="Y465" s="29">
        <v>8098.823793324128</v>
      </c>
      <c r="AF465">
        <v>0.68803138112977458</v>
      </c>
      <c r="AG465">
        <v>85844.634278236408</v>
      </c>
      <c r="AH465">
        <v>0</v>
      </c>
      <c r="AI465">
        <v>85844.634278236408</v>
      </c>
      <c r="AJ465">
        <v>0</v>
      </c>
      <c r="AK465">
        <v>0</v>
      </c>
      <c r="AL465" t="s">
        <v>214</v>
      </c>
      <c r="AM465">
        <v>9528.0279921460333</v>
      </c>
    </row>
    <row r="466" spans="2:39">
      <c r="B466">
        <v>459</v>
      </c>
      <c r="C466" t="s">
        <v>27</v>
      </c>
      <c r="D466" t="s">
        <v>62</v>
      </c>
      <c r="E466" t="s">
        <v>211</v>
      </c>
      <c r="H466" t="s">
        <v>131</v>
      </c>
      <c r="I466" t="s">
        <v>19</v>
      </c>
      <c r="M466" s="29">
        <v>60532.217858898985</v>
      </c>
      <c r="N466" s="29"/>
      <c r="O466" s="29">
        <f>Table2[[#This Row],[Hot water demand (MWh)]]+Table2[[#This Row],[Space heating demand (MWh)]]</f>
        <v>60532.217858898985</v>
      </c>
      <c r="P466" s="29">
        <v>13594.059587070989</v>
      </c>
      <c r="Q466" s="29">
        <v>137.31373320273727</v>
      </c>
      <c r="S466" s="17">
        <v>0.17183496482421745</v>
      </c>
      <c r="T466" s="29">
        <v>65795.888977064111</v>
      </c>
      <c r="V466" s="29">
        <v>65795.888977064111</v>
      </c>
      <c r="X466" s="29">
        <v>137.31373320273727</v>
      </c>
      <c r="Y466" s="29">
        <v>13594.059587070989</v>
      </c>
      <c r="AF466">
        <v>3.4366992964843489E-2</v>
      </c>
      <c r="AG466">
        <v>60532.217858898985</v>
      </c>
      <c r="AH466">
        <v>0</v>
      </c>
      <c r="AI466">
        <v>0</v>
      </c>
      <c r="AJ466">
        <v>60532.217858898985</v>
      </c>
      <c r="AK466">
        <v>0</v>
      </c>
      <c r="AL466" t="s">
        <v>212</v>
      </c>
      <c r="AM466">
        <v>13731.373320273728</v>
      </c>
    </row>
    <row r="467" spans="2:39">
      <c r="B467">
        <v>460</v>
      </c>
      <c r="C467" t="s">
        <v>27</v>
      </c>
      <c r="D467" t="s">
        <v>62</v>
      </c>
      <c r="E467" t="s">
        <v>211</v>
      </c>
      <c r="H467" t="s">
        <v>135</v>
      </c>
      <c r="I467" t="s">
        <v>19</v>
      </c>
      <c r="M467" s="29">
        <v>90798.32678834848</v>
      </c>
      <c r="N467" s="29"/>
      <c r="O467" s="29">
        <f>Table2[[#This Row],[Hot water demand (MWh)]]+Table2[[#This Row],[Space heating demand (MWh)]]</f>
        <v>90798.32678834848</v>
      </c>
      <c r="P467" s="29">
        <v>20391.089380606489</v>
      </c>
      <c r="Q467" s="29">
        <v>205.97059980410594</v>
      </c>
      <c r="S467" s="17">
        <v>0.17183496482421745</v>
      </c>
      <c r="T467" s="29">
        <v>98693.833465596166</v>
      </c>
      <c r="V467" s="29">
        <v>98693.833465596166</v>
      </c>
      <c r="X467" s="29">
        <v>205.97059980410594</v>
      </c>
      <c r="Y467" s="29">
        <v>20391.089380606489</v>
      </c>
      <c r="AF467">
        <v>5.1550489447265223E-2</v>
      </c>
      <c r="AG467">
        <v>90798.32678834848</v>
      </c>
      <c r="AH467">
        <v>0</v>
      </c>
      <c r="AI467">
        <v>0</v>
      </c>
      <c r="AJ467">
        <v>90798.32678834848</v>
      </c>
      <c r="AK467">
        <v>0</v>
      </c>
      <c r="AL467" t="s">
        <v>216</v>
      </c>
      <c r="AM467">
        <v>20597.059980410595</v>
      </c>
    </row>
    <row r="468" spans="2:39">
      <c r="B468">
        <v>461</v>
      </c>
      <c r="C468" t="s">
        <v>27</v>
      </c>
      <c r="D468" t="s">
        <v>63</v>
      </c>
      <c r="E468" t="s">
        <v>211</v>
      </c>
      <c r="H468" t="s">
        <v>136</v>
      </c>
      <c r="I468" t="s">
        <v>19</v>
      </c>
      <c r="M468" s="29">
        <v>3912.5926646471194</v>
      </c>
      <c r="N468" s="29"/>
      <c r="O468" s="29">
        <f>Table2[[#This Row],[Hot water demand (MWh)]]+Table2[[#This Row],[Space heating demand (MWh)]]</f>
        <v>3912.5926646471194</v>
      </c>
      <c r="P468" s="29">
        <v>2274.5250033373973</v>
      </c>
      <c r="Q468" s="29">
        <v>22.975000033711087</v>
      </c>
      <c r="S468" s="17">
        <v>2.6544871960279712</v>
      </c>
      <c r="T468" s="29">
        <v>4603.0501937024937</v>
      </c>
      <c r="V468" s="29">
        <v>4603.0501937024937</v>
      </c>
      <c r="X468" s="29">
        <v>22.975000033711087</v>
      </c>
      <c r="Y468" s="29">
        <v>2274.5250033373973</v>
      </c>
      <c r="AF468">
        <v>0.26544871960279709</v>
      </c>
      <c r="AG468">
        <v>3912.5926646471194</v>
      </c>
      <c r="AH468">
        <v>3912.5926646471194</v>
      </c>
      <c r="AI468">
        <v>0</v>
      </c>
      <c r="AJ468">
        <v>0</v>
      </c>
      <c r="AK468">
        <v>0</v>
      </c>
      <c r="AL468" t="s">
        <v>217</v>
      </c>
      <c r="AM468">
        <v>2297.5000033711085</v>
      </c>
    </row>
    <row r="469" spans="2:39">
      <c r="B469">
        <v>462</v>
      </c>
      <c r="C469" t="s">
        <v>27</v>
      </c>
      <c r="D469" t="s">
        <v>63</v>
      </c>
      <c r="E469" t="s">
        <v>211</v>
      </c>
      <c r="H469" t="s">
        <v>131</v>
      </c>
      <c r="I469" t="s">
        <v>19</v>
      </c>
      <c r="M469" s="29">
        <v>12704.418534618882</v>
      </c>
      <c r="N469" s="29"/>
      <c r="O469" s="29">
        <f>Table2[[#This Row],[Hot water demand (MWh)]]+Table2[[#This Row],[Space heating demand (MWh)]]</f>
        <v>12704.418534618882</v>
      </c>
      <c r="P469" s="29">
        <v>6823.5750100121913</v>
      </c>
      <c r="Q469" s="29">
        <v>68.92500010113325</v>
      </c>
      <c r="S469" s="17">
        <v>5.3089743920559425</v>
      </c>
      <c r="T469" s="29">
        <v>13809.15058110748</v>
      </c>
      <c r="V469" s="29">
        <v>13809.15058110748</v>
      </c>
      <c r="X469" s="29">
        <v>68.92500010113325</v>
      </c>
      <c r="Y469" s="29">
        <v>6823.5750100121913</v>
      </c>
      <c r="AF469">
        <v>1.5926923176167826</v>
      </c>
      <c r="AG469">
        <v>12704.418534618882</v>
      </c>
      <c r="AH469">
        <v>0</v>
      </c>
      <c r="AI469">
        <v>0</v>
      </c>
      <c r="AJ469">
        <v>12704.418534618882</v>
      </c>
      <c r="AK469">
        <v>0</v>
      </c>
      <c r="AL469" t="s">
        <v>212</v>
      </c>
      <c r="AM469">
        <v>6892.5000101133246</v>
      </c>
    </row>
    <row r="470" spans="2:39">
      <c r="B470">
        <v>463</v>
      </c>
      <c r="C470" t="s">
        <v>27</v>
      </c>
      <c r="D470" t="s">
        <v>63</v>
      </c>
      <c r="E470" t="s">
        <v>211</v>
      </c>
      <c r="H470" t="s">
        <v>135</v>
      </c>
      <c r="I470" t="s">
        <v>19</v>
      </c>
      <c r="M470" s="29">
        <v>6352.2092673094412</v>
      </c>
      <c r="N470" s="29"/>
      <c r="O470" s="29">
        <f>Table2[[#This Row],[Hot water demand (MWh)]]+Table2[[#This Row],[Space heating demand (MWh)]]</f>
        <v>6352.2092673094412</v>
      </c>
      <c r="P470" s="29">
        <v>3411.7875050060957</v>
      </c>
      <c r="Q470" s="29">
        <v>34.462500050566625</v>
      </c>
      <c r="S470" s="17">
        <v>5.3089743920559425</v>
      </c>
      <c r="T470" s="29">
        <v>6904.5752905537402</v>
      </c>
      <c r="V470" s="29">
        <v>6904.5752905537402</v>
      </c>
      <c r="X470" s="29">
        <v>34.462500050566625</v>
      </c>
      <c r="Y470" s="29">
        <v>3411.7875050060957</v>
      </c>
      <c r="AF470">
        <v>0.79634615880839132</v>
      </c>
      <c r="AG470">
        <v>6352.2092673094412</v>
      </c>
      <c r="AH470">
        <v>0</v>
      </c>
      <c r="AI470">
        <v>6352.2092673094412</v>
      </c>
      <c r="AJ470">
        <v>0</v>
      </c>
      <c r="AK470">
        <v>0</v>
      </c>
      <c r="AL470" t="s">
        <v>216</v>
      </c>
      <c r="AM470">
        <v>3446.2500050566623</v>
      </c>
    </row>
    <row r="471" spans="2:39">
      <c r="B471">
        <v>464</v>
      </c>
      <c r="C471" t="s">
        <v>27</v>
      </c>
      <c r="D471" t="s">
        <v>64</v>
      </c>
      <c r="E471" t="s">
        <v>211</v>
      </c>
      <c r="H471" t="s">
        <v>131</v>
      </c>
      <c r="I471" t="s">
        <v>19</v>
      </c>
      <c r="M471" s="29">
        <v>25336.634023262774</v>
      </c>
      <c r="N471" s="29"/>
      <c r="O471" s="29">
        <f>Table2[[#This Row],[Hot water demand (MWh)]]+Table2[[#This Row],[Space heating demand (MWh)]]</f>
        <v>25336.634023262774</v>
      </c>
      <c r="P471" s="29">
        <v>4431.3629426572079</v>
      </c>
      <c r="Q471" s="29">
        <v>2672.2009286600437</v>
      </c>
      <c r="S471" s="17">
        <v>53.89940722318687</v>
      </c>
      <c r="T471" s="29">
        <v>27539.819590503012</v>
      </c>
      <c r="V471" s="29">
        <v>27539.819590503012</v>
      </c>
      <c r="X471" s="29">
        <v>2672.2009286600437</v>
      </c>
      <c r="Y471" s="29">
        <v>4431.3629426572079</v>
      </c>
      <c r="AF471">
        <v>10.779881444637375</v>
      </c>
      <c r="AG471">
        <v>25336.634023262774</v>
      </c>
      <c r="AH471">
        <v>0</v>
      </c>
      <c r="AI471">
        <v>2533.6634023262777</v>
      </c>
      <c r="AJ471">
        <v>15201.980413957663</v>
      </c>
      <c r="AK471">
        <v>7600.9902069788313</v>
      </c>
      <c r="AL471" t="s">
        <v>212</v>
      </c>
      <c r="AM471">
        <v>9897.0404765186795</v>
      </c>
    </row>
    <row r="472" spans="2:39">
      <c r="B472">
        <v>465</v>
      </c>
      <c r="C472" t="s">
        <v>27</v>
      </c>
      <c r="D472" t="s">
        <v>64</v>
      </c>
      <c r="E472" t="s">
        <v>211</v>
      </c>
      <c r="H472" t="s">
        <v>132</v>
      </c>
      <c r="I472" t="s">
        <v>19</v>
      </c>
      <c r="M472" s="29">
        <v>30982.297039315883</v>
      </c>
      <c r="N472" s="29"/>
      <c r="O472" s="29">
        <f>Table2[[#This Row],[Hot water demand (MWh)]]+Table2[[#This Row],[Space heating demand (MWh)]]</f>
        <v>30982.297039315883</v>
      </c>
      <c r="P472" s="29">
        <v>9970.5666209787214</v>
      </c>
      <c r="Q472" s="29">
        <v>6012.4520894850975</v>
      </c>
      <c r="S472" s="17">
        <v>26.949703611593435</v>
      </c>
      <c r="T472" s="29">
        <v>61964.594078631766</v>
      </c>
      <c r="V472" s="29">
        <v>61964.594078631766</v>
      </c>
      <c r="X472" s="29">
        <v>6012.4520894850975</v>
      </c>
      <c r="Y472" s="29">
        <v>9970.5666209787214</v>
      </c>
      <c r="AF472">
        <v>12.127366625217048</v>
      </c>
      <c r="AG472">
        <v>30982.297039315883</v>
      </c>
      <c r="AH472">
        <v>0</v>
      </c>
      <c r="AI472">
        <v>0</v>
      </c>
      <c r="AJ472">
        <v>30982.297039315883</v>
      </c>
      <c r="AK472">
        <v>0</v>
      </c>
      <c r="AL472" t="s">
        <v>213</v>
      </c>
      <c r="AM472">
        <v>22268.341072167026</v>
      </c>
    </row>
    <row r="473" spans="2:39">
      <c r="B473">
        <v>466</v>
      </c>
      <c r="C473" t="s">
        <v>27</v>
      </c>
      <c r="D473" t="s">
        <v>64</v>
      </c>
      <c r="E473" t="s">
        <v>211</v>
      </c>
      <c r="H473" t="s">
        <v>137</v>
      </c>
      <c r="I473" t="s">
        <v>19</v>
      </c>
      <c r="M473" s="29">
        <v>25336.634023262774</v>
      </c>
      <c r="N473" s="29"/>
      <c r="O473" s="29">
        <f>Table2[[#This Row],[Hot water demand (MWh)]]+Table2[[#This Row],[Space heating demand (MWh)]]</f>
        <v>25336.634023262774</v>
      </c>
      <c r="P473" s="29">
        <v>4431.3629426572079</v>
      </c>
      <c r="Q473" s="29">
        <v>2672.2009286600437</v>
      </c>
      <c r="S473" s="17">
        <v>13.474851805796717</v>
      </c>
      <c r="T473" s="29">
        <v>27539.819590503012</v>
      </c>
      <c r="V473" s="29">
        <v>27539.819590503012</v>
      </c>
      <c r="X473" s="29">
        <v>2672.2009286600437</v>
      </c>
      <c r="Y473" s="29">
        <v>4431.3629426572079</v>
      </c>
      <c r="AF473">
        <v>2.6949703611593439</v>
      </c>
      <c r="AG473">
        <v>25336.634023262774</v>
      </c>
      <c r="AH473">
        <v>0</v>
      </c>
      <c r="AI473">
        <v>25336.634023262774</v>
      </c>
      <c r="AJ473">
        <v>0</v>
      </c>
      <c r="AK473">
        <v>0</v>
      </c>
      <c r="AL473" t="s">
        <v>218</v>
      </c>
      <c r="AM473">
        <v>9897.0404765186795</v>
      </c>
    </row>
    <row r="474" spans="2:39">
      <c r="B474">
        <v>467</v>
      </c>
      <c r="C474" t="s">
        <v>27</v>
      </c>
      <c r="D474" t="s">
        <v>64</v>
      </c>
      <c r="E474" t="s">
        <v>211</v>
      </c>
      <c r="H474" t="s">
        <v>135</v>
      </c>
      <c r="I474" t="s">
        <v>19</v>
      </c>
      <c r="M474" s="29">
        <v>12668.317011631387</v>
      </c>
      <c r="N474" s="29"/>
      <c r="O474" s="29">
        <f>Table2[[#This Row],[Hot water demand (MWh)]]+Table2[[#This Row],[Space heating demand (MWh)]]</f>
        <v>12668.317011631387</v>
      </c>
      <c r="P474" s="29">
        <v>2215.6814713286039</v>
      </c>
      <c r="Q474" s="29">
        <v>1336.1004643300219</v>
      </c>
      <c r="S474" s="17">
        <v>13.474851805796717</v>
      </c>
      <c r="T474" s="29">
        <v>13769.909795251506</v>
      </c>
      <c r="V474" s="29">
        <v>13769.909795251506</v>
      </c>
      <c r="X474" s="29">
        <v>1336.1004643300219</v>
      </c>
      <c r="Y474" s="29">
        <v>2215.6814713286039</v>
      </c>
      <c r="AF474">
        <v>1.3474851805796719</v>
      </c>
      <c r="AG474">
        <v>12668.317011631387</v>
      </c>
      <c r="AH474">
        <v>0</v>
      </c>
      <c r="AI474">
        <v>0</v>
      </c>
      <c r="AJ474">
        <v>0</v>
      </c>
      <c r="AK474">
        <v>12668.317011631387</v>
      </c>
      <c r="AL474" t="s">
        <v>216</v>
      </c>
      <c r="AM474">
        <v>4948.5202382593397</v>
      </c>
    </row>
    <row r="475" spans="2:39">
      <c r="B475">
        <v>468</v>
      </c>
      <c r="C475" t="s">
        <v>27</v>
      </c>
      <c r="D475" t="s">
        <v>65</v>
      </c>
      <c r="E475" t="s">
        <v>211</v>
      </c>
      <c r="H475" t="s">
        <v>134</v>
      </c>
      <c r="I475" t="s">
        <v>19</v>
      </c>
      <c r="M475" s="29">
        <v>92024.20371065299</v>
      </c>
      <c r="N475" s="29"/>
      <c r="O475" s="29">
        <f>Table2[[#This Row],[Hot water demand (MWh)]]+Table2[[#This Row],[Space heating demand (MWh)]]</f>
        <v>92024.20371065299</v>
      </c>
      <c r="P475" s="29">
        <v>20021.626308795483</v>
      </c>
      <c r="Q475" s="29">
        <v>202.23864958379275</v>
      </c>
      <c r="S475" s="17">
        <v>1.6487741424501552</v>
      </c>
      <c r="T475" s="29">
        <v>102249.11523405887</v>
      </c>
      <c r="V475" s="29">
        <v>102249.11523405887</v>
      </c>
      <c r="X475" s="29">
        <v>202.23864958379275</v>
      </c>
      <c r="Y475" s="29">
        <v>20021.626308795483</v>
      </c>
      <c r="AF475">
        <v>1.2365806068376164</v>
      </c>
      <c r="AG475">
        <v>92024.20371065299</v>
      </c>
      <c r="AH475">
        <v>92024.20371065299</v>
      </c>
      <c r="AI475">
        <v>0</v>
      </c>
      <c r="AJ475">
        <v>0</v>
      </c>
      <c r="AK475">
        <v>0</v>
      </c>
      <c r="AL475" t="s">
        <v>215</v>
      </c>
      <c r="AM475">
        <v>20223.864958379276</v>
      </c>
    </row>
    <row r="476" spans="2:39">
      <c r="B476">
        <v>469</v>
      </c>
      <c r="C476" t="s">
        <v>27</v>
      </c>
      <c r="D476" t="s">
        <v>65</v>
      </c>
      <c r="E476" t="s">
        <v>211</v>
      </c>
      <c r="H476" t="s">
        <v>136</v>
      </c>
      <c r="I476" t="s">
        <v>19</v>
      </c>
      <c r="M476" s="29">
        <v>5794.1165299300037</v>
      </c>
      <c r="N476" s="29"/>
      <c r="O476" s="29">
        <f>Table2[[#This Row],[Hot water demand (MWh)]]+Table2[[#This Row],[Space heating demand (MWh)]]</f>
        <v>5794.1165299300037</v>
      </c>
      <c r="P476" s="29">
        <v>1334.7750872530326</v>
      </c>
      <c r="Q476" s="29">
        <v>13.48257663891952</v>
      </c>
      <c r="S476" s="17">
        <v>1.6487741424501552</v>
      </c>
      <c r="T476" s="29">
        <v>6816.6076822705927</v>
      </c>
      <c r="V476" s="29">
        <v>6816.6076822705927</v>
      </c>
      <c r="X476" s="29">
        <v>13.48257663891952</v>
      </c>
      <c r="Y476" s="29">
        <v>1334.7750872530326</v>
      </c>
      <c r="AF476">
        <v>8.2438707122507782E-2</v>
      </c>
      <c r="AG476">
        <v>5794.1165299300037</v>
      </c>
      <c r="AH476">
        <v>5794.1165299300037</v>
      </c>
      <c r="AI476">
        <v>0</v>
      </c>
      <c r="AJ476">
        <v>0</v>
      </c>
      <c r="AK476">
        <v>0</v>
      </c>
      <c r="AL476" t="s">
        <v>217</v>
      </c>
      <c r="AM476">
        <v>1348.257663891952</v>
      </c>
    </row>
    <row r="477" spans="2:39">
      <c r="B477">
        <v>470</v>
      </c>
      <c r="C477" t="s">
        <v>27</v>
      </c>
      <c r="D477" t="s">
        <v>65</v>
      </c>
      <c r="E477" t="s">
        <v>211</v>
      </c>
      <c r="H477" t="s">
        <v>133</v>
      </c>
      <c r="I477" t="s">
        <v>19</v>
      </c>
      <c r="M477" s="29">
        <v>23176.466119720015</v>
      </c>
      <c r="N477" s="29"/>
      <c r="O477" s="29">
        <f>Table2[[#This Row],[Hot water demand (MWh)]]+Table2[[#This Row],[Space heating demand (MWh)]]</f>
        <v>23176.466119720015</v>
      </c>
      <c r="P477" s="29">
        <v>5339.1003490121302</v>
      </c>
      <c r="Q477" s="29">
        <v>53.930306555678079</v>
      </c>
      <c r="S477" s="17">
        <v>1.6487741424501552</v>
      </c>
      <c r="T477" s="29">
        <v>27266.430729082371</v>
      </c>
      <c r="V477" s="29">
        <v>27266.430729082371</v>
      </c>
      <c r="X477" s="29">
        <v>53.930306555678079</v>
      </c>
      <c r="Y477" s="29">
        <v>5339.1003490121302</v>
      </c>
      <c r="AF477">
        <v>0.32975482849003113</v>
      </c>
      <c r="AG477">
        <v>23176.466119720015</v>
      </c>
      <c r="AH477">
        <v>23176.466119720015</v>
      </c>
      <c r="AI477">
        <v>0</v>
      </c>
      <c r="AJ477">
        <v>0</v>
      </c>
      <c r="AK477">
        <v>0</v>
      </c>
      <c r="AL477" t="s">
        <v>214</v>
      </c>
      <c r="AM477">
        <v>5393.030655567808</v>
      </c>
    </row>
    <row r="478" spans="2:39">
      <c r="B478">
        <v>471</v>
      </c>
      <c r="C478" t="s">
        <v>27</v>
      </c>
      <c r="D478" t="s">
        <v>65</v>
      </c>
      <c r="E478" t="s">
        <v>211</v>
      </c>
      <c r="H478" t="s">
        <v>135</v>
      </c>
      <c r="I478" t="s">
        <v>19</v>
      </c>
      <c r="M478" s="29">
        <v>0</v>
      </c>
      <c r="N478" s="29"/>
      <c r="O478" s="29">
        <f>Table2[[#This Row],[Hot water demand (MWh)]]+Table2[[#This Row],[Space heating demand (MWh)]]</f>
        <v>0</v>
      </c>
      <c r="P478" s="29">
        <v>0</v>
      </c>
      <c r="Q478" s="29">
        <v>0</v>
      </c>
      <c r="S478" s="17">
        <v>0</v>
      </c>
      <c r="T478" s="29">
        <v>0</v>
      </c>
      <c r="V478" s="29">
        <v>0</v>
      </c>
      <c r="X478" s="29">
        <v>0</v>
      </c>
      <c r="Y478" s="29">
        <v>0</v>
      </c>
      <c r="AF478">
        <v>0</v>
      </c>
      <c r="AG478">
        <v>0</v>
      </c>
      <c r="AH478">
        <v>0</v>
      </c>
      <c r="AI478">
        <v>0</v>
      </c>
      <c r="AJ478">
        <v>0</v>
      </c>
      <c r="AK478">
        <v>0</v>
      </c>
      <c r="AL478" t="s">
        <v>216</v>
      </c>
      <c r="AM478">
        <v>0</v>
      </c>
    </row>
    <row r="479" spans="2:39">
      <c r="B479">
        <v>472</v>
      </c>
      <c r="C479" t="s">
        <v>27</v>
      </c>
      <c r="D479" t="s">
        <v>66</v>
      </c>
      <c r="E479" t="s">
        <v>211</v>
      </c>
      <c r="H479" t="s">
        <v>136</v>
      </c>
      <c r="I479" t="s">
        <v>19</v>
      </c>
      <c r="M479" s="29">
        <v>0</v>
      </c>
      <c r="N479" s="29"/>
      <c r="O479" s="29">
        <f>Table2[[#This Row],[Hot water demand (MWh)]]+Table2[[#This Row],[Space heating demand (MWh)]]</f>
        <v>0</v>
      </c>
      <c r="P479" s="29">
        <v>0</v>
      </c>
      <c r="Q479" s="29">
        <v>0</v>
      </c>
      <c r="S479" s="17">
        <v>0</v>
      </c>
      <c r="T479" s="29">
        <v>0</v>
      </c>
      <c r="V479" s="29">
        <v>0</v>
      </c>
      <c r="X479" s="29">
        <v>0</v>
      </c>
      <c r="Y479" s="29">
        <v>0</v>
      </c>
      <c r="AF479">
        <v>0</v>
      </c>
      <c r="AG479">
        <v>0</v>
      </c>
      <c r="AH479">
        <v>0</v>
      </c>
      <c r="AI479">
        <v>0</v>
      </c>
      <c r="AJ479">
        <v>0</v>
      </c>
      <c r="AK479">
        <v>0</v>
      </c>
      <c r="AL479" t="s">
        <v>217</v>
      </c>
      <c r="AM479">
        <v>0</v>
      </c>
    </row>
    <row r="480" spans="2:39">
      <c r="B480">
        <v>473</v>
      </c>
      <c r="C480" t="s">
        <v>27</v>
      </c>
      <c r="D480" t="s">
        <v>66</v>
      </c>
      <c r="E480" t="s">
        <v>211</v>
      </c>
      <c r="H480" t="s">
        <v>131</v>
      </c>
      <c r="I480" t="s">
        <v>19</v>
      </c>
      <c r="M480" s="29">
        <v>67341.297623179868</v>
      </c>
      <c r="N480" s="29"/>
      <c r="O480" s="29">
        <f>Table2[[#This Row],[Hot water demand (MWh)]]+Table2[[#This Row],[Space heating demand (MWh)]]</f>
        <v>67341.297623179868</v>
      </c>
      <c r="P480" s="29">
        <v>110208.478446333</v>
      </c>
      <c r="Q480" s="29">
        <v>5886.6755547565954</v>
      </c>
      <c r="S480" s="17">
        <v>2.9930010169777166</v>
      </c>
      <c r="T480" s="29">
        <v>73197.062633891153</v>
      </c>
      <c r="V480" s="29">
        <v>73197.062633891153</v>
      </c>
      <c r="X480" s="29">
        <v>5886.6755547565954</v>
      </c>
      <c r="Y480" s="29">
        <v>110208.478446333</v>
      </c>
      <c r="AF480">
        <v>1.4965005084888581</v>
      </c>
      <c r="AG480">
        <v>67341.297623179868</v>
      </c>
      <c r="AH480">
        <v>0</v>
      </c>
      <c r="AI480">
        <v>0</v>
      </c>
      <c r="AJ480">
        <v>40404.778573907919</v>
      </c>
      <c r="AK480">
        <v>26936.519049271948</v>
      </c>
      <c r="AL480" t="s">
        <v>212</v>
      </c>
      <c r="AM480">
        <v>117733.51109513189</v>
      </c>
    </row>
    <row r="481" spans="2:39">
      <c r="B481">
        <v>474</v>
      </c>
      <c r="C481" t="s">
        <v>27</v>
      </c>
      <c r="D481" t="s">
        <v>66</v>
      </c>
      <c r="E481" t="s">
        <v>211</v>
      </c>
      <c r="H481" t="s">
        <v>132</v>
      </c>
      <c r="I481" t="s">
        <v>19</v>
      </c>
      <c r="M481" s="29">
        <v>32938.678185251025</v>
      </c>
      <c r="N481" s="29"/>
      <c r="O481" s="29">
        <f>Table2[[#This Row],[Hot water demand (MWh)]]+Table2[[#This Row],[Space heating demand (MWh)]]</f>
        <v>32938.678185251025</v>
      </c>
      <c r="P481" s="29">
        <v>99187.630601699711</v>
      </c>
      <c r="Q481" s="29">
        <v>5298.0079992809369</v>
      </c>
      <c r="S481" s="17">
        <v>2.9930010169777166</v>
      </c>
      <c r="T481" s="29">
        <v>65877.35637050205</v>
      </c>
      <c r="V481" s="29">
        <v>65877.35637050205</v>
      </c>
      <c r="X481" s="29">
        <v>5298.0079992809369</v>
      </c>
      <c r="Y481" s="29">
        <v>99187.630601699711</v>
      </c>
      <c r="AF481">
        <v>1.3468504576399725</v>
      </c>
      <c r="AG481">
        <v>32938.678185251025</v>
      </c>
      <c r="AH481">
        <v>0</v>
      </c>
      <c r="AI481">
        <v>0</v>
      </c>
      <c r="AJ481">
        <v>32938.678185251025</v>
      </c>
      <c r="AK481">
        <v>0</v>
      </c>
      <c r="AL481" t="s">
        <v>213</v>
      </c>
      <c r="AM481">
        <v>105960.15998561872</v>
      </c>
    </row>
    <row r="482" spans="2:39">
      <c r="B482">
        <v>475</v>
      </c>
      <c r="C482" t="s">
        <v>27</v>
      </c>
      <c r="D482" t="s">
        <v>66</v>
      </c>
      <c r="E482" t="s">
        <v>211</v>
      </c>
      <c r="H482" t="s">
        <v>137</v>
      </c>
      <c r="I482" t="s">
        <v>19</v>
      </c>
      <c r="M482" s="29">
        <v>0</v>
      </c>
      <c r="N482" s="29"/>
      <c r="O482" s="29">
        <f>Table2[[#This Row],[Hot water demand (MWh)]]+Table2[[#This Row],[Space heating demand (MWh)]]</f>
        <v>0</v>
      </c>
      <c r="P482" s="29">
        <v>0</v>
      </c>
      <c r="Q482" s="29">
        <v>0</v>
      </c>
      <c r="S482" s="17">
        <v>0</v>
      </c>
      <c r="T482" s="29">
        <v>0</v>
      </c>
      <c r="V482" s="29">
        <v>0</v>
      </c>
      <c r="X482" s="29">
        <v>0</v>
      </c>
      <c r="Y482" s="29">
        <v>0</v>
      </c>
      <c r="AF482">
        <v>0</v>
      </c>
      <c r="AG482">
        <v>0</v>
      </c>
      <c r="AH482">
        <v>0</v>
      </c>
      <c r="AI482">
        <v>0</v>
      </c>
      <c r="AJ482">
        <v>0</v>
      </c>
      <c r="AK482">
        <v>0</v>
      </c>
      <c r="AL482" t="s">
        <v>218</v>
      </c>
      <c r="AM482">
        <v>0</v>
      </c>
    </row>
    <row r="483" spans="2:39">
      <c r="B483">
        <v>476</v>
      </c>
      <c r="C483" t="s">
        <v>27</v>
      </c>
      <c r="D483" t="s">
        <v>66</v>
      </c>
      <c r="E483" t="s">
        <v>211</v>
      </c>
      <c r="H483" t="s">
        <v>133</v>
      </c>
      <c r="I483" t="s">
        <v>19</v>
      </c>
      <c r="M483" s="29">
        <v>0</v>
      </c>
      <c r="N483" s="29"/>
      <c r="O483" s="29">
        <f>Table2[[#This Row],[Hot water demand (MWh)]]+Table2[[#This Row],[Space heating demand (MWh)]]</f>
        <v>0</v>
      </c>
      <c r="P483" s="29">
        <v>0</v>
      </c>
      <c r="Q483" s="29">
        <v>0</v>
      </c>
      <c r="S483" s="17">
        <v>0</v>
      </c>
      <c r="T483" s="29">
        <v>0</v>
      </c>
      <c r="V483" s="29">
        <v>0</v>
      </c>
      <c r="X483" s="29">
        <v>0</v>
      </c>
      <c r="Y483" s="29">
        <v>0</v>
      </c>
      <c r="AF483">
        <v>0</v>
      </c>
      <c r="AG483">
        <v>0</v>
      </c>
      <c r="AH483">
        <v>0</v>
      </c>
      <c r="AI483">
        <v>0</v>
      </c>
      <c r="AJ483">
        <v>0</v>
      </c>
      <c r="AK483">
        <v>0</v>
      </c>
      <c r="AL483" t="s">
        <v>214</v>
      </c>
      <c r="AM483">
        <v>0</v>
      </c>
    </row>
    <row r="484" spans="2:39">
      <c r="B484">
        <v>477</v>
      </c>
      <c r="C484" t="s">
        <v>27</v>
      </c>
      <c r="D484" t="s">
        <v>66</v>
      </c>
      <c r="E484" t="s">
        <v>211</v>
      </c>
      <c r="H484" t="s">
        <v>135</v>
      </c>
      <c r="I484" t="s">
        <v>19</v>
      </c>
      <c r="M484" s="29">
        <v>6734.1297623179871</v>
      </c>
      <c r="N484" s="29"/>
      <c r="O484" s="29">
        <f>Table2[[#This Row],[Hot water demand (MWh)]]+Table2[[#This Row],[Space heating demand (MWh)]]</f>
        <v>6734.1297623179871</v>
      </c>
      <c r="P484" s="29">
        <v>11020.847844633301</v>
      </c>
      <c r="Q484" s="29">
        <v>588.66755547565947</v>
      </c>
      <c r="S484" s="17">
        <v>2.9930010169777166</v>
      </c>
      <c r="T484" s="29">
        <v>7319.7062633891164</v>
      </c>
      <c r="V484" s="29">
        <v>7319.7062633891164</v>
      </c>
      <c r="X484" s="29">
        <v>588.66755547565947</v>
      </c>
      <c r="Y484" s="29">
        <v>11020.847844633301</v>
      </c>
      <c r="AF484">
        <v>0.14965005084888586</v>
      </c>
      <c r="AG484">
        <v>6734.1297623179871</v>
      </c>
      <c r="AH484">
        <v>0</v>
      </c>
      <c r="AI484">
        <v>0</v>
      </c>
      <c r="AJ484">
        <v>6734.1297623179871</v>
      </c>
      <c r="AK484">
        <v>0</v>
      </c>
      <c r="AL484" t="s">
        <v>216</v>
      </c>
      <c r="AM484">
        <v>11773.351109513189</v>
      </c>
    </row>
    <row r="485" spans="2:39">
      <c r="B485">
        <v>478</v>
      </c>
      <c r="C485" t="s">
        <v>27</v>
      </c>
      <c r="D485" t="s">
        <v>67</v>
      </c>
      <c r="E485" t="s">
        <v>211</v>
      </c>
      <c r="H485" t="s">
        <v>131</v>
      </c>
      <c r="I485" t="s">
        <v>19</v>
      </c>
      <c r="M485" s="29">
        <v>11518.273164948983</v>
      </c>
      <c r="N485" s="29"/>
      <c r="O485" s="29">
        <f>Table2[[#This Row],[Hot water demand (MWh)]]+Table2[[#This Row],[Space heating demand (MWh)]]</f>
        <v>11518.273164948983</v>
      </c>
      <c r="P485" s="29">
        <v>6959.790259026654</v>
      </c>
      <c r="Q485" s="29">
        <v>1088.4261113601781</v>
      </c>
      <c r="S485" s="17">
        <v>35.32815304100513</v>
      </c>
      <c r="T485" s="29">
        <v>12519.862135814112</v>
      </c>
      <c r="V485" s="29">
        <v>12519.862135814112</v>
      </c>
      <c r="X485" s="29">
        <v>1088.4261113601781</v>
      </c>
      <c r="Y485" s="29">
        <v>6959.790259026654</v>
      </c>
      <c r="AF485">
        <v>7.9488344342261552</v>
      </c>
      <c r="AG485">
        <v>11518.273164948983</v>
      </c>
      <c r="AH485">
        <v>0</v>
      </c>
      <c r="AI485">
        <v>1151.8273164948985</v>
      </c>
      <c r="AJ485">
        <v>8062.7912154642881</v>
      </c>
      <c r="AK485">
        <v>2303.6546329897969</v>
      </c>
      <c r="AL485" t="s">
        <v>212</v>
      </c>
      <c r="AM485">
        <v>9070.2175946681509</v>
      </c>
    </row>
    <row r="486" spans="2:39">
      <c r="B486">
        <v>479</v>
      </c>
      <c r="C486" t="s">
        <v>27</v>
      </c>
      <c r="D486" t="s">
        <v>67</v>
      </c>
      <c r="E486" t="s">
        <v>211</v>
      </c>
      <c r="H486" t="s">
        <v>132</v>
      </c>
      <c r="I486" t="s">
        <v>19</v>
      </c>
      <c r="M486" s="29">
        <v>13910.957928682346</v>
      </c>
      <c r="N486" s="29"/>
      <c r="O486" s="29">
        <f>Table2[[#This Row],[Hot water demand (MWh)]]+Table2[[#This Row],[Space heating demand (MWh)]]</f>
        <v>13910.957928682346</v>
      </c>
      <c r="P486" s="29">
        <v>15466.200575614785</v>
      </c>
      <c r="Q486" s="29">
        <v>2418.7246919115069</v>
      </c>
      <c r="S486" s="17">
        <v>17.664076520502565</v>
      </c>
      <c r="T486" s="29">
        <v>27821.915857364693</v>
      </c>
      <c r="V486" s="29">
        <v>27821.915857364693</v>
      </c>
      <c r="X486" s="29">
        <v>2418.7246919115069</v>
      </c>
      <c r="Y486" s="29">
        <v>15466.200575614785</v>
      </c>
      <c r="AF486">
        <v>8.8320382602512826</v>
      </c>
      <c r="AG486">
        <v>13910.957928682346</v>
      </c>
      <c r="AH486">
        <v>0</v>
      </c>
      <c r="AI486">
        <v>13910.957928682346</v>
      </c>
      <c r="AJ486">
        <v>0</v>
      </c>
      <c r="AK486">
        <v>0</v>
      </c>
      <c r="AL486" t="s">
        <v>213</v>
      </c>
      <c r="AM486">
        <v>20156.039099262558</v>
      </c>
    </row>
    <row r="487" spans="2:39">
      <c r="B487">
        <v>480</v>
      </c>
      <c r="C487" t="s">
        <v>27</v>
      </c>
      <c r="D487" t="s">
        <v>67</v>
      </c>
      <c r="E487" t="s">
        <v>211</v>
      </c>
      <c r="H487" t="s">
        <v>137</v>
      </c>
      <c r="I487" t="s">
        <v>19</v>
      </c>
      <c r="M487" s="29">
        <v>2559.6162588775514</v>
      </c>
      <c r="N487" s="29"/>
      <c r="O487" s="29">
        <f>Table2[[#This Row],[Hot water demand (MWh)]]+Table2[[#This Row],[Space heating demand (MWh)]]</f>
        <v>2559.6162588775514</v>
      </c>
      <c r="P487" s="29">
        <v>1546.6200575614787</v>
      </c>
      <c r="Q487" s="29">
        <v>241.87246919115069</v>
      </c>
      <c r="S487" s="17">
        <v>17.664076520502565</v>
      </c>
      <c r="T487" s="29">
        <v>2782.1915857364688</v>
      </c>
      <c r="V487" s="29">
        <v>2782.1915857364688</v>
      </c>
      <c r="X487" s="29">
        <v>241.87246919115069</v>
      </c>
      <c r="Y487" s="29">
        <v>1546.6200575614787</v>
      </c>
      <c r="AF487">
        <v>0.88320382602512837</v>
      </c>
      <c r="AG487">
        <v>2559.6162588775514</v>
      </c>
      <c r="AH487">
        <v>0</v>
      </c>
      <c r="AI487">
        <v>0</v>
      </c>
      <c r="AJ487">
        <v>2559.6162588775514</v>
      </c>
      <c r="AK487">
        <v>0</v>
      </c>
      <c r="AL487" t="s">
        <v>218</v>
      </c>
      <c r="AM487">
        <v>2015.6039099262557</v>
      </c>
    </row>
    <row r="488" spans="2:39">
      <c r="B488">
        <v>481</v>
      </c>
      <c r="C488" t="s">
        <v>27</v>
      </c>
      <c r="D488" t="s">
        <v>67</v>
      </c>
      <c r="E488" t="s">
        <v>211</v>
      </c>
      <c r="H488" t="s">
        <v>133</v>
      </c>
      <c r="I488" t="s">
        <v>19</v>
      </c>
      <c r="M488" s="29">
        <v>0</v>
      </c>
      <c r="N488" s="29"/>
      <c r="O488" s="29">
        <f>Table2[[#This Row],[Hot water demand (MWh)]]+Table2[[#This Row],[Space heating demand (MWh)]]</f>
        <v>0</v>
      </c>
      <c r="P488" s="29">
        <v>0</v>
      </c>
      <c r="Q488" s="29">
        <v>0</v>
      </c>
      <c r="S488" s="17">
        <v>0</v>
      </c>
      <c r="T488" s="29">
        <v>0</v>
      </c>
      <c r="V488" s="29">
        <v>0</v>
      </c>
      <c r="X488" s="29">
        <v>0</v>
      </c>
      <c r="Y488" s="29">
        <v>0</v>
      </c>
      <c r="AF488">
        <v>0</v>
      </c>
      <c r="AG488">
        <v>0</v>
      </c>
      <c r="AH488">
        <v>0</v>
      </c>
      <c r="AI488">
        <v>0</v>
      </c>
      <c r="AJ488">
        <v>0</v>
      </c>
      <c r="AK488">
        <v>0</v>
      </c>
      <c r="AL488" t="s">
        <v>214</v>
      </c>
      <c r="AM488">
        <v>0</v>
      </c>
    </row>
    <row r="489" spans="2:39">
      <c r="B489">
        <v>482</v>
      </c>
      <c r="C489" t="s">
        <v>27</v>
      </c>
      <c r="D489" t="s">
        <v>67</v>
      </c>
      <c r="E489" t="s">
        <v>211</v>
      </c>
      <c r="H489" t="s">
        <v>135</v>
      </c>
      <c r="I489" t="s">
        <v>19</v>
      </c>
      <c r="M489" s="29">
        <v>0</v>
      </c>
      <c r="N489" s="29"/>
      <c r="O489" s="29">
        <f>Table2[[#This Row],[Hot water demand (MWh)]]+Table2[[#This Row],[Space heating demand (MWh)]]</f>
        <v>0</v>
      </c>
      <c r="P489" s="29">
        <v>0</v>
      </c>
      <c r="Q489" s="29">
        <v>0</v>
      </c>
      <c r="S489" s="17">
        <v>0</v>
      </c>
      <c r="T489" s="29">
        <v>0</v>
      </c>
      <c r="V489" s="29">
        <v>0</v>
      </c>
      <c r="X489" s="29">
        <v>0</v>
      </c>
      <c r="Y489" s="29">
        <v>0</v>
      </c>
      <c r="AF489">
        <v>0</v>
      </c>
      <c r="AG489">
        <v>0</v>
      </c>
      <c r="AH489">
        <v>0</v>
      </c>
      <c r="AI489">
        <v>0</v>
      </c>
      <c r="AJ489">
        <v>0</v>
      </c>
      <c r="AK489">
        <v>0</v>
      </c>
      <c r="AL489" t="s">
        <v>216</v>
      </c>
      <c r="AM489">
        <v>0</v>
      </c>
    </row>
    <row r="490" spans="2:39">
      <c r="B490">
        <v>483</v>
      </c>
      <c r="C490" t="s">
        <v>27</v>
      </c>
      <c r="D490" t="s">
        <v>59</v>
      </c>
      <c r="E490" t="s">
        <v>207</v>
      </c>
      <c r="H490" t="s">
        <v>96</v>
      </c>
      <c r="I490" t="s">
        <v>29</v>
      </c>
      <c r="M490" s="29">
        <v>0</v>
      </c>
      <c r="N490" s="29"/>
      <c r="O490" s="29">
        <f>Table2[[#This Row],[Hot water demand (MWh)]]+Table2[[#This Row],[Space heating demand (MWh)]]</f>
        <v>0</v>
      </c>
      <c r="P490" s="29">
        <v>0</v>
      </c>
      <c r="Q490" s="29">
        <v>0</v>
      </c>
      <c r="S490" s="17">
        <v>0</v>
      </c>
      <c r="T490" s="29">
        <v>0</v>
      </c>
      <c r="V490" s="29">
        <v>0</v>
      </c>
      <c r="X490" s="29">
        <v>0</v>
      </c>
      <c r="Y490" s="29">
        <v>0</v>
      </c>
      <c r="AF490">
        <v>0</v>
      </c>
      <c r="AG490">
        <v>0</v>
      </c>
      <c r="AH490">
        <v>0</v>
      </c>
      <c r="AI490">
        <v>0</v>
      </c>
      <c r="AJ490">
        <v>0</v>
      </c>
      <c r="AK490">
        <v>0</v>
      </c>
      <c r="AL490" t="s">
        <v>212</v>
      </c>
      <c r="AM490">
        <v>0</v>
      </c>
    </row>
    <row r="491" spans="2:39">
      <c r="B491">
        <v>484</v>
      </c>
      <c r="C491" t="s">
        <v>27</v>
      </c>
      <c r="D491" t="s">
        <v>59</v>
      </c>
      <c r="E491" t="s">
        <v>207</v>
      </c>
      <c r="H491" t="s">
        <v>97</v>
      </c>
      <c r="I491" t="s">
        <v>29</v>
      </c>
      <c r="M491" s="29">
        <v>0</v>
      </c>
      <c r="N491" s="29"/>
      <c r="O491" s="29">
        <f>Table2[[#This Row],[Hot water demand (MWh)]]+Table2[[#This Row],[Space heating demand (MWh)]]</f>
        <v>0</v>
      </c>
      <c r="P491" s="29">
        <v>0</v>
      </c>
      <c r="Q491" s="29">
        <v>0</v>
      </c>
      <c r="S491" s="17">
        <v>0</v>
      </c>
      <c r="T491" s="29">
        <v>0</v>
      </c>
      <c r="V491" s="29">
        <v>0</v>
      </c>
      <c r="X491" s="29">
        <v>0</v>
      </c>
      <c r="Y491" s="29">
        <v>0</v>
      </c>
      <c r="AF491">
        <v>0</v>
      </c>
      <c r="AG491">
        <v>0</v>
      </c>
      <c r="AH491">
        <v>0</v>
      </c>
      <c r="AI491">
        <v>0</v>
      </c>
      <c r="AJ491">
        <v>0</v>
      </c>
      <c r="AK491">
        <v>0</v>
      </c>
      <c r="AL491" t="s">
        <v>213</v>
      </c>
      <c r="AM491">
        <v>0</v>
      </c>
    </row>
    <row r="492" spans="2:39">
      <c r="B492">
        <v>485</v>
      </c>
      <c r="C492" t="s">
        <v>27</v>
      </c>
      <c r="D492" t="s">
        <v>59</v>
      </c>
      <c r="E492" t="s">
        <v>207</v>
      </c>
      <c r="H492" t="s">
        <v>98</v>
      </c>
      <c r="I492" t="s">
        <v>29</v>
      </c>
      <c r="M492" s="29">
        <v>0</v>
      </c>
      <c r="N492" s="29"/>
      <c r="O492" s="29">
        <f>Table2[[#This Row],[Hot water demand (MWh)]]+Table2[[#This Row],[Space heating demand (MWh)]]</f>
        <v>0</v>
      </c>
      <c r="P492" s="29">
        <v>0</v>
      </c>
      <c r="Q492" s="29">
        <v>0</v>
      </c>
      <c r="S492" s="17">
        <v>0</v>
      </c>
      <c r="T492" s="29">
        <v>0</v>
      </c>
      <c r="V492" s="29">
        <v>0</v>
      </c>
      <c r="X492" s="29">
        <v>0</v>
      </c>
      <c r="Y492" s="29">
        <v>0</v>
      </c>
      <c r="AF492">
        <v>0</v>
      </c>
      <c r="AG492">
        <v>0</v>
      </c>
      <c r="AH492">
        <v>0</v>
      </c>
      <c r="AI492">
        <v>0</v>
      </c>
      <c r="AJ492">
        <v>0</v>
      </c>
      <c r="AK492">
        <v>0</v>
      </c>
      <c r="AL492" t="s">
        <v>214</v>
      </c>
      <c r="AM492">
        <v>0</v>
      </c>
    </row>
    <row r="493" spans="2:39">
      <c r="B493">
        <v>486</v>
      </c>
      <c r="C493" t="s">
        <v>27</v>
      </c>
      <c r="D493" t="s">
        <v>60</v>
      </c>
      <c r="E493" t="s">
        <v>207</v>
      </c>
      <c r="H493" t="s">
        <v>99</v>
      </c>
      <c r="I493" t="s">
        <v>29</v>
      </c>
      <c r="M493" s="29">
        <v>0</v>
      </c>
      <c r="N493" s="29"/>
      <c r="O493" s="29">
        <f>Table2[[#This Row],[Hot water demand (MWh)]]+Table2[[#This Row],[Space heating demand (MWh)]]</f>
        <v>0</v>
      </c>
      <c r="P493" s="29">
        <v>0</v>
      </c>
      <c r="Q493" s="29">
        <v>0</v>
      </c>
      <c r="S493" s="17">
        <v>0</v>
      </c>
      <c r="T493" s="29">
        <v>0</v>
      </c>
      <c r="V493" s="29">
        <v>0</v>
      </c>
      <c r="X493" s="29">
        <v>0</v>
      </c>
      <c r="Y493" s="29">
        <v>0</v>
      </c>
      <c r="AF493">
        <v>0</v>
      </c>
      <c r="AG493">
        <v>0</v>
      </c>
      <c r="AH493">
        <v>0</v>
      </c>
      <c r="AI493">
        <v>0</v>
      </c>
      <c r="AJ493">
        <v>0</v>
      </c>
      <c r="AK493">
        <v>0</v>
      </c>
      <c r="AL493" t="s">
        <v>215</v>
      </c>
      <c r="AM493">
        <v>0</v>
      </c>
    </row>
    <row r="494" spans="2:39">
      <c r="B494">
        <v>487</v>
      </c>
      <c r="C494" t="s">
        <v>27</v>
      </c>
      <c r="D494" t="s">
        <v>60</v>
      </c>
      <c r="E494" t="s">
        <v>207</v>
      </c>
      <c r="H494" t="s">
        <v>98</v>
      </c>
      <c r="I494" t="s">
        <v>29</v>
      </c>
      <c r="M494" s="29">
        <v>0</v>
      </c>
      <c r="N494" s="29"/>
      <c r="O494" s="29">
        <f>Table2[[#This Row],[Hot water demand (MWh)]]+Table2[[#This Row],[Space heating demand (MWh)]]</f>
        <v>0</v>
      </c>
      <c r="P494" s="29">
        <v>0</v>
      </c>
      <c r="Q494" s="29">
        <v>0</v>
      </c>
      <c r="S494" s="17">
        <v>0</v>
      </c>
      <c r="T494" s="29">
        <v>0</v>
      </c>
      <c r="V494" s="29">
        <v>0</v>
      </c>
      <c r="X494" s="29">
        <v>0</v>
      </c>
      <c r="Y494" s="29">
        <v>0</v>
      </c>
      <c r="AF494">
        <v>0</v>
      </c>
      <c r="AG494">
        <v>0</v>
      </c>
      <c r="AH494">
        <v>0</v>
      </c>
      <c r="AI494">
        <v>0</v>
      </c>
      <c r="AJ494">
        <v>0</v>
      </c>
      <c r="AK494">
        <v>0</v>
      </c>
      <c r="AL494" t="s">
        <v>214</v>
      </c>
      <c r="AM494">
        <v>0</v>
      </c>
    </row>
    <row r="495" spans="2:39">
      <c r="B495">
        <v>488</v>
      </c>
      <c r="C495" t="s">
        <v>27</v>
      </c>
      <c r="D495" t="s">
        <v>60</v>
      </c>
      <c r="E495" t="s">
        <v>207</v>
      </c>
      <c r="H495" t="s">
        <v>100</v>
      </c>
      <c r="I495" t="s">
        <v>29</v>
      </c>
      <c r="M495" s="29">
        <v>0</v>
      </c>
      <c r="N495" s="29"/>
      <c r="O495" s="29">
        <f>Table2[[#This Row],[Hot water demand (MWh)]]+Table2[[#This Row],[Space heating demand (MWh)]]</f>
        <v>0</v>
      </c>
      <c r="P495" s="29">
        <v>0</v>
      </c>
      <c r="Q495" s="29">
        <v>0</v>
      </c>
      <c r="S495" s="17">
        <v>0</v>
      </c>
      <c r="T495" s="29">
        <v>0</v>
      </c>
      <c r="V495" s="29">
        <v>0</v>
      </c>
      <c r="X495" s="29">
        <v>0</v>
      </c>
      <c r="Y495" s="29">
        <v>0</v>
      </c>
      <c r="AF495">
        <v>0</v>
      </c>
      <c r="AG495">
        <v>0</v>
      </c>
      <c r="AH495">
        <v>0</v>
      </c>
      <c r="AI495">
        <v>0</v>
      </c>
      <c r="AJ495">
        <v>0</v>
      </c>
      <c r="AK495">
        <v>0</v>
      </c>
      <c r="AL495" t="s">
        <v>216</v>
      </c>
      <c r="AM495">
        <v>0</v>
      </c>
    </row>
    <row r="496" spans="2:39">
      <c r="B496">
        <v>489</v>
      </c>
      <c r="C496" t="s">
        <v>27</v>
      </c>
      <c r="D496" t="s">
        <v>61</v>
      </c>
      <c r="E496" t="s">
        <v>207</v>
      </c>
      <c r="H496" t="s">
        <v>96</v>
      </c>
      <c r="I496" t="s">
        <v>29</v>
      </c>
      <c r="M496" s="29">
        <v>0</v>
      </c>
      <c r="N496" s="29"/>
      <c r="O496" s="29">
        <f>Table2[[#This Row],[Hot water demand (MWh)]]+Table2[[#This Row],[Space heating demand (MWh)]]</f>
        <v>0</v>
      </c>
      <c r="P496" s="29">
        <v>0</v>
      </c>
      <c r="Q496" s="29">
        <v>0</v>
      </c>
      <c r="S496" s="17">
        <v>0</v>
      </c>
      <c r="T496" s="29">
        <v>0</v>
      </c>
      <c r="V496" s="29">
        <v>0</v>
      </c>
      <c r="X496" s="29">
        <v>0</v>
      </c>
      <c r="Y496" s="29">
        <v>0</v>
      </c>
      <c r="AF496">
        <v>0</v>
      </c>
      <c r="AG496">
        <v>0</v>
      </c>
      <c r="AH496">
        <v>0</v>
      </c>
      <c r="AI496">
        <v>0</v>
      </c>
      <c r="AJ496">
        <v>0</v>
      </c>
      <c r="AK496">
        <v>0</v>
      </c>
      <c r="AL496" t="s">
        <v>212</v>
      </c>
      <c r="AM496">
        <v>0</v>
      </c>
    </row>
    <row r="497" spans="2:39">
      <c r="B497">
        <v>490</v>
      </c>
      <c r="C497" t="s">
        <v>27</v>
      </c>
      <c r="D497" t="s">
        <v>61</v>
      </c>
      <c r="E497" t="s">
        <v>207</v>
      </c>
      <c r="H497" t="s">
        <v>97</v>
      </c>
      <c r="I497" t="s">
        <v>29</v>
      </c>
      <c r="M497" s="29">
        <v>0</v>
      </c>
      <c r="N497" s="29"/>
      <c r="O497" s="29">
        <f>Table2[[#This Row],[Hot water demand (MWh)]]+Table2[[#This Row],[Space heating demand (MWh)]]</f>
        <v>0</v>
      </c>
      <c r="P497" s="29">
        <v>0</v>
      </c>
      <c r="Q497" s="29">
        <v>0</v>
      </c>
      <c r="S497" s="17">
        <v>0</v>
      </c>
      <c r="T497" s="29">
        <v>0</v>
      </c>
      <c r="V497" s="29">
        <v>0</v>
      </c>
      <c r="X497" s="29">
        <v>0</v>
      </c>
      <c r="Y497" s="29">
        <v>0</v>
      </c>
      <c r="AF497">
        <v>0</v>
      </c>
      <c r="AG497">
        <v>0</v>
      </c>
      <c r="AH497">
        <v>0</v>
      </c>
      <c r="AI497">
        <v>0</v>
      </c>
      <c r="AJ497">
        <v>0</v>
      </c>
      <c r="AK497">
        <v>0</v>
      </c>
      <c r="AL497" t="s">
        <v>213</v>
      </c>
      <c r="AM497">
        <v>0</v>
      </c>
    </row>
    <row r="498" spans="2:39">
      <c r="B498">
        <v>491</v>
      </c>
      <c r="C498" t="s">
        <v>27</v>
      </c>
      <c r="D498" t="s">
        <v>61</v>
      </c>
      <c r="E498" t="s">
        <v>207</v>
      </c>
      <c r="H498" t="s">
        <v>98</v>
      </c>
      <c r="I498" t="s">
        <v>29</v>
      </c>
      <c r="M498" s="29">
        <v>0</v>
      </c>
      <c r="N498" s="29"/>
      <c r="O498" s="29">
        <f>Table2[[#This Row],[Hot water demand (MWh)]]+Table2[[#This Row],[Space heating demand (MWh)]]</f>
        <v>0</v>
      </c>
      <c r="P498" s="29">
        <v>0</v>
      </c>
      <c r="Q498" s="29">
        <v>0</v>
      </c>
      <c r="S498" s="17">
        <v>0</v>
      </c>
      <c r="T498" s="29">
        <v>0</v>
      </c>
      <c r="V498" s="29">
        <v>0</v>
      </c>
      <c r="X498" s="29">
        <v>0</v>
      </c>
      <c r="Y498" s="29">
        <v>0</v>
      </c>
      <c r="AF498">
        <v>0</v>
      </c>
      <c r="AG498">
        <v>0</v>
      </c>
      <c r="AH498">
        <v>0</v>
      </c>
      <c r="AI498">
        <v>0</v>
      </c>
      <c r="AJ498">
        <v>0</v>
      </c>
      <c r="AK498">
        <v>0</v>
      </c>
      <c r="AL498" t="s">
        <v>214</v>
      </c>
      <c r="AM498">
        <v>0</v>
      </c>
    </row>
    <row r="499" spans="2:39">
      <c r="B499">
        <v>492</v>
      </c>
      <c r="C499" t="s">
        <v>27</v>
      </c>
      <c r="D499" t="s">
        <v>62</v>
      </c>
      <c r="E499" t="s">
        <v>207</v>
      </c>
      <c r="H499" t="s">
        <v>96</v>
      </c>
      <c r="I499" t="s">
        <v>29</v>
      </c>
      <c r="M499" s="29">
        <v>0</v>
      </c>
      <c r="N499" s="29"/>
      <c r="O499" s="29">
        <f>Table2[[#This Row],[Hot water demand (MWh)]]+Table2[[#This Row],[Space heating demand (MWh)]]</f>
        <v>0</v>
      </c>
      <c r="P499" s="29">
        <v>0</v>
      </c>
      <c r="Q499" s="29">
        <v>0</v>
      </c>
      <c r="S499" s="17">
        <v>0</v>
      </c>
      <c r="T499" s="29">
        <v>0</v>
      </c>
      <c r="V499" s="29">
        <v>0</v>
      </c>
      <c r="X499" s="29">
        <v>0</v>
      </c>
      <c r="Y499" s="29">
        <v>0</v>
      </c>
      <c r="AF499">
        <v>0</v>
      </c>
      <c r="AG499">
        <v>0</v>
      </c>
      <c r="AH499">
        <v>0</v>
      </c>
      <c r="AI499">
        <v>0</v>
      </c>
      <c r="AJ499">
        <v>0</v>
      </c>
      <c r="AK499">
        <v>0</v>
      </c>
      <c r="AL499" t="s">
        <v>212</v>
      </c>
      <c r="AM499">
        <v>0</v>
      </c>
    </row>
    <row r="500" spans="2:39">
      <c r="B500">
        <v>493</v>
      </c>
      <c r="C500" t="s">
        <v>27</v>
      </c>
      <c r="D500" t="s">
        <v>62</v>
      </c>
      <c r="E500" t="s">
        <v>207</v>
      </c>
      <c r="H500" t="s">
        <v>100</v>
      </c>
      <c r="I500" t="s">
        <v>29</v>
      </c>
      <c r="M500" s="29">
        <v>0</v>
      </c>
      <c r="N500" s="29"/>
      <c r="O500" s="29">
        <f>Table2[[#This Row],[Hot water demand (MWh)]]+Table2[[#This Row],[Space heating demand (MWh)]]</f>
        <v>0</v>
      </c>
      <c r="P500" s="29">
        <v>0</v>
      </c>
      <c r="Q500" s="29">
        <v>0</v>
      </c>
      <c r="S500" s="17">
        <v>0</v>
      </c>
      <c r="T500" s="29">
        <v>0</v>
      </c>
      <c r="V500" s="29">
        <v>0</v>
      </c>
      <c r="X500" s="29">
        <v>0</v>
      </c>
      <c r="Y500" s="29">
        <v>0</v>
      </c>
      <c r="AF500">
        <v>0</v>
      </c>
      <c r="AG500">
        <v>0</v>
      </c>
      <c r="AH500">
        <v>0</v>
      </c>
      <c r="AI500">
        <v>0</v>
      </c>
      <c r="AJ500">
        <v>0</v>
      </c>
      <c r="AK500">
        <v>0</v>
      </c>
      <c r="AL500" t="s">
        <v>216</v>
      </c>
      <c r="AM500">
        <v>0</v>
      </c>
    </row>
    <row r="501" spans="2:39">
      <c r="B501">
        <v>494</v>
      </c>
      <c r="C501" t="s">
        <v>27</v>
      </c>
      <c r="D501" t="s">
        <v>63</v>
      </c>
      <c r="E501" t="s">
        <v>207</v>
      </c>
      <c r="H501" t="s">
        <v>101</v>
      </c>
      <c r="I501" t="s">
        <v>29</v>
      </c>
      <c r="M501" s="29">
        <v>0</v>
      </c>
      <c r="N501" s="29"/>
      <c r="O501" s="29">
        <f>Table2[[#This Row],[Hot water demand (MWh)]]+Table2[[#This Row],[Space heating demand (MWh)]]</f>
        <v>0</v>
      </c>
      <c r="P501" s="29">
        <v>0</v>
      </c>
      <c r="Q501" s="29">
        <v>0</v>
      </c>
      <c r="S501" s="17">
        <v>0</v>
      </c>
      <c r="T501" s="29">
        <v>0</v>
      </c>
      <c r="V501" s="29">
        <v>0</v>
      </c>
      <c r="X501" s="29">
        <v>0</v>
      </c>
      <c r="Y501" s="29">
        <v>0</v>
      </c>
      <c r="AF501">
        <v>0</v>
      </c>
      <c r="AG501">
        <v>0</v>
      </c>
      <c r="AH501">
        <v>0</v>
      </c>
      <c r="AI501">
        <v>0</v>
      </c>
      <c r="AJ501">
        <v>0</v>
      </c>
      <c r="AK501">
        <v>0</v>
      </c>
      <c r="AL501" t="s">
        <v>217</v>
      </c>
      <c r="AM501">
        <v>0</v>
      </c>
    </row>
    <row r="502" spans="2:39">
      <c r="B502">
        <v>495</v>
      </c>
      <c r="C502" t="s">
        <v>27</v>
      </c>
      <c r="D502" t="s">
        <v>63</v>
      </c>
      <c r="E502" t="s">
        <v>207</v>
      </c>
      <c r="H502" t="s">
        <v>96</v>
      </c>
      <c r="I502" t="s">
        <v>29</v>
      </c>
      <c r="M502" s="29">
        <v>0</v>
      </c>
      <c r="N502" s="29"/>
      <c r="O502" s="29">
        <f>Table2[[#This Row],[Hot water demand (MWh)]]+Table2[[#This Row],[Space heating demand (MWh)]]</f>
        <v>0</v>
      </c>
      <c r="P502" s="29">
        <v>0</v>
      </c>
      <c r="Q502" s="29">
        <v>0</v>
      </c>
      <c r="S502" s="17">
        <v>0</v>
      </c>
      <c r="T502" s="29">
        <v>0</v>
      </c>
      <c r="V502" s="29">
        <v>0</v>
      </c>
      <c r="X502" s="29">
        <v>0</v>
      </c>
      <c r="Y502" s="29">
        <v>0</v>
      </c>
      <c r="AF502">
        <v>0</v>
      </c>
      <c r="AG502">
        <v>0</v>
      </c>
      <c r="AH502">
        <v>0</v>
      </c>
      <c r="AI502">
        <v>0</v>
      </c>
      <c r="AJ502">
        <v>0</v>
      </c>
      <c r="AK502">
        <v>0</v>
      </c>
      <c r="AL502" t="s">
        <v>212</v>
      </c>
      <c r="AM502">
        <v>0</v>
      </c>
    </row>
    <row r="503" spans="2:39">
      <c r="B503">
        <v>496</v>
      </c>
      <c r="C503" t="s">
        <v>27</v>
      </c>
      <c r="D503" t="s">
        <v>63</v>
      </c>
      <c r="E503" t="s">
        <v>207</v>
      </c>
      <c r="H503" t="s">
        <v>100</v>
      </c>
      <c r="I503" t="s">
        <v>29</v>
      </c>
      <c r="M503" s="29">
        <v>0</v>
      </c>
      <c r="N503" s="29"/>
      <c r="O503" s="29">
        <f>Table2[[#This Row],[Hot water demand (MWh)]]+Table2[[#This Row],[Space heating demand (MWh)]]</f>
        <v>0</v>
      </c>
      <c r="P503" s="29">
        <v>0</v>
      </c>
      <c r="Q503" s="29">
        <v>0</v>
      </c>
      <c r="S503" s="17">
        <v>0</v>
      </c>
      <c r="T503" s="29">
        <v>0</v>
      </c>
      <c r="V503" s="29">
        <v>0</v>
      </c>
      <c r="X503" s="29">
        <v>0</v>
      </c>
      <c r="Y503" s="29">
        <v>0</v>
      </c>
      <c r="AF503">
        <v>0</v>
      </c>
      <c r="AG503">
        <v>0</v>
      </c>
      <c r="AH503">
        <v>0</v>
      </c>
      <c r="AI503">
        <v>0</v>
      </c>
      <c r="AJ503">
        <v>0</v>
      </c>
      <c r="AK503">
        <v>0</v>
      </c>
      <c r="AL503" t="s">
        <v>216</v>
      </c>
      <c r="AM503">
        <v>0</v>
      </c>
    </row>
    <row r="504" spans="2:39">
      <c r="B504">
        <v>497</v>
      </c>
      <c r="C504" t="s">
        <v>27</v>
      </c>
      <c r="D504" t="s">
        <v>64</v>
      </c>
      <c r="E504" t="s">
        <v>207</v>
      </c>
      <c r="H504" t="s">
        <v>96</v>
      </c>
      <c r="I504" t="s">
        <v>29</v>
      </c>
      <c r="M504" s="29">
        <v>0</v>
      </c>
      <c r="N504" s="29"/>
      <c r="O504" s="29">
        <f>Table2[[#This Row],[Hot water demand (MWh)]]+Table2[[#This Row],[Space heating demand (MWh)]]</f>
        <v>0</v>
      </c>
      <c r="P504" s="29">
        <v>0</v>
      </c>
      <c r="Q504" s="29">
        <v>0</v>
      </c>
      <c r="S504" s="17">
        <v>0</v>
      </c>
      <c r="T504" s="29">
        <v>0</v>
      </c>
      <c r="V504" s="29">
        <v>0</v>
      </c>
      <c r="X504" s="29">
        <v>0</v>
      </c>
      <c r="Y504" s="29">
        <v>0</v>
      </c>
      <c r="AF504">
        <v>0</v>
      </c>
      <c r="AG504">
        <v>0</v>
      </c>
      <c r="AH504">
        <v>0</v>
      </c>
      <c r="AI504">
        <v>0</v>
      </c>
      <c r="AJ504">
        <v>0</v>
      </c>
      <c r="AK504">
        <v>0</v>
      </c>
      <c r="AL504" t="s">
        <v>212</v>
      </c>
      <c r="AM504">
        <v>0</v>
      </c>
    </row>
    <row r="505" spans="2:39">
      <c r="B505">
        <v>498</v>
      </c>
      <c r="C505" t="s">
        <v>27</v>
      </c>
      <c r="D505" t="s">
        <v>64</v>
      </c>
      <c r="E505" t="s">
        <v>207</v>
      </c>
      <c r="H505" t="s">
        <v>97</v>
      </c>
      <c r="I505" t="s">
        <v>29</v>
      </c>
      <c r="M505" s="29">
        <v>0</v>
      </c>
      <c r="N505" s="29"/>
      <c r="O505" s="29">
        <f>Table2[[#This Row],[Hot water demand (MWh)]]+Table2[[#This Row],[Space heating demand (MWh)]]</f>
        <v>0</v>
      </c>
      <c r="P505" s="29">
        <v>0</v>
      </c>
      <c r="Q505" s="29">
        <v>0</v>
      </c>
      <c r="S505" s="17">
        <v>0</v>
      </c>
      <c r="T505" s="29">
        <v>0</v>
      </c>
      <c r="V505" s="29">
        <v>0</v>
      </c>
      <c r="X505" s="29">
        <v>0</v>
      </c>
      <c r="Y505" s="29">
        <v>0</v>
      </c>
      <c r="AF505">
        <v>0</v>
      </c>
      <c r="AG505">
        <v>0</v>
      </c>
      <c r="AH505">
        <v>0</v>
      </c>
      <c r="AI505">
        <v>0</v>
      </c>
      <c r="AJ505">
        <v>0</v>
      </c>
      <c r="AK505">
        <v>0</v>
      </c>
      <c r="AL505" t="s">
        <v>213</v>
      </c>
      <c r="AM505">
        <v>0</v>
      </c>
    </row>
    <row r="506" spans="2:39">
      <c r="B506">
        <v>499</v>
      </c>
      <c r="C506" t="s">
        <v>27</v>
      </c>
      <c r="D506" t="s">
        <v>64</v>
      </c>
      <c r="E506" t="s">
        <v>207</v>
      </c>
      <c r="H506" t="s">
        <v>102</v>
      </c>
      <c r="I506" t="s">
        <v>29</v>
      </c>
      <c r="M506" s="29">
        <v>0</v>
      </c>
      <c r="N506" s="29"/>
      <c r="O506" s="29">
        <f>Table2[[#This Row],[Hot water demand (MWh)]]+Table2[[#This Row],[Space heating demand (MWh)]]</f>
        <v>0</v>
      </c>
      <c r="P506" s="29">
        <v>0</v>
      </c>
      <c r="Q506" s="29">
        <v>0</v>
      </c>
      <c r="S506" s="17">
        <v>0</v>
      </c>
      <c r="T506" s="29">
        <v>0</v>
      </c>
      <c r="V506" s="29">
        <v>0</v>
      </c>
      <c r="X506" s="29">
        <v>0</v>
      </c>
      <c r="Y506" s="29">
        <v>0</v>
      </c>
      <c r="AF506">
        <v>0</v>
      </c>
      <c r="AG506">
        <v>0</v>
      </c>
      <c r="AH506">
        <v>0</v>
      </c>
      <c r="AI506">
        <v>0</v>
      </c>
      <c r="AJ506">
        <v>0</v>
      </c>
      <c r="AK506">
        <v>0</v>
      </c>
      <c r="AL506" t="s">
        <v>218</v>
      </c>
      <c r="AM506">
        <v>0</v>
      </c>
    </row>
    <row r="507" spans="2:39">
      <c r="B507">
        <v>500</v>
      </c>
      <c r="C507" t="s">
        <v>27</v>
      </c>
      <c r="D507" t="s">
        <v>64</v>
      </c>
      <c r="E507" t="s">
        <v>207</v>
      </c>
      <c r="H507" t="s">
        <v>100</v>
      </c>
      <c r="I507" t="s">
        <v>29</v>
      </c>
      <c r="M507" s="29">
        <v>0</v>
      </c>
      <c r="N507" s="29"/>
      <c r="O507" s="29">
        <f>Table2[[#This Row],[Hot water demand (MWh)]]+Table2[[#This Row],[Space heating demand (MWh)]]</f>
        <v>0</v>
      </c>
      <c r="P507" s="29">
        <v>0</v>
      </c>
      <c r="Q507" s="29">
        <v>0</v>
      </c>
      <c r="S507" s="17">
        <v>0</v>
      </c>
      <c r="T507" s="29">
        <v>0</v>
      </c>
      <c r="V507" s="29">
        <v>0</v>
      </c>
      <c r="X507" s="29">
        <v>0</v>
      </c>
      <c r="Y507" s="29">
        <v>0</v>
      </c>
      <c r="AF507">
        <v>0</v>
      </c>
      <c r="AG507">
        <v>0</v>
      </c>
      <c r="AH507">
        <v>0</v>
      </c>
      <c r="AI507">
        <v>0</v>
      </c>
      <c r="AJ507">
        <v>0</v>
      </c>
      <c r="AK507">
        <v>0</v>
      </c>
      <c r="AL507" t="s">
        <v>216</v>
      </c>
      <c r="AM507">
        <v>0</v>
      </c>
    </row>
    <row r="508" spans="2:39">
      <c r="B508">
        <v>501</v>
      </c>
      <c r="C508" t="s">
        <v>27</v>
      </c>
      <c r="D508" t="s">
        <v>65</v>
      </c>
      <c r="E508" t="s">
        <v>207</v>
      </c>
      <c r="H508" t="s">
        <v>99</v>
      </c>
      <c r="I508" t="s">
        <v>29</v>
      </c>
      <c r="M508" s="29">
        <v>0</v>
      </c>
      <c r="N508" s="29"/>
      <c r="O508" s="29">
        <f>Table2[[#This Row],[Hot water demand (MWh)]]+Table2[[#This Row],[Space heating demand (MWh)]]</f>
        <v>0</v>
      </c>
      <c r="P508" s="29">
        <v>0</v>
      </c>
      <c r="Q508" s="29">
        <v>0</v>
      </c>
      <c r="S508" s="17">
        <v>0</v>
      </c>
      <c r="T508" s="29">
        <v>0</v>
      </c>
      <c r="V508" s="29">
        <v>0</v>
      </c>
      <c r="X508" s="29">
        <v>0</v>
      </c>
      <c r="Y508" s="29">
        <v>0</v>
      </c>
      <c r="AF508">
        <v>0</v>
      </c>
      <c r="AG508">
        <v>0</v>
      </c>
      <c r="AH508">
        <v>0</v>
      </c>
      <c r="AI508">
        <v>0</v>
      </c>
      <c r="AJ508">
        <v>0</v>
      </c>
      <c r="AK508">
        <v>0</v>
      </c>
      <c r="AL508" t="s">
        <v>215</v>
      </c>
      <c r="AM508">
        <v>0</v>
      </c>
    </row>
    <row r="509" spans="2:39">
      <c r="B509">
        <v>502</v>
      </c>
      <c r="C509" t="s">
        <v>27</v>
      </c>
      <c r="D509" t="s">
        <v>65</v>
      </c>
      <c r="E509" t="s">
        <v>207</v>
      </c>
      <c r="H509" t="s">
        <v>101</v>
      </c>
      <c r="I509" t="s">
        <v>29</v>
      </c>
      <c r="M509" s="29">
        <v>0</v>
      </c>
      <c r="N509" s="29"/>
      <c r="O509" s="29">
        <f>Table2[[#This Row],[Hot water demand (MWh)]]+Table2[[#This Row],[Space heating demand (MWh)]]</f>
        <v>0</v>
      </c>
      <c r="P509" s="29">
        <v>0</v>
      </c>
      <c r="Q509" s="29">
        <v>0</v>
      </c>
      <c r="S509" s="17">
        <v>0</v>
      </c>
      <c r="T509" s="29">
        <v>0</v>
      </c>
      <c r="V509" s="29">
        <v>0</v>
      </c>
      <c r="X509" s="29">
        <v>0</v>
      </c>
      <c r="Y509" s="29">
        <v>0</v>
      </c>
      <c r="AF509">
        <v>0</v>
      </c>
      <c r="AG509">
        <v>0</v>
      </c>
      <c r="AH509">
        <v>0</v>
      </c>
      <c r="AI509">
        <v>0</v>
      </c>
      <c r="AJ509">
        <v>0</v>
      </c>
      <c r="AK509">
        <v>0</v>
      </c>
      <c r="AL509" t="s">
        <v>217</v>
      </c>
      <c r="AM509">
        <v>0</v>
      </c>
    </row>
    <row r="510" spans="2:39">
      <c r="B510">
        <v>503</v>
      </c>
      <c r="C510" t="s">
        <v>27</v>
      </c>
      <c r="D510" t="s">
        <v>65</v>
      </c>
      <c r="E510" t="s">
        <v>207</v>
      </c>
      <c r="H510" t="s">
        <v>98</v>
      </c>
      <c r="I510" t="s">
        <v>29</v>
      </c>
      <c r="M510" s="29">
        <v>0</v>
      </c>
      <c r="N510" s="29"/>
      <c r="O510" s="29">
        <f>Table2[[#This Row],[Hot water demand (MWh)]]+Table2[[#This Row],[Space heating demand (MWh)]]</f>
        <v>0</v>
      </c>
      <c r="P510" s="29">
        <v>0</v>
      </c>
      <c r="Q510" s="29">
        <v>0</v>
      </c>
      <c r="S510" s="17">
        <v>0</v>
      </c>
      <c r="T510" s="29">
        <v>0</v>
      </c>
      <c r="V510" s="29">
        <v>0</v>
      </c>
      <c r="X510" s="29">
        <v>0</v>
      </c>
      <c r="Y510" s="29">
        <v>0</v>
      </c>
      <c r="AF510">
        <v>0</v>
      </c>
      <c r="AG510">
        <v>0</v>
      </c>
      <c r="AH510">
        <v>0</v>
      </c>
      <c r="AI510">
        <v>0</v>
      </c>
      <c r="AJ510">
        <v>0</v>
      </c>
      <c r="AK510">
        <v>0</v>
      </c>
      <c r="AL510" t="s">
        <v>214</v>
      </c>
      <c r="AM510">
        <v>0</v>
      </c>
    </row>
    <row r="511" spans="2:39">
      <c r="B511">
        <v>504</v>
      </c>
      <c r="C511" t="s">
        <v>27</v>
      </c>
      <c r="D511" t="s">
        <v>65</v>
      </c>
      <c r="E511" t="s">
        <v>207</v>
      </c>
      <c r="H511" t="s">
        <v>100</v>
      </c>
      <c r="I511" t="s">
        <v>29</v>
      </c>
      <c r="M511" s="29">
        <v>0</v>
      </c>
      <c r="N511" s="29"/>
      <c r="O511" s="29">
        <f>Table2[[#This Row],[Hot water demand (MWh)]]+Table2[[#This Row],[Space heating demand (MWh)]]</f>
        <v>0</v>
      </c>
      <c r="P511" s="29">
        <v>0</v>
      </c>
      <c r="Q511" s="29">
        <v>0</v>
      </c>
      <c r="S511" s="17">
        <v>0</v>
      </c>
      <c r="T511" s="29">
        <v>0</v>
      </c>
      <c r="V511" s="29">
        <v>0</v>
      </c>
      <c r="X511" s="29">
        <v>0</v>
      </c>
      <c r="Y511" s="29">
        <v>0</v>
      </c>
      <c r="AF511">
        <v>0</v>
      </c>
      <c r="AG511">
        <v>0</v>
      </c>
      <c r="AH511">
        <v>0</v>
      </c>
      <c r="AI511">
        <v>0</v>
      </c>
      <c r="AJ511">
        <v>0</v>
      </c>
      <c r="AK511">
        <v>0</v>
      </c>
      <c r="AL511" t="s">
        <v>216</v>
      </c>
      <c r="AM511">
        <v>0</v>
      </c>
    </row>
    <row r="512" spans="2:39">
      <c r="B512">
        <v>505</v>
      </c>
      <c r="C512" t="s">
        <v>27</v>
      </c>
      <c r="D512" t="s">
        <v>66</v>
      </c>
      <c r="E512" t="s">
        <v>207</v>
      </c>
      <c r="H512" t="s">
        <v>101</v>
      </c>
      <c r="I512" t="s">
        <v>29</v>
      </c>
      <c r="M512" s="29">
        <v>0</v>
      </c>
      <c r="N512" s="29"/>
      <c r="O512" s="29">
        <f>Table2[[#This Row],[Hot water demand (MWh)]]+Table2[[#This Row],[Space heating demand (MWh)]]</f>
        <v>0</v>
      </c>
      <c r="P512" s="29">
        <v>0</v>
      </c>
      <c r="Q512" s="29">
        <v>0</v>
      </c>
      <c r="S512" s="17">
        <v>0</v>
      </c>
      <c r="T512" s="29">
        <v>0</v>
      </c>
      <c r="V512" s="29">
        <v>0</v>
      </c>
      <c r="X512" s="29">
        <v>0</v>
      </c>
      <c r="Y512" s="29">
        <v>0</v>
      </c>
      <c r="AF512">
        <v>0</v>
      </c>
      <c r="AG512">
        <v>0</v>
      </c>
      <c r="AH512">
        <v>0</v>
      </c>
      <c r="AI512">
        <v>0</v>
      </c>
      <c r="AJ512">
        <v>0</v>
      </c>
      <c r="AK512">
        <v>0</v>
      </c>
      <c r="AL512" t="s">
        <v>217</v>
      </c>
      <c r="AM512">
        <v>0</v>
      </c>
    </row>
    <row r="513" spans="2:39">
      <c r="B513">
        <v>506</v>
      </c>
      <c r="C513" t="s">
        <v>27</v>
      </c>
      <c r="D513" t="s">
        <v>66</v>
      </c>
      <c r="E513" t="s">
        <v>207</v>
      </c>
      <c r="H513" t="s">
        <v>96</v>
      </c>
      <c r="I513" t="s">
        <v>29</v>
      </c>
      <c r="M513" s="29">
        <v>0</v>
      </c>
      <c r="N513" s="29"/>
      <c r="O513" s="29">
        <f>Table2[[#This Row],[Hot water demand (MWh)]]+Table2[[#This Row],[Space heating demand (MWh)]]</f>
        <v>0</v>
      </c>
      <c r="P513" s="29">
        <v>0</v>
      </c>
      <c r="Q513" s="29">
        <v>0</v>
      </c>
      <c r="S513" s="17">
        <v>0</v>
      </c>
      <c r="T513" s="29">
        <v>0</v>
      </c>
      <c r="V513" s="29">
        <v>0</v>
      </c>
      <c r="X513" s="29">
        <v>0</v>
      </c>
      <c r="Y513" s="29">
        <v>0</v>
      </c>
      <c r="AF513">
        <v>0</v>
      </c>
      <c r="AG513">
        <v>0</v>
      </c>
      <c r="AH513">
        <v>0</v>
      </c>
      <c r="AI513">
        <v>0</v>
      </c>
      <c r="AJ513">
        <v>0</v>
      </c>
      <c r="AK513">
        <v>0</v>
      </c>
      <c r="AL513" t="s">
        <v>212</v>
      </c>
      <c r="AM513">
        <v>0</v>
      </c>
    </row>
    <row r="514" spans="2:39">
      <c r="B514">
        <v>507</v>
      </c>
      <c r="C514" t="s">
        <v>27</v>
      </c>
      <c r="D514" t="s">
        <v>66</v>
      </c>
      <c r="E514" t="s">
        <v>207</v>
      </c>
      <c r="H514" t="s">
        <v>97</v>
      </c>
      <c r="I514" t="s">
        <v>29</v>
      </c>
      <c r="M514" s="29">
        <v>0</v>
      </c>
      <c r="N514" s="29"/>
      <c r="O514" s="29">
        <f>Table2[[#This Row],[Hot water demand (MWh)]]+Table2[[#This Row],[Space heating demand (MWh)]]</f>
        <v>0</v>
      </c>
      <c r="P514" s="29">
        <v>0</v>
      </c>
      <c r="Q514" s="29">
        <v>0</v>
      </c>
      <c r="S514" s="17">
        <v>0</v>
      </c>
      <c r="T514" s="29">
        <v>0</v>
      </c>
      <c r="V514" s="29">
        <v>0</v>
      </c>
      <c r="X514" s="29">
        <v>0</v>
      </c>
      <c r="Y514" s="29">
        <v>0</v>
      </c>
      <c r="AF514">
        <v>0</v>
      </c>
      <c r="AG514">
        <v>0</v>
      </c>
      <c r="AH514">
        <v>0</v>
      </c>
      <c r="AI514">
        <v>0</v>
      </c>
      <c r="AJ514">
        <v>0</v>
      </c>
      <c r="AK514">
        <v>0</v>
      </c>
      <c r="AL514" t="s">
        <v>213</v>
      </c>
      <c r="AM514">
        <v>0</v>
      </c>
    </row>
    <row r="515" spans="2:39">
      <c r="B515">
        <v>508</v>
      </c>
      <c r="C515" t="s">
        <v>27</v>
      </c>
      <c r="D515" t="s">
        <v>66</v>
      </c>
      <c r="E515" t="s">
        <v>207</v>
      </c>
      <c r="H515" t="s">
        <v>102</v>
      </c>
      <c r="I515" t="s">
        <v>29</v>
      </c>
      <c r="M515" s="29">
        <v>0</v>
      </c>
      <c r="N515" s="29"/>
      <c r="O515" s="29">
        <f>Table2[[#This Row],[Hot water demand (MWh)]]+Table2[[#This Row],[Space heating demand (MWh)]]</f>
        <v>0</v>
      </c>
      <c r="P515" s="29">
        <v>0</v>
      </c>
      <c r="Q515" s="29">
        <v>0</v>
      </c>
      <c r="S515" s="17">
        <v>0</v>
      </c>
      <c r="T515" s="29">
        <v>0</v>
      </c>
      <c r="V515" s="29">
        <v>0</v>
      </c>
      <c r="X515" s="29">
        <v>0</v>
      </c>
      <c r="Y515" s="29">
        <v>0</v>
      </c>
      <c r="AF515">
        <v>0</v>
      </c>
      <c r="AG515">
        <v>0</v>
      </c>
      <c r="AH515">
        <v>0</v>
      </c>
      <c r="AI515">
        <v>0</v>
      </c>
      <c r="AJ515">
        <v>0</v>
      </c>
      <c r="AK515">
        <v>0</v>
      </c>
      <c r="AL515" t="s">
        <v>218</v>
      </c>
      <c r="AM515">
        <v>0</v>
      </c>
    </row>
    <row r="516" spans="2:39">
      <c r="B516">
        <v>509</v>
      </c>
      <c r="C516" t="s">
        <v>27</v>
      </c>
      <c r="D516" t="s">
        <v>66</v>
      </c>
      <c r="E516" t="s">
        <v>207</v>
      </c>
      <c r="H516" t="s">
        <v>98</v>
      </c>
      <c r="I516" t="s">
        <v>29</v>
      </c>
      <c r="M516" s="29">
        <v>0</v>
      </c>
      <c r="N516" s="29"/>
      <c r="O516" s="29">
        <f>Table2[[#This Row],[Hot water demand (MWh)]]+Table2[[#This Row],[Space heating demand (MWh)]]</f>
        <v>0</v>
      </c>
      <c r="P516" s="29">
        <v>0</v>
      </c>
      <c r="Q516" s="29">
        <v>0</v>
      </c>
      <c r="S516" s="17">
        <v>0</v>
      </c>
      <c r="T516" s="29">
        <v>0</v>
      </c>
      <c r="V516" s="29">
        <v>0</v>
      </c>
      <c r="X516" s="29">
        <v>0</v>
      </c>
      <c r="Y516" s="29">
        <v>0</v>
      </c>
      <c r="AF516">
        <v>0</v>
      </c>
      <c r="AG516">
        <v>0</v>
      </c>
      <c r="AH516">
        <v>0</v>
      </c>
      <c r="AI516">
        <v>0</v>
      </c>
      <c r="AJ516">
        <v>0</v>
      </c>
      <c r="AK516">
        <v>0</v>
      </c>
      <c r="AL516" t="s">
        <v>214</v>
      </c>
      <c r="AM516">
        <v>0</v>
      </c>
    </row>
    <row r="517" spans="2:39">
      <c r="B517">
        <v>510</v>
      </c>
      <c r="C517" t="s">
        <v>27</v>
      </c>
      <c r="D517" t="s">
        <v>66</v>
      </c>
      <c r="E517" t="s">
        <v>207</v>
      </c>
      <c r="H517" t="s">
        <v>100</v>
      </c>
      <c r="I517" t="s">
        <v>29</v>
      </c>
      <c r="M517" s="29">
        <v>0</v>
      </c>
      <c r="N517" s="29"/>
      <c r="O517" s="29">
        <f>Table2[[#This Row],[Hot water demand (MWh)]]+Table2[[#This Row],[Space heating demand (MWh)]]</f>
        <v>0</v>
      </c>
      <c r="P517" s="29">
        <v>0</v>
      </c>
      <c r="Q517" s="29">
        <v>0</v>
      </c>
      <c r="S517" s="17">
        <v>0</v>
      </c>
      <c r="T517" s="29">
        <v>0</v>
      </c>
      <c r="V517" s="29">
        <v>0</v>
      </c>
      <c r="X517" s="29">
        <v>0</v>
      </c>
      <c r="Y517" s="29">
        <v>0</v>
      </c>
      <c r="AF517">
        <v>0</v>
      </c>
      <c r="AG517">
        <v>0</v>
      </c>
      <c r="AH517">
        <v>0</v>
      </c>
      <c r="AI517">
        <v>0</v>
      </c>
      <c r="AJ517">
        <v>0</v>
      </c>
      <c r="AK517">
        <v>0</v>
      </c>
      <c r="AL517" t="s">
        <v>216</v>
      </c>
      <c r="AM517">
        <v>0</v>
      </c>
    </row>
    <row r="518" spans="2:39">
      <c r="B518">
        <v>511</v>
      </c>
      <c r="C518" t="s">
        <v>27</v>
      </c>
      <c r="D518" t="s">
        <v>67</v>
      </c>
      <c r="E518" t="s">
        <v>207</v>
      </c>
      <c r="H518" t="s">
        <v>96</v>
      </c>
      <c r="I518" t="s">
        <v>29</v>
      </c>
      <c r="M518" s="29">
        <v>0</v>
      </c>
      <c r="N518" s="29"/>
      <c r="O518" s="29">
        <f>Table2[[#This Row],[Hot water demand (MWh)]]+Table2[[#This Row],[Space heating demand (MWh)]]</f>
        <v>0</v>
      </c>
      <c r="P518" s="29">
        <v>0</v>
      </c>
      <c r="Q518" s="29">
        <v>0</v>
      </c>
      <c r="S518" s="17">
        <v>0</v>
      </c>
      <c r="T518" s="29">
        <v>0</v>
      </c>
      <c r="V518" s="29">
        <v>0</v>
      </c>
      <c r="X518" s="29">
        <v>0</v>
      </c>
      <c r="Y518" s="29">
        <v>0</v>
      </c>
      <c r="AF518">
        <v>0</v>
      </c>
      <c r="AG518">
        <v>0</v>
      </c>
      <c r="AH518">
        <v>0</v>
      </c>
      <c r="AI518">
        <v>0</v>
      </c>
      <c r="AJ518">
        <v>0</v>
      </c>
      <c r="AK518">
        <v>0</v>
      </c>
      <c r="AL518" t="s">
        <v>212</v>
      </c>
      <c r="AM518">
        <v>0</v>
      </c>
    </row>
    <row r="519" spans="2:39">
      <c r="B519">
        <v>512</v>
      </c>
      <c r="C519" t="s">
        <v>27</v>
      </c>
      <c r="D519" t="s">
        <v>67</v>
      </c>
      <c r="E519" t="s">
        <v>207</v>
      </c>
      <c r="H519" t="s">
        <v>97</v>
      </c>
      <c r="I519" t="s">
        <v>29</v>
      </c>
      <c r="M519" s="29">
        <v>0</v>
      </c>
      <c r="N519" s="29"/>
      <c r="O519" s="29">
        <f>Table2[[#This Row],[Hot water demand (MWh)]]+Table2[[#This Row],[Space heating demand (MWh)]]</f>
        <v>0</v>
      </c>
      <c r="P519" s="29">
        <v>0</v>
      </c>
      <c r="Q519" s="29">
        <v>0</v>
      </c>
      <c r="S519" s="17">
        <v>0</v>
      </c>
      <c r="T519" s="29">
        <v>0</v>
      </c>
      <c r="V519" s="29">
        <v>0</v>
      </c>
      <c r="X519" s="29">
        <v>0</v>
      </c>
      <c r="Y519" s="29">
        <v>0</v>
      </c>
      <c r="AF519">
        <v>0</v>
      </c>
      <c r="AG519">
        <v>0</v>
      </c>
      <c r="AH519">
        <v>0</v>
      </c>
      <c r="AI519">
        <v>0</v>
      </c>
      <c r="AJ519">
        <v>0</v>
      </c>
      <c r="AK519">
        <v>0</v>
      </c>
      <c r="AL519" t="s">
        <v>213</v>
      </c>
      <c r="AM519">
        <v>0</v>
      </c>
    </row>
    <row r="520" spans="2:39">
      <c r="B520">
        <v>513</v>
      </c>
      <c r="C520" t="s">
        <v>27</v>
      </c>
      <c r="D520" t="s">
        <v>67</v>
      </c>
      <c r="E520" t="s">
        <v>207</v>
      </c>
      <c r="H520" t="s">
        <v>102</v>
      </c>
      <c r="I520" t="s">
        <v>29</v>
      </c>
      <c r="M520" s="29">
        <v>0</v>
      </c>
      <c r="N520" s="29"/>
      <c r="O520" s="29">
        <f>Table2[[#This Row],[Hot water demand (MWh)]]+Table2[[#This Row],[Space heating demand (MWh)]]</f>
        <v>0</v>
      </c>
      <c r="P520" s="29">
        <v>0</v>
      </c>
      <c r="Q520" s="29">
        <v>0</v>
      </c>
      <c r="S520" s="17">
        <v>0</v>
      </c>
      <c r="T520" s="29">
        <v>0</v>
      </c>
      <c r="V520" s="29">
        <v>0</v>
      </c>
      <c r="X520" s="29">
        <v>0</v>
      </c>
      <c r="Y520" s="29">
        <v>0</v>
      </c>
      <c r="AF520">
        <v>0</v>
      </c>
      <c r="AG520">
        <v>0</v>
      </c>
      <c r="AH520">
        <v>0</v>
      </c>
      <c r="AI520">
        <v>0</v>
      </c>
      <c r="AJ520">
        <v>0</v>
      </c>
      <c r="AK520">
        <v>0</v>
      </c>
      <c r="AL520" t="s">
        <v>218</v>
      </c>
      <c r="AM520">
        <v>0</v>
      </c>
    </row>
    <row r="521" spans="2:39">
      <c r="B521">
        <v>514</v>
      </c>
      <c r="C521" t="s">
        <v>27</v>
      </c>
      <c r="D521" t="s">
        <v>67</v>
      </c>
      <c r="E521" t="s">
        <v>207</v>
      </c>
      <c r="H521" t="s">
        <v>98</v>
      </c>
      <c r="I521" t="s">
        <v>29</v>
      </c>
      <c r="M521" s="29">
        <v>0</v>
      </c>
      <c r="N521" s="29"/>
      <c r="O521" s="29">
        <f>Table2[[#This Row],[Hot water demand (MWh)]]+Table2[[#This Row],[Space heating demand (MWh)]]</f>
        <v>0</v>
      </c>
      <c r="P521" s="29">
        <v>0</v>
      </c>
      <c r="Q521" s="29">
        <v>0</v>
      </c>
      <c r="S521" s="17">
        <v>0</v>
      </c>
      <c r="T521" s="29">
        <v>0</v>
      </c>
      <c r="V521" s="29">
        <v>0</v>
      </c>
      <c r="X521" s="29">
        <v>0</v>
      </c>
      <c r="Y521" s="29">
        <v>0</v>
      </c>
      <c r="AF521">
        <v>0</v>
      </c>
      <c r="AG521">
        <v>0</v>
      </c>
      <c r="AH521">
        <v>0</v>
      </c>
      <c r="AI521">
        <v>0</v>
      </c>
      <c r="AJ521">
        <v>0</v>
      </c>
      <c r="AK521">
        <v>0</v>
      </c>
      <c r="AL521" t="s">
        <v>214</v>
      </c>
      <c r="AM521">
        <v>0</v>
      </c>
    </row>
    <row r="522" spans="2:39">
      <c r="B522">
        <v>515</v>
      </c>
      <c r="C522" t="s">
        <v>27</v>
      </c>
      <c r="D522" t="s">
        <v>67</v>
      </c>
      <c r="E522" t="s">
        <v>207</v>
      </c>
      <c r="H522" t="s">
        <v>100</v>
      </c>
      <c r="I522" t="s">
        <v>29</v>
      </c>
      <c r="M522" s="29">
        <v>0</v>
      </c>
      <c r="N522" s="29"/>
      <c r="O522" s="29">
        <f>Table2[[#This Row],[Hot water demand (MWh)]]+Table2[[#This Row],[Space heating demand (MWh)]]</f>
        <v>0</v>
      </c>
      <c r="P522" s="29">
        <v>0</v>
      </c>
      <c r="Q522" s="29">
        <v>0</v>
      </c>
      <c r="S522" s="17">
        <v>0</v>
      </c>
      <c r="T522" s="29">
        <v>0</v>
      </c>
      <c r="V522" s="29">
        <v>0</v>
      </c>
      <c r="X522" s="29">
        <v>0</v>
      </c>
      <c r="Y522" s="29">
        <v>0</v>
      </c>
      <c r="AF522">
        <v>0</v>
      </c>
      <c r="AG522">
        <v>0</v>
      </c>
      <c r="AH522">
        <v>0</v>
      </c>
      <c r="AI522">
        <v>0</v>
      </c>
      <c r="AJ522">
        <v>0</v>
      </c>
      <c r="AK522">
        <v>0</v>
      </c>
      <c r="AL522" t="s">
        <v>216</v>
      </c>
      <c r="AM522">
        <v>0</v>
      </c>
    </row>
    <row r="523" spans="2:39">
      <c r="B523">
        <v>516</v>
      </c>
      <c r="C523" t="s">
        <v>27</v>
      </c>
      <c r="D523" t="s">
        <v>59</v>
      </c>
      <c r="E523" t="s">
        <v>207</v>
      </c>
      <c r="H523" t="s">
        <v>103</v>
      </c>
      <c r="I523" t="s">
        <v>30</v>
      </c>
      <c r="M523" s="29">
        <v>0</v>
      </c>
      <c r="N523" s="29"/>
      <c r="O523" s="29">
        <f>Table2[[#This Row],[Hot water demand (MWh)]]+Table2[[#This Row],[Space heating demand (MWh)]]</f>
        <v>0</v>
      </c>
      <c r="P523" s="29">
        <v>0</v>
      </c>
      <c r="Q523" s="29">
        <v>0</v>
      </c>
      <c r="S523" s="17">
        <v>0</v>
      </c>
      <c r="T523" s="29">
        <v>0</v>
      </c>
      <c r="V523" s="29">
        <v>0</v>
      </c>
      <c r="X523" s="29">
        <v>0</v>
      </c>
      <c r="Y523" s="29">
        <v>0</v>
      </c>
      <c r="AF523">
        <v>0</v>
      </c>
      <c r="AG523">
        <v>0</v>
      </c>
      <c r="AH523">
        <v>0</v>
      </c>
      <c r="AI523">
        <v>0</v>
      </c>
      <c r="AJ523">
        <v>0</v>
      </c>
      <c r="AK523">
        <v>0</v>
      </c>
      <c r="AL523" t="s">
        <v>212</v>
      </c>
      <c r="AM523">
        <v>0</v>
      </c>
    </row>
    <row r="524" spans="2:39">
      <c r="B524">
        <v>517</v>
      </c>
      <c r="C524" t="s">
        <v>27</v>
      </c>
      <c r="D524" t="s">
        <v>59</v>
      </c>
      <c r="E524" t="s">
        <v>207</v>
      </c>
      <c r="H524" t="s">
        <v>104</v>
      </c>
      <c r="I524" t="s">
        <v>30</v>
      </c>
      <c r="M524" s="29">
        <v>0</v>
      </c>
      <c r="N524" s="29"/>
      <c r="O524" s="29">
        <f>Table2[[#This Row],[Hot water demand (MWh)]]+Table2[[#This Row],[Space heating demand (MWh)]]</f>
        <v>0</v>
      </c>
      <c r="P524" s="29">
        <v>0</v>
      </c>
      <c r="Q524" s="29">
        <v>0</v>
      </c>
      <c r="S524" s="17">
        <v>0</v>
      </c>
      <c r="T524" s="29">
        <v>0</v>
      </c>
      <c r="V524" s="29">
        <v>0</v>
      </c>
      <c r="X524" s="29">
        <v>0</v>
      </c>
      <c r="Y524" s="29">
        <v>0</v>
      </c>
      <c r="AF524">
        <v>0</v>
      </c>
      <c r="AG524">
        <v>0</v>
      </c>
      <c r="AH524">
        <v>0</v>
      </c>
      <c r="AI524">
        <v>0</v>
      </c>
      <c r="AJ524">
        <v>0</v>
      </c>
      <c r="AK524">
        <v>0</v>
      </c>
      <c r="AL524" t="s">
        <v>213</v>
      </c>
      <c r="AM524">
        <v>0</v>
      </c>
    </row>
    <row r="525" spans="2:39">
      <c r="B525">
        <v>518</v>
      </c>
      <c r="C525" t="s">
        <v>27</v>
      </c>
      <c r="D525" t="s">
        <v>59</v>
      </c>
      <c r="E525" t="s">
        <v>207</v>
      </c>
      <c r="H525" t="s">
        <v>105</v>
      </c>
      <c r="I525" t="s">
        <v>30</v>
      </c>
      <c r="M525" s="29">
        <v>0</v>
      </c>
      <c r="N525" s="29"/>
      <c r="O525" s="29">
        <f>Table2[[#This Row],[Hot water demand (MWh)]]+Table2[[#This Row],[Space heating demand (MWh)]]</f>
        <v>0</v>
      </c>
      <c r="P525" s="29">
        <v>0</v>
      </c>
      <c r="Q525" s="29">
        <v>0</v>
      </c>
      <c r="S525" s="17">
        <v>0</v>
      </c>
      <c r="T525" s="29">
        <v>0</v>
      </c>
      <c r="V525" s="29">
        <v>0</v>
      </c>
      <c r="X525" s="29">
        <v>0</v>
      </c>
      <c r="Y525" s="29">
        <v>0</v>
      </c>
      <c r="AF525">
        <v>0</v>
      </c>
      <c r="AG525">
        <v>0</v>
      </c>
      <c r="AH525">
        <v>0</v>
      </c>
      <c r="AI525">
        <v>0</v>
      </c>
      <c r="AJ525">
        <v>0</v>
      </c>
      <c r="AK525">
        <v>0</v>
      </c>
      <c r="AL525" t="s">
        <v>214</v>
      </c>
      <c r="AM525">
        <v>0</v>
      </c>
    </row>
    <row r="526" spans="2:39">
      <c r="B526">
        <v>519</v>
      </c>
      <c r="C526" t="s">
        <v>27</v>
      </c>
      <c r="D526" t="s">
        <v>60</v>
      </c>
      <c r="E526" t="s">
        <v>207</v>
      </c>
      <c r="H526" t="s">
        <v>106</v>
      </c>
      <c r="I526" t="s">
        <v>30</v>
      </c>
      <c r="M526" s="29">
        <v>0</v>
      </c>
      <c r="N526" s="29"/>
      <c r="O526" s="29">
        <f>Table2[[#This Row],[Hot water demand (MWh)]]+Table2[[#This Row],[Space heating demand (MWh)]]</f>
        <v>0</v>
      </c>
      <c r="P526" s="29">
        <v>0</v>
      </c>
      <c r="Q526" s="29">
        <v>0</v>
      </c>
      <c r="S526" s="17">
        <v>0</v>
      </c>
      <c r="T526" s="29">
        <v>0</v>
      </c>
      <c r="V526" s="29">
        <v>0</v>
      </c>
      <c r="X526" s="29">
        <v>0</v>
      </c>
      <c r="Y526" s="29">
        <v>0</v>
      </c>
      <c r="AF526">
        <v>0</v>
      </c>
      <c r="AG526">
        <v>0</v>
      </c>
      <c r="AH526">
        <v>0</v>
      </c>
      <c r="AI526">
        <v>0</v>
      </c>
      <c r="AJ526">
        <v>0</v>
      </c>
      <c r="AK526">
        <v>0</v>
      </c>
      <c r="AL526" t="s">
        <v>215</v>
      </c>
      <c r="AM526">
        <v>0</v>
      </c>
    </row>
    <row r="527" spans="2:39">
      <c r="B527">
        <v>520</v>
      </c>
      <c r="C527" t="s">
        <v>27</v>
      </c>
      <c r="D527" t="s">
        <v>60</v>
      </c>
      <c r="E527" t="s">
        <v>207</v>
      </c>
      <c r="H527" t="s">
        <v>105</v>
      </c>
      <c r="I527" t="s">
        <v>30</v>
      </c>
      <c r="M527" s="29">
        <v>0</v>
      </c>
      <c r="N527" s="29"/>
      <c r="O527" s="29">
        <f>Table2[[#This Row],[Hot water demand (MWh)]]+Table2[[#This Row],[Space heating demand (MWh)]]</f>
        <v>0</v>
      </c>
      <c r="P527" s="29">
        <v>0</v>
      </c>
      <c r="Q527" s="29">
        <v>0</v>
      </c>
      <c r="S527" s="17">
        <v>0</v>
      </c>
      <c r="T527" s="29">
        <v>0</v>
      </c>
      <c r="V527" s="29">
        <v>0</v>
      </c>
      <c r="X527" s="29">
        <v>0</v>
      </c>
      <c r="Y527" s="29">
        <v>0</v>
      </c>
      <c r="AF527">
        <v>0</v>
      </c>
      <c r="AG527">
        <v>0</v>
      </c>
      <c r="AH527">
        <v>0</v>
      </c>
      <c r="AI527">
        <v>0</v>
      </c>
      <c r="AJ527">
        <v>0</v>
      </c>
      <c r="AK527">
        <v>0</v>
      </c>
      <c r="AL527" t="s">
        <v>214</v>
      </c>
      <c r="AM527">
        <v>0</v>
      </c>
    </row>
    <row r="528" spans="2:39">
      <c r="B528">
        <v>521</v>
      </c>
      <c r="C528" t="s">
        <v>27</v>
      </c>
      <c r="D528" t="s">
        <v>60</v>
      </c>
      <c r="E528" t="s">
        <v>207</v>
      </c>
      <c r="H528" t="s">
        <v>107</v>
      </c>
      <c r="I528" t="s">
        <v>30</v>
      </c>
      <c r="M528" s="29">
        <v>0</v>
      </c>
      <c r="N528" s="29"/>
      <c r="O528" s="29">
        <f>Table2[[#This Row],[Hot water demand (MWh)]]+Table2[[#This Row],[Space heating demand (MWh)]]</f>
        <v>0</v>
      </c>
      <c r="P528" s="29">
        <v>0</v>
      </c>
      <c r="Q528" s="29">
        <v>0</v>
      </c>
      <c r="S528" s="17">
        <v>0</v>
      </c>
      <c r="T528" s="29">
        <v>0</v>
      </c>
      <c r="V528" s="29">
        <v>0</v>
      </c>
      <c r="X528" s="29">
        <v>0</v>
      </c>
      <c r="Y528" s="29">
        <v>0</v>
      </c>
      <c r="AF528">
        <v>0</v>
      </c>
      <c r="AG528">
        <v>0</v>
      </c>
      <c r="AH528">
        <v>0</v>
      </c>
      <c r="AI528">
        <v>0</v>
      </c>
      <c r="AJ528">
        <v>0</v>
      </c>
      <c r="AK528">
        <v>0</v>
      </c>
      <c r="AL528" t="s">
        <v>216</v>
      </c>
      <c r="AM528">
        <v>0</v>
      </c>
    </row>
    <row r="529" spans="2:39">
      <c r="B529">
        <v>522</v>
      </c>
      <c r="C529" t="s">
        <v>27</v>
      </c>
      <c r="D529" t="s">
        <v>61</v>
      </c>
      <c r="E529" t="s">
        <v>207</v>
      </c>
      <c r="H529" t="s">
        <v>103</v>
      </c>
      <c r="I529" t="s">
        <v>30</v>
      </c>
      <c r="M529" s="29">
        <v>0</v>
      </c>
      <c r="N529" s="29"/>
      <c r="O529" s="29">
        <f>Table2[[#This Row],[Hot water demand (MWh)]]+Table2[[#This Row],[Space heating demand (MWh)]]</f>
        <v>0</v>
      </c>
      <c r="P529" s="29">
        <v>0</v>
      </c>
      <c r="Q529" s="29">
        <v>0</v>
      </c>
      <c r="S529" s="17">
        <v>0</v>
      </c>
      <c r="T529" s="29">
        <v>0</v>
      </c>
      <c r="V529" s="29">
        <v>0</v>
      </c>
      <c r="X529" s="29">
        <v>0</v>
      </c>
      <c r="Y529" s="29">
        <v>0</v>
      </c>
      <c r="AF529">
        <v>0</v>
      </c>
      <c r="AG529">
        <v>0</v>
      </c>
      <c r="AH529">
        <v>0</v>
      </c>
      <c r="AI529">
        <v>0</v>
      </c>
      <c r="AJ529">
        <v>0</v>
      </c>
      <c r="AK529">
        <v>0</v>
      </c>
      <c r="AL529" t="s">
        <v>212</v>
      </c>
      <c r="AM529">
        <v>0</v>
      </c>
    </row>
    <row r="530" spans="2:39">
      <c r="B530">
        <v>523</v>
      </c>
      <c r="C530" t="s">
        <v>27</v>
      </c>
      <c r="D530" t="s">
        <v>61</v>
      </c>
      <c r="E530" t="s">
        <v>207</v>
      </c>
      <c r="H530" t="s">
        <v>104</v>
      </c>
      <c r="I530" t="s">
        <v>30</v>
      </c>
      <c r="M530" s="29">
        <v>0</v>
      </c>
      <c r="N530" s="29"/>
      <c r="O530" s="29">
        <f>Table2[[#This Row],[Hot water demand (MWh)]]+Table2[[#This Row],[Space heating demand (MWh)]]</f>
        <v>0</v>
      </c>
      <c r="P530" s="29">
        <v>0</v>
      </c>
      <c r="Q530" s="29">
        <v>0</v>
      </c>
      <c r="S530" s="17">
        <v>0</v>
      </c>
      <c r="T530" s="29">
        <v>0</v>
      </c>
      <c r="V530" s="29">
        <v>0</v>
      </c>
      <c r="X530" s="29">
        <v>0</v>
      </c>
      <c r="Y530" s="29">
        <v>0</v>
      </c>
      <c r="AF530">
        <v>0</v>
      </c>
      <c r="AG530">
        <v>0</v>
      </c>
      <c r="AH530">
        <v>0</v>
      </c>
      <c r="AI530">
        <v>0</v>
      </c>
      <c r="AJ530">
        <v>0</v>
      </c>
      <c r="AK530">
        <v>0</v>
      </c>
      <c r="AL530" t="s">
        <v>213</v>
      </c>
      <c r="AM530">
        <v>0</v>
      </c>
    </row>
    <row r="531" spans="2:39">
      <c r="B531">
        <v>524</v>
      </c>
      <c r="C531" t="s">
        <v>27</v>
      </c>
      <c r="D531" t="s">
        <v>61</v>
      </c>
      <c r="E531" t="s">
        <v>207</v>
      </c>
      <c r="H531" t="s">
        <v>105</v>
      </c>
      <c r="I531" t="s">
        <v>30</v>
      </c>
      <c r="M531" s="29">
        <v>0</v>
      </c>
      <c r="N531" s="29"/>
      <c r="O531" s="29">
        <f>Table2[[#This Row],[Hot water demand (MWh)]]+Table2[[#This Row],[Space heating demand (MWh)]]</f>
        <v>0</v>
      </c>
      <c r="P531" s="29">
        <v>0</v>
      </c>
      <c r="Q531" s="29">
        <v>0</v>
      </c>
      <c r="S531" s="17">
        <v>0</v>
      </c>
      <c r="T531" s="29">
        <v>0</v>
      </c>
      <c r="V531" s="29">
        <v>0</v>
      </c>
      <c r="X531" s="29">
        <v>0</v>
      </c>
      <c r="Y531" s="29">
        <v>0</v>
      </c>
      <c r="AF531">
        <v>0</v>
      </c>
      <c r="AG531">
        <v>0</v>
      </c>
      <c r="AH531">
        <v>0</v>
      </c>
      <c r="AI531">
        <v>0</v>
      </c>
      <c r="AJ531">
        <v>0</v>
      </c>
      <c r="AK531">
        <v>0</v>
      </c>
      <c r="AL531" t="s">
        <v>214</v>
      </c>
      <c r="AM531">
        <v>0</v>
      </c>
    </row>
    <row r="532" spans="2:39">
      <c r="B532">
        <v>525</v>
      </c>
      <c r="C532" t="s">
        <v>27</v>
      </c>
      <c r="D532" t="s">
        <v>62</v>
      </c>
      <c r="E532" t="s">
        <v>207</v>
      </c>
      <c r="H532" t="s">
        <v>103</v>
      </c>
      <c r="I532" t="s">
        <v>30</v>
      </c>
      <c r="M532" s="29">
        <v>0</v>
      </c>
      <c r="N532" s="29"/>
      <c r="O532" s="29">
        <f>Table2[[#This Row],[Hot water demand (MWh)]]+Table2[[#This Row],[Space heating demand (MWh)]]</f>
        <v>0</v>
      </c>
      <c r="P532" s="29">
        <v>0</v>
      </c>
      <c r="Q532" s="29">
        <v>0</v>
      </c>
      <c r="S532" s="17">
        <v>0</v>
      </c>
      <c r="T532" s="29">
        <v>0</v>
      </c>
      <c r="V532" s="29">
        <v>0</v>
      </c>
      <c r="X532" s="29">
        <v>0</v>
      </c>
      <c r="Y532" s="29">
        <v>0</v>
      </c>
      <c r="AF532">
        <v>0</v>
      </c>
      <c r="AG532">
        <v>0</v>
      </c>
      <c r="AH532">
        <v>0</v>
      </c>
      <c r="AI532">
        <v>0</v>
      </c>
      <c r="AJ532">
        <v>0</v>
      </c>
      <c r="AK532">
        <v>0</v>
      </c>
      <c r="AL532" t="s">
        <v>212</v>
      </c>
      <c r="AM532">
        <v>0</v>
      </c>
    </row>
    <row r="533" spans="2:39">
      <c r="B533">
        <v>526</v>
      </c>
      <c r="C533" t="s">
        <v>27</v>
      </c>
      <c r="D533" t="s">
        <v>62</v>
      </c>
      <c r="E533" t="s">
        <v>207</v>
      </c>
      <c r="H533" t="s">
        <v>107</v>
      </c>
      <c r="I533" t="s">
        <v>30</v>
      </c>
      <c r="M533" s="29">
        <v>0</v>
      </c>
      <c r="N533" s="29"/>
      <c r="O533" s="29">
        <f>Table2[[#This Row],[Hot water demand (MWh)]]+Table2[[#This Row],[Space heating demand (MWh)]]</f>
        <v>0</v>
      </c>
      <c r="P533" s="29">
        <v>0</v>
      </c>
      <c r="Q533" s="29">
        <v>0</v>
      </c>
      <c r="S533" s="17">
        <v>0</v>
      </c>
      <c r="T533" s="29">
        <v>0</v>
      </c>
      <c r="V533" s="29">
        <v>0</v>
      </c>
      <c r="X533" s="29">
        <v>0</v>
      </c>
      <c r="Y533" s="29">
        <v>0</v>
      </c>
      <c r="AF533">
        <v>0</v>
      </c>
      <c r="AG533">
        <v>0</v>
      </c>
      <c r="AH533">
        <v>0</v>
      </c>
      <c r="AI533">
        <v>0</v>
      </c>
      <c r="AJ533">
        <v>0</v>
      </c>
      <c r="AK533">
        <v>0</v>
      </c>
      <c r="AL533" t="s">
        <v>216</v>
      </c>
      <c r="AM533">
        <v>0</v>
      </c>
    </row>
    <row r="534" spans="2:39">
      <c r="B534">
        <v>527</v>
      </c>
      <c r="C534" t="s">
        <v>27</v>
      </c>
      <c r="D534" t="s">
        <v>63</v>
      </c>
      <c r="E534" t="s">
        <v>207</v>
      </c>
      <c r="H534" t="s">
        <v>108</v>
      </c>
      <c r="I534" t="s">
        <v>30</v>
      </c>
      <c r="M534" s="29">
        <v>0</v>
      </c>
      <c r="N534" s="29"/>
      <c r="O534" s="29">
        <f>Table2[[#This Row],[Hot water demand (MWh)]]+Table2[[#This Row],[Space heating demand (MWh)]]</f>
        <v>0</v>
      </c>
      <c r="P534" s="29">
        <v>0</v>
      </c>
      <c r="Q534" s="29">
        <v>0</v>
      </c>
      <c r="S534" s="17">
        <v>0</v>
      </c>
      <c r="T534" s="29">
        <v>0</v>
      </c>
      <c r="V534" s="29">
        <v>0</v>
      </c>
      <c r="X534" s="29">
        <v>0</v>
      </c>
      <c r="Y534" s="29">
        <v>0</v>
      </c>
      <c r="AF534">
        <v>0</v>
      </c>
      <c r="AG534">
        <v>0</v>
      </c>
      <c r="AH534">
        <v>0</v>
      </c>
      <c r="AI534">
        <v>0</v>
      </c>
      <c r="AJ534">
        <v>0</v>
      </c>
      <c r="AK534">
        <v>0</v>
      </c>
      <c r="AL534" t="s">
        <v>217</v>
      </c>
      <c r="AM534">
        <v>0</v>
      </c>
    </row>
    <row r="535" spans="2:39">
      <c r="B535">
        <v>528</v>
      </c>
      <c r="C535" t="s">
        <v>27</v>
      </c>
      <c r="D535" t="s">
        <v>63</v>
      </c>
      <c r="E535" t="s">
        <v>207</v>
      </c>
      <c r="H535" t="s">
        <v>103</v>
      </c>
      <c r="I535" t="s">
        <v>30</v>
      </c>
      <c r="M535" s="29">
        <v>0</v>
      </c>
      <c r="N535" s="29"/>
      <c r="O535" s="29">
        <f>Table2[[#This Row],[Hot water demand (MWh)]]+Table2[[#This Row],[Space heating demand (MWh)]]</f>
        <v>0</v>
      </c>
      <c r="P535" s="29">
        <v>0</v>
      </c>
      <c r="Q535" s="29">
        <v>0</v>
      </c>
      <c r="S535" s="17">
        <v>0</v>
      </c>
      <c r="T535" s="29">
        <v>0</v>
      </c>
      <c r="V535" s="29">
        <v>0</v>
      </c>
      <c r="X535" s="29">
        <v>0</v>
      </c>
      <c r="Y535" s="29">
        <v>0</v>
      </c>
      <c r="AF535">
        <v>0</v>
      </c>
      <c r="AG535">
        <v>0</v>
      </c>
      <c r="AH535">
        <v>0</v>
      </c>
      <c r="AI535">
        <v>0</v>
      </c>
      <c r="AJ535">
        <v>0</v>
      </c>
      <c r="AK535">
        <v>0</v>
      </c>
      <c r="AL535" t="s">
        <v>212</v>
      </c>
      <c r="AM535">
        <v>0</v>
      </c>
    </row>
    <row r="536" spans="2:39">
      <c r="B536">
        <v>529</v>
      </c>
      <c r="C536" t="s">
        <v>27</v>
      </c>
      <c r="D536" t="s">
        <v>63</v>
      </c>
      <c r="E536" t="s">
        <v>207</v>
      </c>
      <c r="H536" t="s">
        <v>107</v>
      </c>
      <c r="I536" t="s">
        <v>30</v>
      </c>
      <c r="M536" s="29">
        <v>0</v>
      </c>
      <c r="N536" s="29"/>
      <c r="O536" s="29">
        <f>Table2[[#This Row],[Hot water demand (MWh)]]+Table2[[#This Row],[Space heating demand (MWh)]]</f>
        <v>0</v>
      </c>
      <c r="P536" s="29">
        <v>0</v>
      </c>
      <c r="Q536" s="29">
        <v>0</v>
      </c>
      <c r="S536" s="17">
        <v>0</v>
      </c>
      <c r="T536" s="29">
        <v>0</v>
      </c>
      <c r="V536" s="29">
        <v>0</v>
      </c>
      <c r="X536" s="29">
        <v>0</v>
      </c>
      <c r="Y536" s="29">
        <v>0</v>
      </c>
      <c r="AF536">
        <v>0</v>
      </c>
      <c r="AG536">
        <v>0</v>
      </c>
      <c r="AH536">
        <v>0</v>
      </c>
      <c r="AI536">
        <v>0</v>
      </c>
      <c r="AJ536">
        <v>0</v>
      </c>
      <c r="AK536">
        <v>0</v>
      </c>
      <c r="AL536" t="s">
        <v>216</v>
      </c>
      <c r="AM536">
        <v>0</v>
      </c>
    </row>
    <row r="537" spans="2:39">
      <c r="B537">
        <v>530</v>
      </c>
      <c r="C537" t="s">
        <v>27</v>
      </c>
      <c r="D537" t="s">
        <v>64</v>
      </c>
      <c r="E537" t="s">
        <v>207</v>
      </c>
      <c r="H537" t="s">
        <v>103</v>
      </c>
      <c r="I537" t="s">
        <v>30</v>
      </c>
      <c r="M537" s="29">
        <v>0</v>
      </c>
      <c r="N537" s="29"/>
      <c r="O537" s="29">
        <f>Table2[[#This Row],[Hot water demand (MWh)]]+Table2[[#This Row],[Space heating demand (MWh)]]</f>
        <v>0</v>
      </c>
      <c r="P537" s="29">
        <v>0</v>
      </c>
      <c r="Q537" s="29">
        <v>0</v>
      </c>
      <c r="S537" s="17">
        <v>0</v>
      </c>
      <c r="T537" s="29">
        <v>0</v>
      </c>
      <c r="V537" s="29">
        <v>0</v>
      </c>
      <c r="X537" s="29">
        <v>0</v>
      </c>
      <c r="Y537" s="29">
        <v>0</v>
      </c>
      <c r="AF537">
        <v>0</v>
      </c>
      <c r="AG537">
        <v>0</v>
      </c>
      <c r="AH537">
        <v>0</v>
      </c>
      <c r="AI537">
        <v>0</v>
      </c>
      <c r="AJ537">
        <v>0</v>
      </c>
      <c r="AK537">
        <v>0</v>
      </c>
      <c r="AL537" t="s">
        <v>212</v>
      </c>
      <c r="AM537">
        <v>0</v>
      </c>
    </row>
    <row r="538" spans="2:39">
      <c r="B538">
        <v>531</v>
      </c>
      <c r="C538" t="s">
        <v>27</v>
      </c>
      <c r="D538" t="s">
        <v>64</v>
      </c>
      <c r="E538" t="s">
        <v>207</v>
      </c>
      <c r="H538" t="s">
        <v>104</v>
      </c>
      <c r="I538" t="s">
        <v>30</v>
      </c>
      <c r="M538" s="29">
        <v>0</v>
      </c>
      <c r="N538" s="29"/>
      <c r="O538" s="29">
        <f>Table2[[#This Row],[Hot water demand (MWh)]]+Table2[[#This Row],[Space heating demand (MWh)]]</f>
        <v>0</v>
      </c>
      <c r="P538" s="29">
        <v>0</v>
      </c>
      <c r="Q538" s="29">
        <v>0</v>
      </c>
      <c r="S538" s="17">
        <v>0</v>
      </c>
      <c r="T538" s="29">
        <v>0</v>
      </c>
      <c r="V538" s="29">
        <v>0</v>
      </c>
      <c r="X538" s="29">
        <v>0</v>
      </c>
      <c r="Y538" s="29">
        <v>0</v>
      </c>
      <c r="AF538">
        <v>0</v>
      </c>
      <c r="AG538">
        <v>0</v>
      </c>
      <c r="AH538">
        <v>0</v>
      </c>
      <c r="AI538">
        <v>0</v>
      </c>
      <c r="AJ538">
        <v>0</v>
      </c>
      <c r="AK538">
        <v>0</v>
      </c>
      <c r="AL538" t="s">
        <v>213</v>
      </c>
      <c r="AM538">
        <v>0</v>
      </c>
    </row>
    <row r="539" spans="2:39">
      <c r="B539">
        <v>532</v>
      </c>
      <c r="C539" t="s">
        <v>27</v>
      </c>
      <c r="D539" t="s">
        <v>64</v>
      </c>
      <c r="E539" t="s">
        <v>207</v>
      </c>
      <c r="H539" t="s">
        <v>109</v>
      </c>
      <c r="I539" t="s">
        <v>30</v>
      </c>
      <c r="M539" s="29">
        <v>0</v>
      </c>
      <c r="N539" s="29"/>
      <c r="O539" s="29">
        <f>Table2[[#This Row],[Hot water demand (MWh)]]+Table2[[#This Row],[Space heating demand (MWh)]]</f>
        <v>0</v>
      </c>
      <c r="P539" s="29">
        <v>0</v>
      </c>
      <c r="Q539" s="29">
        <v>0</v>
      </c>
      <c r="S539" s="17">
        <v>0</v>
      </c>
      <c r="T539" s="29">
        <v>0</v>
      </c>
      <c r="V539" s="29">
        <v>0</v>
      </c>
      <c r="X539" s="29">
        <v>0</v>
      </c>
      <c r="Y539" s="29">
        <v>0</v>
      </c>
      <c r="AF539">
        <v>0</v>
      </c>
      <c r="AG539">
        <v>0</v>
      </c>
      <c r="AH539">
        <v>0</v>
      </c>
      <c r="AI539">
        <v>0</v>
      </c>
      <c r="AJ539">
        <v>0</v>
      </c>
      <c r="AK539">
        <v>0</v>
      </c>
      <c r="AL539" t="s">
        <v>218</v>
      </c>
      <c r="AM539">
        <v>0</v>
      </c>
    </row>
    <row r="540" spans="2:39">
      <c r="B540">
        <v>533</v>
      </c>
      <c r="C540" t="s">
        <v>27</v>
      </c>
      <c r="D540" t="s">
        <v>64</v>
      </c>
      <c r="E540" t="s">
        <v>207</v>
      </c>
      <c r="H540" t="s">
        <v>107</v>
      </c>
      <c r="I540" t="s">
        <v>30</v>
      </c>
      <c r="M540" s="29">
        <v>0</v>
      </c>
      <c r="N540" s="29"/>
      <c r="O540" s="29">
        <f>Table2[[#This Row],[Hot water demand (MWh)]]+Table2[[#This Row],[Space heating demand (MWh)]]</f>
        <v>0</v>
      </c>
      <c r="P540" s="29">
        <v>0</v>
      </c>
      <c r="Q540" s="29">
        <v>0</v>
      </c>
      <c r="S540" s="17">
        <v>0</v>
      </c>
      <c r="T540" s="29">
        <v>0</v>
      </c>
      <c r="V540" s="29">
        <v>0</v>
      </c>
      <c r="X540" s="29">
        <v>0</v>
      </c>
      <c r="Y540" s="29">
        <v>0</v>
      </c>
      <c r="AF540">
        <v>0</v>
      </c>
      <c r="AG540">
        <v>0</v>
      </c>
      <c r="AH540">
        <v>0</v>
      </c>
      <c r="AI540">
        <v>0</v>
      </c>
      <c r="AJ540">
        <v>0</v>
      </c>
      <c r="AK540">
        <v>0</v>
      </c>
      <c r="AL540" t="s">
        <v>216</v>
      </c>
      <c r="AM540">
        <v>0</v>
      </c>
    </row>
    <row r="541" spans="2:39">
      <c r="B541">
        <v>534</v>
      </c>
      <c r="C541" t="s">
        <v>27</v>
      </c>
      <c r="D541" t="s">
        <v>65</v>
      </c>
      <c r="E541" t="s">
        <v>207</v>
      </c>
      <c r="H541" t="s">
        <v>106</v>
      </c>
      <c r="I541" t="s">
        <v>30</v>
      </c>
      <c r="M541" s="29">
        <v>0</v>
      </c>
      <c r="N541" s="29"/>
      <c r="O541" s="29">
        <f>Table2[[#This Row],[Hot water demand (MWh)]]+Table2[[#This Row],[Space heating demand (MWh)]]</f>
        <v>0</v>
      </c>
      <c r="P541" s="29">
        <v>0</v>
      </c>
      <c r="Q541" s="29">
        <v>0</v>
      </c>
      <c r="S541" s="17">
        <v>0</v>
      </c>
      <c r="T541" s="29">
        <v>0</v>
      </c>
      <c r="V541" s="29">
        <v>0</v>
      </c>
      <c r="X541" s="29">
        <v>0</v>
      </c>
      <c r="Y541" s="29">
        <v>0</v>
      </c>
      <c r="AF541">
        <v>0</v>
      </c>
      <c r="AG541">
        <v>0</v>
      </c>
      <c r="AH541">
        <v>0</v>
      </c>
      <c r="AI541">
        <v>0</v>
      </c>
      <c r="AJ541">
        <v>0</v>
      </c>
      <c r="AK541">
        <v>0</v>
      </c>
      <c r="AL541" t="s">
        <v>215</v>
      </c>
      <c r="AM541">
        <v>0</v>
      </c>
    </row>
    <row r="542" spans="2:39">
      <c r="B542">
        <v>535</v>
      </c>
      <c r="C542" t="s">
        <v>27</v>
      </c>
      <c r="D542" t="s">
        <v>65</v>
      </c>
      <c r="E542" t="s">
        <v>207</v>
      </c>
      <c r="H542" t="s">
        <v>108</v>
      </c>
      <c r="I542" t="s">
        <v>30</v>
      </c>
      <c r="M542" s="29">
        <v>0</v>
      </c>
      <c r="N542" s="29"/>
      <c r="O542" s="29">
        <f>Table2[[#This Row],[Hot water demand (MWh)]]+Table2[[#This Row],[Space heating demand (MWh)]]</f>
        <v>0</v>
      </c>
      <c r="P542" s="29">
        <v>0</v>
      </c>
      <c r="Q542" s="29">
        <v>0</v>
      </c>
      <c r="S542" s="17">
        <v>0</v>
      </c>
      <c r="T542" s="29">
        <v>0</v>
      </c>
      <c r="V542" s="29">
        <v>0</v>
      </c>
      <c r="X542" s="29">
        <v>0</v>
      </c>
      <c r="Y542" s="29">
        <v>0</v>
      </c>
      <c r="AF542">
        <v>0</v>
      </c>
      <c r="AG542">
        <v>0</v>
      </c>
      <c r="AH542">
        <v>0</v>
      </c>
      <c r="AI542">
        <v>0</v>
      </c>
      <c r="AJ542">
        <v>0</v>
      </c>
      <c r="AK542">
        <v>0</v>
      </c>
      <c r="AL542" t="s">
        <v>217</v>
      </c>
      <c r="AM542">
        <v>0</v>
      </c>
    </row>
    <row r="543" spans="2:39">
      <c r="B543">
        <v>536</v>
      </c>
      <c r="C543" t="s">
        <v>27</v>
      </c>
      <c r="D543" t="s">
        <v>65</v>
      </c>
      <c r="E543" t="s">
        <v>207</v>
      </c>
      <c r="H543" t="s">
        <v>105</v>
      </c>
      <c r="I543" t="s">
        <v>30</v>
      </c>
      <c r="M543" s="29">
        <v>0</v>
      </c>
      <c r="N543" s="29"/>
      <c r="O543" s="29">
        <f>Table2[[#This Row],[Hot water demand (MWh)]]+Table2[[#This Row],[Space heating demand (MWh)]]</f>
        <v>0</v>
      </c>
      <c r="P543" s="29">
        <v>0</v>
      </c>
      <c r="Q543" s="29">
        <v>0</v>
      </c>
      <c r="S543" s="17">
        <v>0</v>
      </c>
      <c r="T543" s="29">
        <v>0</v>
      </c>
      <c r="V543" s="29">
        <v>0</v>
      </c>
      <c r="X543" s="29">
        <v>0</v>
      </c>
      <c r="Y543" s="29">
        <v>0</v>
      </c>
      <c r="AF543">
        <v>0</v>
      </c>
      <c r="AG543">
        <v>0</v>
      </c>
      <c r="AH543">
        <v>0</v>
      </c>
      <c r="AI543">
        <v>0</v>
      </c>
      <c r="AJ543">
        <v>0</v>
      </c>
      <c r="AK543">
        <v>0</v>
      </c>
      <c r="AL543" t="s">
        <v>214</v>
      </c>
      <c r="AM543">
        <v>0</v>
      </c>
    </row>
    <row r="544" spans="2:39">
      <c r="B544">
        <v>537</v>
      </c>
      <c r="C544" t="s">
        <v>27</v>
      </c>
      <c r="D544" t="s">
        <v>65</v>
      </c>
      <c r="E544" t="s">
        <v>207</v>
      </c>
      <c r="H544" t="s">
        <v>107</v>
      </c>
      <c r="I544" t="s">
        <v>30</v>
      </c>
      <c r="M544" s="29">
        <v>0</v>
      </c>
      <c r="N544" s="29"/>
      <c r="O544" s="29">
        <f>Table2[[#This Row],[Hot water demand (MWh)]]+Table2[[#This Row],[Space heating demand (MWh)]]</f>
        <v>0</v>
      </c>
      <c r="P544" s="29">
        <v>0</v>
      </c>
      <c r="Q544" s="29">
        <v>0</v>
      </c>
      <c r="S544" s="17">
        <v>0</v>
      </c>
      <c r="T544" s="29">
        <v>0</v>
      </c>
      <c r="V544" s="29">
        <v>0</v>
      </c>
      <c r="X544" s="29">
        <v>0</v>
      </c>
      <c r="Y544" s="29">
        <v>0</v>
      </c>
      <c r="AF544">
        <v>0</v>
      </c>
      <c r="AG544">
        <v>0</v>
      </c>
      <c r="AH544">
        <v>0</v>
      </c>
      <c r="AI544">
        <v>0</v>
      </c>
      <c r="AJ544">
        <v>0</v>
      </c>
      <c r="AK544">
        <v>0</v>
      </c>
      <c r="AL544" t="s">
        <v>216</v>
      </c>
      <c r="AM544">
        <v>0</v>
      </c>
    </row>
    <row r="545" spans="2:39">
      <c r="B545">
        <v>538</v>
      </c>
      <c r="C545" t="s">
        <v>27</v>
      </c>
      <c r="D545" t="s">
        <v>66</v>
      </c>
      <c r="E545" t="s">
        <v>207</v>
      </c>
      <c r="H545" t="s">
        <v>108</v>
      </c>
      <c r="I545" t="s">
        <v>30</v>
      </c>
      <c r="M545" s="29">
        <v>0</v>
      </c>
      <c r="N545" s="29"/>
      <c r="O545" s="29">
        <f>Table2[[#This Row],[Hot water demand (MWh)]]+Table2[[#This Row],[Space heating demand (MWh)]]</f>
        <v>0</v>
      </c>
      <c r="P545" s="29">
        <v>0</v>
      </c>
      <c r="Q545" s="29">
        <v>0</v>
      </c>
      <c r="S545" s="17">
        <v>0</v>
      </c>
      <c r="T545" s="29">
        <v>0</v>
      </c>
      <c r="V545" s="29">
        <v>0</v>
      </c>
      <c r="X545" s="29">
        <v>0</v>
      </c>
      <c r="Y545" s="29">
        <v>0</v>
      </c>
      <c r="AF545">
        <v>0</v>
      </c>
      <c r="AG545">
        <v>0</v>
      </c>
      <c r="AH545">
        <v>0</v>
      </c>
      <c r="AI545">
        <v>0</v>
      </c>
      <c r="AJ545">
        <v>0</v>
      </c>
      <c r="AK545">
        <v>0</v>
      </c>
      <c r="AL545" t="s">
        <v>217</v>
      </c>
      <c r="AM545">
        <v>0</v>
      </c>
    </row>
    <row r="546" spans="2:39">
      <c r="B546">
        <v>539</v>
      </c>
      <c r="C546" t="s">
        <v>27</v>
      </c>
      <c r="D546" t="s">
        <v>66</v>
      </c>
      <c r="E546" t="s">
        <v>207</v>
      </c>
      <c r="H546" t="s">
        <v>103</v>
      </c>
      <c r="I546" t="s">
        <v>30</v>
      </c>
      <c r="M546" s="29">
        <v>0</v>
      </c>
      <c r="N546" s="29"/>
      <c r="O546" s="29">
        <f>Table2[[#This Row],[Hot water demand (MWh)]]+Table2[[#This Row],[Space heating demand (MWh)]]</f>
        <v>0</v>
      </c>
      <c r="P546" s="29">
        <v>0</v>
      </c>
      <c r="Q546" s="29">
        <v>0</v>
      </c>
      <c r="S546" s="17">
        <v>0</v>
      </c>
      <c r="T546" s="29">
        <v>0</v>
      </c>
      <c r="V546" s="29">
        <v>0</v>
      </c>
      <c r="X546" s="29">
        <v>0</v>
      </c>
      <c r="Y546" s="29">
        <v>0</v>
      </c>
      <c r="AF546">
        <v>0</v>
      </c>
      <c r="AG546">
        <v>0</v>
      </c>
      <c r="AH546">
        <v>0</v>
      </c>
      <c r="AI546">
        <v>0</v>
      </c>
      <c r="AJ546">
        <v>0</v>
      </c>
      <c r="AK546">
        <v>0</v>
      </c>
      <c r="AL546" t="s">
        <v>212</v>
      </c>
      <c r="AM546">
        <v>0</v>
      </c>
    </row>
    <row r="547" spans="2:39">
      <c r="B547">
        <v>540</v>
      </c>
      <c r="C547" t="s">
        <v>27</v>
      </c>
      <c r="D547" t="s">
        <v>66</v>
      </c>
      <c r="E547" t="s">
        <v>207</v>
      </c>
      <c r="H547" t="s">
        <v>104</v>
      </c>
      <c r="I547" t="s">
        <v>30</v>
      </c>
      <c r="M547" s="29">
        <v>0</v>
      </c>
      <c r="N547" s="29"/>
      <c r="O547" s="29">
        <f>Table2[[#This Row],[Hot water demand (MWh)]]+Table2[[#This Row],[Space heating demand (MWh)]]</f>
        <v>0</v>
      </c>
      <c r="P547" s="29">
        <v>0</v>
      </c>
      <c r="Q547" s="29">
        <v>0</v>
      </c>
      <c r="S547" s="17">
        <v>0</v>
      </c>
      <c r="T547" s="29">
        <v>0</v>
      </c>
      <c r="V547" s="29">
        <v>0</v>
      </c>
      <c r="X547" s="29">
        <v>0</v>
      </c>
      <c r="Y547" s="29">
        <v>0</v>
      </c>
      <c r="AF547">
        <v>0</v>
      </c>
      <c r="AG547">
        <v>0</v>
      </c>
      <c r="AH547">
        <v>0</v>
      </c>
      <c r="AI547">
        <v>0</v>
      </c>
      <c r="AJ547">
        <v>0</v>
      </c>
      <c r="AK547">
        <v>0</v>
      </c>
      <c r="AL547" t="s">
        <v>213</v>
      </c>
      <c r="AM547">
        <v>0</v>
      </c>
    </row>
    <row r="548" spans="2:39">
      <c r="B548">
        <v>541</v>
      </c>
      <c r="C548" t="s">
        <v>27</v>
      </c>
      <c r="D548" t="s">
        <v>66</v>
      </c>
      <c r="E548" t="s">
        <v>207</v>
      </c>
      <c r="H548" t="s">
        <v>109</v>
      </c>
      <c r="I548" t="s">
        <v>30</v>
      </c>
      <c r="M548" s="29">
        <v>0</v>
      </c>
      <c r="N548" s="29"/>
      <c r="O548" s="29">
        <f>Table2[[#This Row],[Hot water demand (MWh)]]+Table2[[#This Row],[Space heating demand (MWh)]]</f>
        <v>0</v>
      </c>
      <c r="P548" s="29">
        <v>0</v>
      </c>
      <c r="Q548" s="29">
        <v>0</v>
      </c>
      <c r="S548" s="17">
        <v>0</v>
      </c>
      <c r="T548" s="29">
        <v>0</v>
      </c>
      <c r="V548" s="29">
        <v>0</v>
      </c>
      <c r="X548" s="29">
        <v>0</v>
      </c>
      <c r="Y548" s="29">
        <v>0</v>
      </c>
      <c r="AF548">
        <v>0</v>
      </c>
      <c r="AG548">
        <v>0</v>
      </c>
      <c r="AH548">
        <v>0</v>
      </c>
      <c r="AI548">
        <v>0</v>
      </c>
      <c r="AJ548">
        <v>0</v>
      </c>
      <c r="AK548">
        <v>0</v>
      </c>
      <c r="AL548" t="s">
        <v>218</v>
      </c>
      <c r="AM548">
        <v>0</v>
      </c>
    </row>
    <row r="549" spans="2:39">
      <c r="B549">
        <v>542</v>
      </c>
      <c r="C549" t="s">
        <v>27</v>
      </c>
      <c r="D549" t="s">
        <v>66</v>
      </c>
      <c r="E549" t="s">
        <v>207</v>
      </c>
      <c r="H549" t="s">
        <v>105</v>
      </c>
      <c r="I549" t="s">
        <v>30</v>
      </c>
      <c r="M549" s="29">
        <v>0</v>
      </c>
      <c r="N549" s="29"/>
      <c r="O549" s="29">
        <f>Table2[[#This Row],[Hot water demand (MWh)]]+Table2[[#This Row],[Space heating demand (MWh)]]</f>
        <v>0</v>
      </c>
      <c r="P549" s="29">
        <v>0</v>
      </c>
      <c r="Q549" s="29">
        <v>0</v>
      </c>
      <c r="S549" s="17">
        <v>0</v>
      </c>
      <c r="T549" s="29">
        <v>0</v>
      </c>
      <c r="V549" s="29">
        <v>0</v>
      </c>
      <c r="X549" s="29">
        <v>0</v>
      </c>
      <c r="Y549" s="29">
        <v>0</v>
      </c>
      <c r="AF549">
        <v>0</v>
      </c>
      <c r="AG549">
        <v>0</v>
      </c>
      <c r="AH549">
        <v>0</v>
      </c>
      <c r="AI549">
        <v>0</v>
      </c>
      <c r="AJ549">
        <v>0</v>
      </c>
      <c r="AK549">
        <v>0</v>
      </c>
      <c r="AL549" t="s">
        <v>214</v>
      </c>
      <c r="AM549">
        <v>0</v>
      </c>
    </row>
    <row r="550" spans="2:39">
      <c r="B550">
        <v>543</v>
      </c>
      <c r="C550" t="s">
        <v>27</v>
      </c>
      <c r="D550" t="s">
        <v>66</v>
      </c>
      <c r="E550" t="s">
        <v>207</v>
      </c>
      <c r="H550" t="s">
        <v>107</v>
      </c>
      <c r="I550" t="s">
        <v>30</v>
      </c>
      <c r="M550" s="29">
        <v>0</v>
      </c>
      <c r="N550" s="29"/>
      <c r="O550" s="29">
        <f>Table2[[#This Row],[Hot water demand (MWh)]]+Table2[[#This Row],[Space heating demand (MWh)]]</f>
        <v>0</v>
      </c>
      <c r="P550" s="29">
        <v>0</v>
      </c>
      <c r="Q550" s="29">
        <v>0</v>
      </c>
      <c r="S550" s="17">
        <v>0</v>
      </c>
      <c r="T550" s="29">
        <v>0</v>
      </c>
      <c r="V550" s="29">
        <v>0</v>
      </c>
      <c r="X550" s="29">
        <v>0</v>
      </c>
      <c r="Y550" s="29">
        <v>0</v>
      </c>
      <c r="AF550">
        <v>0</v>
      </c>
      <c r="AG550">
        <v>0</v>
      </c>
      <c r="AH550">
        <v>0</v>
      </c>
      <c r="AI550">
        <v>0</v>
      </c>
      <c r="AJ550">
        <v>0</v>
      </c>
      <c r="AK550">
        <v>0</v>
      </c>
      <c r="AL550" t="s">
        <v>216</v>
      </c>
      <c r="AM550">
        <v>0</v>
      </c>
    </row>
    <row r="551" spans="2:39">
      <c r="B551">
        <v>544</v>
      </c>
      <c r="C551" t="s">
        <v>27</v>
      </c>
      <c r="D551" t="s">
        <v>67</v>
      </c>
      <c r="E551" t="s">
        <v>207</v>
      </c>
      <c r="H551" t="s">
        <v>103</v>
      </c>
      <c r="I551" t="s">
        <v>30</v>
      </c>
      <c r="M551" s="29">
        <v>0</v>
      </c>
      <c r="N551" s="29"/>
      <c r="O551" s="29">
        <f>Table2[[#This Row],[Hot water demand (MWh)]]+Table2[[#This Row],[Space heating demand (MWh)]]</f>
        <v>0</v>
      </c>
      <c r="P551" s="29">
        <v>0</v>
      </c>
      <c r="Q551" s="29">
        <v>0</v>
      </c>
      <c r="S551" s="17">
        <v>0</v>
      </c>
      <c r="T551" s="29">
        <v>0</v>
      </c>
      <c r="V551" s="29">
        <v>0</v>
      </c>
      <c r="X551" s="29">
        <v>0</v>
      </c>
      <c r="Y551" s="29">
        <v>0</v>
      </c>
      <c r="AF551">
        <v>0</v>
      </c>
      <c r="AG551">
        <v>0</v>
      </c>
      <c r="AH551">
        <v>0</v>
      </c>
      <c r="AI551">
        <v>0</v>
      </c>
      <c r="AJ551">
        <v>0</v>
      </c>
      <c r="AK551">
        <v>0</v>
      </c>
      <c r="AL551" t="s">
        <v>212</v>
      </c>
      <c r="AM551">
        <v>0</v>
      </c>
    </row>
    <row r="552" spans="2:39">
      <c r="B552">
        <v>545</v>
      </c>
      <c r="C552" t="s">
        <v>27</v>
      </c>
      <c r="D552" t="s">
        <v>67</v>
      </c>
      <c r="E552" t="s">
        <v>207</v>
      </c>
      <c r="H552" t="s">
        <v>104</v>
      </c>
      <c r="I552" t="s">
        <v>30</v>
      </c>
      <c r="M552" s="29">
        <v>0</v>
      </c>
      <c r="N552" s="29"/>
      <c r="O552" s="29">
        <f>Table2[[#This Row],[Hot water demand (MWh)]]+Table2[[#This Row],[Space heating demand (MWh)]]</f>
        <v>0</v>
      </c>
      <c r="P552" s="29">
        <v>0</v>
      </c>
      <c r="Q552" s="29">
        <v>0</v>
      </c>
      <c r="S552" s="17">
        <v>0</v>
      </c>
      <c r="T552" s="29">
        <v>0</v>
      </c>
      <c r="V552" s="29">
        <v>0</v>
      </c>
      <c r="X552" s="29">
        <v>0</v>
      </c>
      <c r="Y552" s="29">
        <v>0</v>
      </c>
      <c r="AF552">
        <v>0</v>
      </c>
      <c r="AG552">
        <v>0</v>
      </c>
      <c r="AH552">
        <v>0</v>
      </c>
      <c r="AI552">
        <v>0</v>
      </c>
      <c r="AJ552">
        <v>0</v>
      </c>
      <c r="AK552">
        <v>0</v>
      </c>
      <c r="AL552" t="s">
        <v>213</v>
      </c>
      <c r="AM552">
        <v>0</v>
      </c>
    </row>
    <row r="553" spans="2:39">
      <c r="B553">
        <v>546</v>
      </c>
      <c r="C553" t="s">
        <v>27</v>
      </c>
      <c r="D553" t="s">
        <v>67</v>
      </c>
      <c r="E553" t="s">
        <v>207</v>
      </c>
      <c r="H553" t="s">
        <v>109</v>
      </c>
      <c r="I553" t="s">
        <v>30</v>
      </c>
      <c r="M553" s="29">
        <v>0</v>
      </c>
      <c r="N553" s="29"/>
      <c r="O553" s="29">
        <f>Table2[[#This Row],[Hot water demand (MWh)]]+Table2[[#This Row],[Space heating demand (MWh)]]</f>
        <v>0</v>
      </c>
      <c r="P553" s="29">
        <v>0</v>
      </c>
      <c r="Q553" s="29">
        <v>0</v>
      </c>
      <c r="S553" s="17">
        <v>0</v>
      </c>
      <c r="T553" s="29">
        <v>0</v>
      </c>
      <c r="V553" s="29">
        <v>0</v>
      </c>
      <c r="X553" s="29">
        <v>0</v>
      </c>
      <c r="Y553" s="29">
        <v>0</v>
      </c>
      <c r="AF553">
        <v>0</v>
      </c>
      <c r="AG553">
        <v>0</v>
      </c>
      <c r="AH553">
        <v>0</v>
      </c>
      <c r="AI553">
        <v>0</v>
      </c>
      <c r="AJ553">
        <v>0</v>
      </c>
      <c r="AK553">
        <v>0</v>
      </c>
      <c r="AL553" t="s">
        <v>218</v>
      </c>
      <c r="AM553">
        <v>0</v>
      </c>
    </row>
    <row r="554" spans="2:39">
      <c r="B554">
        <v>547</v>
      </c>
      <c r="C554" t="s">
        <v>27</v>
      </c>
      <c r="D554" t="s">
        <v>67</v>
      </c>
      <c r="E554" t="s">
        <v>207</v>
      </c>
      <c r="H554" t="s">
        <v>105</v>
      </c>
      <c r="I554" t="s">
        <v>30</v>
      </c>
      <c r="M554" s="29">
        <v>0</v>
      </c>
      <c r="N554" s="29"/>
      <c r="O554" s="29">
        <f>Table2[[#This Row],[Hot water demand (MWh)]]+Table2[[#This Row],[Space heating demand (MWh)]]</f>
        <v>0</v>
      </c>
      <c r="P554" s="29">
        <v>0</v>
      </c>
      <c r="Q554" s="29">
        <v>0</v>
      </c>
      <c r="S554" s="17">
        <v>0</v>
      </c>
      <c r="T554" s="29">
        <v>0</v>
      </c>
      <c r="V554" s="29">
        <v>0</v>
      </c>
      <c r="X554" s="29">
        <v>0</v>
      </c>
      <c r="Y554" s="29">
        <v>0</v>
      </c>
      <c r="AF554">
        <v>0</v>
      </c>
      <c r="AG554">
        <v>0</v>
      </c>
      <c r="AH554">
        <v>0</v>
      </c>
      <c r="AI554">
        <v>0</v>
      </c>
      <c r="AJ554">
        <v>0</v>
      </c>
      <c r="AK554">
        <v>0</v>
      </c>
      <c r="AL554" t="s">
        <v>214</v>
      </c>
      <c r="AM554">
        <v>0</v>
      </c>
    </row>
    <row r="555" spans="2:39">
      <c r="B555">
        <v>548</v>
      </c>
      <c r="C555" t="s">
        <v>27</v>
      </c>
      <c r="D555" t="s">
        <v>67</v>
      </c>
      <c r="E555" t="s">
        <v>207</v>
      </c>
      <c r="H555" t="s">
        <v>107</v>
      </c>
      <c r="I555" t="s">
        <v>30</v>
      </c>
      <c r="M555" s="29">
        <v>0</v>
      </c>
      <c r="N555" s="29"/>
      <c r="O555" s="29">
        <f>Table2[[#This Row],[Hot water demand (MWh)]]+Table2[[#This Row],[Space heating demand (MWh)]]</f>
        <v>0</v>
      </c>
      <c r="P555" s="29">
        <v>0</v>
      </c>
      <c r="Q555" s="29">
        <v>0</v>
      </c>
      <c r="S555" s="17">
        <v>0</v>
      </c>
      <c r="T555" s="29">
        <v>0</v>
      </c>
      <c r="V555" s="29">
        <v>0</v>
      </c>
      <c r="X555" s="29">
        <v>0</v>
      </c>
      <c r="Y555" s="29">
        <v>0</v>
      </c>
      <c r="AF555">
        <v>0</v>
      </c>
      <c r="AG555">
        <v>0</v>
      </c>
      <c r="AH555">
        <v>0</v>
      </c>
      <c r="AI555">
        <v>0</v>
      </c>
      <c r="AJ555">
        <v>0</v>
      </c>
      <c r="AK555">
        <v>0</v>
      </c>
      <c r="AL555" t="s">
        <v>216</v>
      </c>
      <c r="AM555">
        <v>0</v>
      </c>
    </row>
    <row r="556" spans="2:39">
      <c r="B556">
        <v>549</v>
      </c>
      <c r="C556" t="s">
        <v>27</v>
      </c>
      <c r="D556" t="s">
        <v>59</v>
      </c>
      <c r="E556" t="s">
        <v>207</v>
      </c>
      <c r="H556" t="s">
        <v>110</v>
      </c>
      <c r="I556" t="s">
        <v>28</v>
      </c>
      <c r="M556" s="29">
        <v>0</v>
      </c>
      <c r="N556" s="29"/>
      <c r="O556" s="29">
        <f>Table2[[#This Row],[Hot water demand (MWh)]]+Table2[[#This Row],[Space heating demand (MWh)]]</f>
        <v>0</v>
      </c>
      <c r="P556" s="29">
        <v>0</v>
      </c>
      <c r="Q556" s="29">
        <v>0</v>
      </c>
      <c r="S556" s="17">
        <v>0</v>
      </c>
      <c r="T556" s="29">
        <v>0</v>
      </c>
      <c r="V556" s="29">
        <v>0</v>
      </c>
      <c r="X556" s="29">
        <v>0</v>
      </c>
      <c r="Y556" s="29">
        <v>0</v>
      </c>
      <c r="AF556">
        <v>0</v>
      </c>
      <c r="AG556">
        <v>0</v>
      </c>
      <c r="AH556">
        <v>0</v>
      </c>
      <c r="AI556">
        <v>0</v>
      </c>
      <c r="AJ556">
        <v>0</v>
      </c>
      <c r="AK556">
        <v>0</v>
      </c>
      <c r="AL556" t="s">
        <v>212</v>
      </c>
      <c r="AM556">
        <v>0</v>
      </c>
    </row>
    <row r="557" spans="2:39">
      <c r="B557">
        <v>550</v>
      </c>
      <c r="C557" t="s">
        <v>27</v>
      </c>
      <c r="D557" t="s">
        <v>59</v>
      </c>
      <c r="E557" t="s">
        <v>207</v>
      </c>
      <c r="H557" t="s">
        <v>111</v>
      </c>
      <c r="I557" t="s">
        <v>28</v>
      </c>
      <c r="M557" s="29">
        <v>0</v>
      </c>
      <c r="N557" s="29"/>
      <c r="O557" s="29">
        <f>Table2[[#This Row],[Hot water demand (MWh)]]+Table2[[#This Row],[Space heating demand (MWh)]]</f>
        <v>0</v>
      </c>
      <c r="P557" s="29">
        <v>0</v>
      </c>
      <c r="Q557" s="29">
        <v>0</v>
      </c>
      <c r="S557" s="17">
        <v>0</v>
      </c>
      <c r="T557" s="29">
        <v>0</v>
      </c>
      <c r="V557" s="29">
        <v>0</v>
      </c>
      <c r="X557" s="29">
        <v>0</v>
      </c>
      <c r="Y557" s="29">
        <v>0</v>
      </c>
      <c r="AF557">
        <v>0</v>
      </c>
      <c r="AG557">
        <v>0</v>
      </c>
      <c r="AH557">
        <v>0</v>
      </c>
      <c r="AI557">
        <v>0</v>
      </c>
      <c r="AJ557">
        <v>0</v>
      </c>
      <c r="AK557">
        <v>0</v>
      </c>
      <c r="AL557" t="s">
        <v>213</v>
      </c>
      <c r="AM557">
        <v>0</v>
      </c>
    </row>
    <row r="558" spans="2:39">
      <c r="B558">
        <v>551</v>
      </c>
      <c r="C558" t="s">
        <v>27</v>
      </c>
      <c r="D558" t="s">
        <v>59</v>
      </c>
      <c r="E558" t="s">
        <v>207</v>
      </c>
      <c r="H558" t="s">
        <v>112</v>
      </c>
      <c r="I558" t="s">
        <v>28</v>
      </c>
      <c r="M558" s="29">
        <v>0</v>
      </c>
      <c r="N558" s="29"/>
      <c r="O558" s="29">
        <f>Table2[[#This Row],[Hot water demand (MWh)]]+Table2[[#This Row],[Space heating demand (MWh)]]</f>
        <v>0</v>
      </c>
      <c r="P558" s="29">
        <v>0</v>
      </c>
      <c r="Q558" s="29">
        <v>0</v>
      </c>
      <c r="S558" s="17">
        <v>0</v>
      </c>
      <c r="T558" s="29">
        <v>0</v>
      </c>
      <c r="V558" s="29">
        <v>0</v>
      </c>
      <c r="X558" s="29">
        <v>0</v>
      </c>
      <c r="Y558" s="29">
        <v>0</v>
      </c>
      <c r="AF558">
        <v>0</v>
      </c>
      <c r="AG558">
        <v>0</v>
      </c>
      <c r="AH558">
        <v>0</v>
      </c>
      <c r="AI558">
        <v>0</v>
      </c>
      <c r="AJ558">
        <v>0</v>
      </c>
      <c r="AK558">
        <v>0</v>
      </c>
      <c r="AL558" t="s">
        <v>214</v>
      </c>
      <c r="AM558">
        <v>0</v>
      </c>
    </row>
    <row r="559" spans="2:39">
      <c r="B559">
        <v>552</v>
      </c>
      <c r="C559" t="s">
        <v>27</v>
      </c>
      <c r="D559" t="s">
        <v>60</v>
      </c>
      <c r="E559" t="s">
        <v>207</v>
      </c>
      <c r="H559" t="s">
        <v>113</v>
      </c>
      <c r="I559" t="s">
        <v>28</v>
      </c>
      <c r="M559" s="29">
        <v>0</v>
      </c>
      <c r="N559" s="29"/>
      <c r="O559" s="29">
        <f>Table2[[#This Row],[Hot water demand (MWh)]]+Table2[[#This Row],[Space heating demand (MWh)]]</f>
        <v>0</v>
      </c>
      <c r="P559" s="29">
        <v>0</v>
      </c>
      <c r="Q559" s="29">
        <v>0</v>
      </c>
      <c r="S559" s="17">
        <v>0</v>
      </c>
      <c r="T559" s="29">
        <v>0</v>
      </c>
      <c r="V559" s="29">
        <v>0</v>
      </c>
      <c r="X559" s="29">
        <v>0</v>
      </c>
      <c r="Y559" s="29">
        <v>0</v>
      </c>
      <c r="AF559">
        <v>0</v>
      </c>
      <c r="AG559">
        <v>0</v>
      </c>
      <c r="AH559">
        <v>0</v>
      </c>
      <c r="AI559">
        <v>0</v>
      </c>
      <c r="AJ559">
        <v>0</v>
      </c>
      <c r="AK559">
        <v>0</v>
      </c>
      <c r="AL559" t="s">
        <v>215</v>
      </c>
      <c r="AM559">
        <v>0</v>
      </c>
    </row>
    <row r="560" spans="2:39">
      <c r="B560">
        <v>553</v>
      </c>
      <c r="C560" t="s">
        <v>27</v>
      </c>
      <c r="D560" t="s">
        <v>60</v>
      </c>
      <c r="E560" t="s">
        <v>207</v>
      </c>
      <c r="H560" t="s">
        <v>112</v>
      </c>
      <c r="I560" t="s">
        <v>28</v>
      </c>
      <c r="M560" s="29">
        <v>0</v>
      </c>
      <c r="N560" s="29"/>
      <c r="O560" s="29">
        <f>Table2[[#This Row],[Hot water demand (MWh)]]+Table2[[#This Row],[Space heating demand (MWh)]]</f>
        <v>0</v>
      </c>
      <c r="P560" s="29">
        <v>0</v>
      </c>
      <c r="Q560" s="29">
        <v>0</v>
      </c>
      <c r="S560" s="17">
        <v>0</v>
      </c>
      <c r="T560" s="29">
        <v>0</v>
      </c>
      <c r="V560" s="29">
        <v>0</v>
      </c>
      <c r="X560" s="29">
        <v>0</v>
      </c>
      <c r="Y560" s="29">
        <v>0</v>
      </c>
      <c r="AF560">
        <v>0</v>
      </c>
      <c r="AG560">
        <v>0</v>
      </c>
      <c r="AH560">
        <v>0</v>
      </c>
      <c r="AI560">
        <v>0</v>
      </c>
      <c r="AJ560">
        <v>0</v>
      </c>
      <c r="AK560">
        <v>0</v>
      </c>
      <c r="AL560" t="s">
        <v>214</v>
      </c>
      <c r="AM560">
        <v>0</v>
      </c>
    </row>
    <row r="561" spans="2:39">
      <c r="B561">
        <v>554</v>
      </c>
      <c r="C561" t="s">
        <v>27</v>
      </c>
      <c r="D561" t="s">
        <v>60</v>
      </c>
      <c r="E561" t="s">
        <v>207</v>
      </c>
      <c r="H561" t="s">
        <v>114</v>
      </c>
      <c r="I561" t="s">
        <v>28</v>
      </c>
      <c r="M561" s="29">
        <v>0</v>
      </c>
      <c r="N561" s="29"/>
      <c r="O561" s="29">
        <f>Table2[[#This Row],[Hot water demand (MWh)]]+Table2[[#This Row],[Space heating demand (MWh)]]</f>
        <v>0</v>
      </c>
      <c r="P561" s="29">
        <v>0</v>
      </c>
      <c r="Q561" s="29">
        <v>0</v>
      </c>
      <c r="S561" s="17">
        <v>0</v>
      </c>
      <c r="T561" s="29">
        <v>0</v>
      </c>
      <c r="V561" s="29">
        <v>0</v>
      </c>
      <c r="X561" s="29">
        <v>0</v>
      </c>
      <c r="Y561" s="29">
        <v>0</v>
      </c>
      <c r="AF561">
        <v>0</v>
      </c>
      <c r="AG561">
        <v>0</v>
      </c>
      <c r="AH561">
        <v>0</v>
      </c>
      <c r="AI561">
        <v>0</v>
      </c>
      <c r="AJ561">
        <v>0</v>
      </c>
      <c r="AK561">
        <v>0</v>
      </c>
      <c r="AL561" t="s">
        <v>216</v>
      </c>
      <c r="AM561">
        <v>0</v>
      </c>
    </row>
    <row r="562" spans="2:39">
      <c r="B562">
        <v>555</v>
      </c>
      <c r="C562" t="s">
        <v>27</v>
      </c>
      <c r="D562" t="s">
        <v>61</v>
      </c>
      <c r="E562" t="s">
        <v>207</v>
      </c>
      <c r="H562" t="s">
        <v>110</v>
      </c>
      <c r="I562" t="s">
        <v>28</v>
      </c>
      <c r="M562" s="29">
        <v>0</v>
      </c>
      <c r="N562" s="29"/>
      <c r="O562" s="29">
        <f>Table2[[#This Row],[Hot water demand (MWh)]]+Table2[[#This Row],[Space heating demand (MWh)]]</f>
        <v>0</v>
      </c>
      <c r="P562" s="29">
        <v>0</v>
      </c>
      <c r="Q562" s="29">
        <v>0</v>
      </c>
      <c r="S562" s="17">
        <v>0</v>
      </c>
      <c r="T562" s="29">
        <v>0</v>
      </c>
      <c r="V562" s="29">
        <v>0</v>
      </c>
      <c r="X562" s="29">
        <v>0</v>
      </c>
      <c r="Y562" s="29">
        <v>0</v>
      </c>
      <c r="AF562">
        <v>0</v>
      </c>
      <c r="AG562">
        <v>0</v>
      </c>
      <c r="AH562">
        <v>0</v>
      </c>
      <c r="AI562">
        <v>0</v>
      </c>
      <c r="AJ562">
        <v>0</v>
      </c>
      <c r="AK562">
        <v>0</v>
      </c>
      <c r="AL562" t="s">
        <v>212</v>
      </c>
      <c r="AM562">
        <v>0</v>
      </c>
    </row>
    <row r="563" spans="2:39">
      <c r="B563">
        <v>556</v>
      </c>
      <c r="C563" t="s">
        <v>27</v>
      </c>
      <c r="D563" t="s">
        <v>61</v>
      </c>
      <c r="E563" t="s">
        <v>207</v>
      </c>
      <c r="H563" t="s">
        <v>111</v>
      </c>
      <c r="I563" t="s">
        <v>28</v>
      </c>
      <c r="M563" s="29">
        <v>0</v>
      </c>
      <c r="N563" s="29"/>
      <c r="O563" s="29">
        <f>Table2[[#This Row],[Hot water demand (MWh)]]+Table2[[#This Row],[Space heating demand (MWh)]]</f>
        <v>0</v>
      </c>
      <c r="P563" s="29">
        <v>0</v>
      </c>
      <c r="Q563" s="29">
        <v>0</v>
      </c>
      <c r="S563" s="17">
        <v>0</v>
      </c>
      <c r="T563" s="29">
        <v>0</v>
      </c>
      <c r="V563" s="29">
        <v>0</v>
      </c>
      <c r="X563" s="29">
        <v>0</v>
      </c>
      <c r="Y563" s="29">
        <v>0</v>
      </c>
      <c r="AF563">
        <v>0</v>
      </c>
      <c r="AG563">
        <v>0</v>
      </c>
      <c r="AH563">
        <v>0</v>
      </c>
      <c r="AI563">
        <v>0</v>
      </c>
      <c r="AJ563">
        <v>0</v>
      </c>
      <c r="AK563">
        <v>0</v>
      </c>
      <c r="AL563" t="s">
        <v>213</v>
      </c>
      <c r="AM563">
        <v>0</v>
      </c>
    </row>
    <row r="564" spans="2:39">
      <c r="B564">
        <v>557</v>
      </c>
      <c r="C564" t="s">
        <v>27</v>
      </c>
      <c r="D564" t="s">
        <v>61</v>
      </c>
      <c r="E564" t="s">
        <v>207</v>
      </c>
      <c r="H564" t="s">
        <v>112</v>
      </c>
      <c r="I564" t="s">
        <v>28</v>
      </c>
      <c r="M564" s="29">
        <v>0</v>
      </c>
      <c r="N564" s="29"/>
      <c r="O564" s="29">
        <f>Table2[[#This Row],[Hot water demand (MWh)]]+Table2[[#This Row],[Space heating demand (MWh)]]</f>
        <v>0</v>
      </c>
      <c r="P564" s="29">
        <v>0</v>
      </c>
      <c r="Q564" s="29">
        <v>0</v>
      </c>
      <c r="S564" s="17">
        <v>0</v>
      </c>
      <c r="T564" s="29">
        <v>0</v>
      </c>
      <c r="V564" s="29">
        <v>0</v>
      </c>
      <c r="X564" s="29">
        <v>0</v>
      </c>
      <c r="Y564" s="29">
        <v>0</v>
      </c>
      <c r="AF564">
        <v>0</v>
      </c>
      <c r="AG564">
        <v>0</v>
      </c>
      <c r="AH564">
        <v>0</v>
      </c>
      <c r="AI564">
        <v>0</v>
      </c>
      <c r="AJ564">
        <v>0</v>
      </c>
      <c r="AK564">
        <v>0</v>
      </c>
      <c r="AL564" t="s">
        <v>214</v>
      </c>
      <c r="AM564">
        <v>0</v>
      </c>
    </row>
    <row r="565" spans="2:39">
      <c r="B565">
        <v>558</v>
      </c>
      <c r="C565" t="s">
        <v>27</v>
      </c>
      <c r="D565" t="s">
        <v>62</v>
      </c>
      <c r="E565" t="s">
        <v>207</v>
      </c>
      <c r="H565" t="s">
        <v>110</v>
      </c>
      <c r="I565" t="s">
        <v>28</v>
      </c>
      <c r="M565" s="29">
        <v>1252.8815185743424</v>
      </c>
      <c r="N565" s="29"/>
      <c r="O565" s="29">
        <f>Table2[[#This Row],[Hot water demand (MWh)]]+Table2[[#This Row],[Space heating demand (MWh)]]</f>
        <v>1252.8815185743424</v>
      </c>
      <c r="P565" s="29">
        <v>256.6450608350043</v>
      </c>
      <c r="Q565" s="29">
        <v>2.5923743518687306</v>
      </c>
      <c r="S565" s="17">
        <v>236.6446329650548</v>
      </c>
      <c r="T565" s="29">
        <v>1361.8277375808068</v>
      </c>
      <c r="V565" s="29">
        <v>1361.8277375808068</v>
      </c>
      <c r="X565" s="29">
        <v>2.5923743518687306</v>
      </c>
      <c r="Y565" s="29">
        <v>256.6450608350043</v>
      </c>
      <c r="AF565">
        <v>141.98677977903287</v>
      </c>
      <c r="AG565">
        <v>1252.8815185743424</v>
      </c>
      <c r="AH565">
        <v>0</v>
      </c>
      <c r="AI565">
        <v>0</v>
      </c>
      <c r="AJ565">
        <v>1252.8815185743424</v>
      </c>
      <c r="AK565">
        <v>0</v>
      </c>
      <c r="AL565" t="s">
        <v>212</v>
      </c>
      <c r="AM565">
        <v>259.23743518687303</v>
      </c>
    </row>
    <row r="566" spans="2:39">
      <c r="B566">
        <v>559</v>
      </c>
      <c r="C566" t="s">
        <v>27</v>
      </c>
      <c r="D566" t="s">
        <v>62</v>
      </c>
      <c r="E566" t="s">
        <v>207</v>
      </c>
      <c r="H566" t="s">
        <v>114</v>
      </c>
      <c r="I566" t="s">
        <v>28</v>
      </c>
      <c r="M566" s="29">
        <v>835.2543457162285</v>
      </c>
      <c r="N566" s="29"/>
      <c r="O566" s="29">
        <f>Table2[[#This Row],[Hot water demand (MWh)]]+Table2[[#This Row],[Space heating demand (MWh)]]</f>
        <v>835.2543457162285</v>
      </c>
      <c r="P566" s="29">
        <v>171.09670722333618</v>
      </c>
      <c r="Q566" s="29">
        <v>1.7282495679124867</v>
      </c>
      <c r="S566" s="17">
        <v>236.6446329650548</v>
      </c>
      <c r="T566" s="29">
        <v>907.88515838720491</v>
      </c>
      <c r="V566" s="29">
        <v>907.88515838720491</v>
      </c>
      <c r="X566" s="29">
        <v>1.7282495679124867</v>
      </c>
      <c r="Y566" s="29">
        <v>171.09670722333618</v>
      </c>
      <c r="AF566">
        <v>94.657853186021924</v>
      </c>
      <c r="AG566">
        <v>835.2543457162285</v>
      </c>
      <c r="AH566">
        <v>0</v>
      </c>
      <c r="AI566">
        <v>0</v>
      </c>
      <c r="AJ566">
        <v>835.2543457162285</v>
      </c>
      <c r="AK566">
        <v>0</v>
      </c>
      <c r="AL566" t="s">
        <v>216</v>
      </c>
      <c r="AM566">
        <v>172.82495679124867</v>
      </c>
    </row>
    <row r="567" spans="2:39">
      <c r="B567">
        <v>560</v>
      </c>
      <c r="C567" t="s">
        <v>27</v>
      </c>
      <c r="D567" t="s">
        <v>63</v>
      </c>
      <c r="E567" t="s">
        <v>207</v>
      </c>
      <c r="H567" t="s">
        <v>115</v>
      </c>
      <c r="I567" t="s">
        <v>28</v>
      </c>
      <c r="M567" s="29">
        <v>310.41919904171817</v>
      </c>
      <c r="N567" s="29"/>
      <c r="O567" s="29">
        <f>Table2[[#This Row],[Hot water demand (MWh)]]+Table2[[#This Row],[Space heating demand (MWh)]]</f>
        <v>310.41919904171817</v>
      </c>
      <c r="P567" s="29">
        <v>42.811426834132376</v>
      </c>
      <c r="Q567" s="29">
        <v>0.43243865489022604</v>
      </c>
      <c r="S567" s="17">
        <v>7.0607737938347137</v>
      </c>
      <c r="T567" s="29">
        <v>365.19905769613905</v>
      </c>
      <c r="V567" s="29">
        <v>365.19905769613905</v>
      </c>
      <c r="X567" s="29">
        <v>0.43243865489022604</v>
      </c>
      <c r="Y567" s="29">
        <v>42.811426834132376</v>
      </c>
      <c r="AF567">
        <v>1.412154758766943</v>
      </c>
      <c r="AG567">
        <v>310.41919904171817</v>
      </c>
      <c r="AH567">
        <v>310.41919904171817</v>
      </c>
      <c r="AI567">
        <v>0</v>
      </c>
      <c r="AJ567">
        <v>0</v>
      </c>
      <c r="AK567">
        <v>0</v>
      </c>
      <c r="AL567" t="s">
        <v>217</v>
      </c>
      <c r="AM567">
        <v>43.243865489022603</v>
      </c>
    </row>
    <row r="568" spans="2:39">
      <c r="B568">
        <v>561</v>
      </c>
      <c r="C568" t="s">
        <v>27</v>
      </c>
      <c r="D568" t="s">
        <v>63</v>
      </c>
      <c r="E568" t="s">
        <v>207</v>
      </c>
      <c r="H568" t="s">
        <v>110</v>
      </c>
      <c r="I568" t="s">
        <v>28</v>
      </c>
      <c r="M568" s="29">
        <v>587.97048289078384</v>
      </c>
      <c r="N568" s="29"/>
      <c r="O568" s="29">
        <f>Table2[[#This Row],[Hot water demand (MWh)]]+Table2[[#This Row],[Space heating demand (MWh)]]</f>
        <v>587.97048289078384</v>
      </c>
      <c r="P568" s="29">
        <v>74.919996959731662</v>
      </c>
      <c r="Q568" s="29">
        <v>0.75676764605789559</v>
      </c>
      <c r="S568" s="17">
        <v>7.0607737938347146</v>
      </c>
      <c r="T568" s="29">
        <v>639.09835096824327</v>
      </c>
      <c r="V568" s="29">
        <v>639.09835096824327</v>
      </c>
      <c r="X568" s="29">
        <v>0.75676764605789559</v>
      </c>
      <c r="Y568" s="29">
        <v>74.919996959731662</v>
      </c>
      <c r="AF568">
        <v>2.4712708278421505</v>
      </c>
      <c r="AG568">
        <v>587.97048289078384</v>
      </c>
      <c r="AH568">
        <v>0</v>
      </c>
      <c r="AI568">
        <v>0</v>
      </c>
      <c r="AJ568">
        <v>587.97048289078384</v>
      </c>
      <c r="AK568">
        <v>0</v>
      </c>
      <c r="AL568" t="s">
        <v>212</v>
      </c>
      <c r="AM568">
        <v>75.676764605789558</v>
      </c>
    </row>
    <row r="569" spans="2:39">
      <c r="B569">
        <v>562</v>
      </c>
      <c r="C569" t="s">
        <v>27</v>
      </c>
      <c r="D569" t="s">
        <v>63</v>
      </c>
      <c r="E569" t="s">
        <v>207</v>
      </c>
      <c r="H569" t="s">
        <v>114</v>
      </c>
      <c r="I569" t="s">
        <v>28</v>
      </c>
      <c r="M569" s="29">
        <v>755.96204943100781</v>
      </c>
      <c r="N569" s="29"/>
      <c r="O569" s="29">
        <f>Table2[[#This Row],[Hot water demand (MWh)]]+Table2[[#This Row],[Space heating demand (MWh)]]</f>
        <v>755.96204943100781</v>
      </c>
      <c r="P569" s="29">
        <v>96.325710376797844</v>
      </c>
      <c r="Q569" s="29">
        <v>0.97298697350300856</v>
      </c>
      <c r="S569" s="17">
        <v>7.0607737938347146</v>
      </c>
      <c r="T569" s="29">
        <v>821.69787981631282</v>
      </c>
      <c r="V569" s="29">
        <v>821.69787981631282</v>
      </c>
      <c r="X569" s="29">
        <v>0.97298697350300856</v>
      </c>
      <c r="Y569" s="29">
        <v>96.325710376797844</v>
      </c>
      <c r="AF569">
        <v>3.1773482072256218</v>
      </c>
      <c r="AG569">
        <v>755.96204943100781</v>
      </c>
      <c r="AH569">
        <v>0</v>
      </c>
      <c r="AI569">
        <v>755.96204943100781</v>
      </c>
      <c r="AJ569">
        <v>0</v>
      </c>
      <c r="AK569">
        <v>0</v>
      </c>
      <c r="AL569" t="s">
        <v>216</v>
      </c>
      <c r="AM569">
        <v>97.298697350300856</v>
      </c>
    </row>
    <row r="570" spans="2:39">
      <c r="B570">
        <v>563</v>
      </c>
      <c r="C570" t="s">
        <v>27</v>
      </c>
      <c r="D570" t="s">
        <v>64</v>
      </c>
      <c r="E570" t="s">
        <v>207</v>
      </c>
      <c r="H570" t="s">
        <v>110</v>
      </c>
      <c r="I570" t="s">
        <v>28</v>
      </c>
      <c r="M570" s="29">
        <v>796.69018515659673</v>
      </c>
      <c r="N570" s="29"/>
      <c r="O570" s="29">
        <f>Table2[[#This Row],[Hot water demand (MWh)]]+Table2[[#This Row],[Space heating demand (MWh)]]</f>
        <v>796.69018515659673</v>
      </c>
      <c r="P570" s="29">
        <v>138.80316224525308</v>
      </c>
      <c r="Q570" s="29">
        <v>83.701096897810103</v>
      </c>
      <c r="S570" s="17">
        <v>131.42233252176379</v>
      </c>
      <c r="T570" s="29">
        <v>865.96759256151813</v>
      </c>
      <c r="V570" s="29">
        <v>865.96759256151813</v>
      </c>
      <c r="X570" s="29">
        <v>83.701096897810103</v>
      </c>
      <c r="Y570" s="29">
        <v>138.80316224525308</v>
      </c>
      <c r="AF570">
        <v>91.995632765234632</v>
      </c>
      <c r="AG570">
        <v>796.69018515659673</v>
      </c>
      <c r="AH570">
        <v>0</v>
      </c>
      <c r="AI570">
        <v>79.669018515659673</v>
      </c>
      <c r="AJ570">
        <v>478.01411109395804</v>
      </c>
      <c r="AK570">
        <v>239.00705554697902</v>
      </c>
      <c r="AL570" t="s">
        <v>212</v>
      </c>
      <c r="AM570">
        <v>310.00406258448186</v>
      </c>
    </row>
    <row r="571" spans="2:39">
      <c r="B571">
        <v>564</v>
      </c>
      <c r="C571" t="s">
        <v>27</v>
      </c>
      <c r="D571" t="s">
        <v>64</v>
      </c>
      <c r="E571" t="s">
        <v>207</v>
      </c>
      <c r="H571" t="s">
        <v>111</v>
      </c>
      <c r="I571" t="s">
        <v>28</v>
      </c>
      <c r="M571" s="29">
        <v>92.782242060162631</v>
      </c>
      <c r="N571" s="29"/>
      <c r="O571" s="29">
        <f>Table2[[#This Row],[Hot water demand (MWh)]]+Table2[[#This Row],[Space heating demand (MWh)]]</f>
        <v>92.782242060162631</v>
      </c>
      <c r="P571" s="29">
        <v>29.743534766839957</v>
      </c>
      <c r="Q571" s="29">
        <v>17.93594933524502</v>
      </c>
      <c r="S571" s="17">
        <v>131.42233252176382</v>
      </c>
      <c r="T571" s="29">
        <v>185.56448412032526</v>
      </c>
      <c r="V571" s="29">
        <v>185.56448412032526</v>
      </c>
      <c r="X571" s="29">
        <v>17.93594933524502</v>
      </c>
      <c r="Y571" s="29">
        <v>29.743534766839957</v>
      </c>
      <c r="AF571">
        <v>19.713349878264566</v>
      </c>
      <c r="AG571">
        <v>92.782242060162631</v>
      </c>
      <c r="AH571">
        <v>0</v>
      </c>
      <c r="AI571">
        <v>0</v>
      </c>
      <c r="AJ571">
        <v>92.782242060162631</v>
      </c>
      <c r="AK571">
        <v>0</v>
      </c>
      <c r="AL571" t="s">
        <v>213</v>
      </c>
      <c r="AM571">
        <v>66.429441982388965</v>
      </c>
    </row>
    <row r="572" spans="2:39">
      <c r="B572">
        <v>565</v>
      </c>
      <c r="C572" t="s">
        <v>27</v>
      </c>
      <c r="D572" t="s">
        <v>64</v>
      </c>
      <c r="E572" t="s">
        <v>207</v>
      </c>
      <c r="H572" t="s">
        <v>116</v>
      </c>
      <c r="I572" t="s">
        <v>28</v>
      </c>
      <c r="M572" s="29">
        <v>113.81288359379953</v>
      </c>
      <c r="N572" s="29"/>
      <c r="O572" s="29">
        <f>Table2[[#This Row],[Hot water demand (MWh)]]+Table2[[#This Row],[Space heating demand (MWh)]]</f>
        <v>113.81288359379953</v>
      </c>
      <c r="P572" s="29">
        <v>19.829023177893301</v>
      </c>
      <c r="Q572" s="29">
        <v>11.957299556830016</v>
      </c>
      <c r="S572" s="17">
        <v>131.42233252176379</v>
      </c>
      <c r="T572" s="29">
        <v>123.70965608021687</v>
      </c>
      <c r="V572" s="29">
        <v>123.70965608021687</v>
      </c>
      <c r="X572" s="29">
        <v>11.957299556830016</v>
      </c>
      <c r="Y572" s="29">
        <v>19.829023177893301</v>
      </c>
      <c r="AF572">
        <v>13.142233252176382</v>
      </c>
      <c r="AG572">
        <v>113.81288359379953</v>
      </c>
      <c r="AH572">
        <v>0</v>
      </c>
      <c r="AI572">
        <v>113.81288359379953</v>
      </c>
      <c r="AJ572">
        <v>0</v>
      </c>
      <c r="AK572">
        <v>0</v>
      </c>
      <c r="AL572" t="s">
        <v>218</v>
      </c>
      <c r="AM572">
        <v>44.286294654925982</v>
      </c>
    </row>
    <row r="573" spans="2:39">
      <c r="B573">
        <v>566</v>
      </c>
      <c r="C573" t="s">
        <v>27</v>
      </c>
      <c r="D573" t="s">
        <v>64</v>
      </c>
      <c r="E573" t="s">
        <v>207</v>
      </c>
      <c r="H573" t="s">
        <v>114</v>
      </c>
      <c r="I573" t="s">
        <v>28</v>
      </c>
      <c r="M573" s="29">
        <v>56.906441796899763</v>
      </c>
      <c r="N573" s="29"/>
      <c r="O573" s="29">
        <f>Table2[[#This Row],[Hot water demand (MWh)]]+Table2[[#This Row],[Space heating demand (MWh)]]</f>
        <v>56.906441796899763</v>
      </c>
      <c r="P573" s="29">
        <v>9.9145115889466506</v>
      </c>
      <c r="Q573" s="29">
        <v>5.9786497784150079</v>
      </c>
      <c r="S573" s="17">
        <v>131.42233252176379</v>
      </c>
      <c r="T573" s="29">
        <v>61.854828040108437</v>
      </c>
      <c r="V573" s="29">
        <v>61.854828040108437</v>
      </c>
      <c r="X573" s="29">
        <v>5.9786497784150079</v>
      </c>
      <c r="Y573" s="29">
        <v>9.9145115889466506</v>
      </c>
      <c r="AF573">
        <v>6.571116626088191</v>
      </c>
      <c r="AG573">
        <v>56.906441796899763</v>
      </c>
      <c r="AH573">
        <v>0</v>
      </c>
      <c r="AI573">
        <v>0</v>
      </c>
      <c r="AJ573">
        <v>0</v>
      </c>
      <c r="AK573">
        <v>56.906441796899763</v>
      </c>
      <c r="AL573" t="s">
        <v>216</v>
      </c>
      <c r="AM573">
        <v>22.143147327462991</v>
      </c>
    </row>
    <row r="574" spans="2:39">
      <c r="B574">
        <v>567</v>
      </c>
      <c r="C574" t="s">
        <v>27</v>
      </c>
      <c r="D574" t="s">
        <v>65</v>
      </c>
      <c r="E574" t="s">
        <v>207</v>
      </c>
      <c r="H574" t="s">
        <v>113</v>
      </c>
      <c r="I574" t="s">
        <v>28</v>
      </c>
      <c r="M574" s="29">
        <v>0</v>
      </c>
      <c r="N574" s="29"/>
      <c r="O574" s="29">
        <f>Table2[[#This Row],[Hot water demand (MWh)]]+Table2[[#This Row],[Space heating demand (MWh)]]</f>
        <v>0</v>
      </c>
      <c r="P574" s="29">
        <v>0</v>
      </c>
      <c r="Q574" s="29">
        <v>0</v>
      </c>
      <c r="S574" s="17">
        <v>0</v>
      </c>
      <c r="T574" s="29">
        <v>0</v>
      </c>
      <c r="V574" s="29">
        <v>0</v>
      </c>
      <c r="X574" s="29">
        <v>0</v>
      </c>
      <c r="Y574" s="29">
        <v>0</v>
      </c>
      <c r="AF574">
        <v>0</v>
      </c>
      <c r="AG574">
        <v>0</v>
      </c>
      <c r="AH574">
        <v>0</v>
      </c>
      <c r="AI574">
        <v>0</v>
      </c>
      <c r="AJ574">
        <v>0</v>
      </c>
      <c r="AK574">
        <v>0</v>
      </c>
      <c r="AL574" t="s">
        <v>215</v>
      </c>
      <c r="AM574">
        <v>0</v>
      </c>
    </row>
    <row r="575" spans="2:39">
      <c r="B575">
        <v>568</v>
      </c>
      <c r="C575" t="s">
        <v>27</v>
      </c>
      <c r="D575" t="s">
        <v>65</v>
      </c>
      <c r="E575" t="s">
        <v>207</v>
      </c>
      <c r="H575" t="s">
        <v>115</v>
      </c>
      <c r="I575" t="s">
        <v>28</v>
      </c>
      <c r="M575" s="29">
        <v>0</v>
      </c>
      <c r="N575" s="29"/>
      <c r="O575" s="29">
        <f>Table2[[#This Row],[Hot water demand (MWh)]]+Table2[[#This Row],[Space heating demand (MWh)]]</f>
        <v>0</v>
      </c>
      <c r="P575" s="29">
        <v>0</v>
      </c>
      <c r="Q575" s="29">
        <v>0</v>
      </c>
      <c r="S575" s="17">
        <v>0</v>
      </c>
      <c r="T575" s="29">
        <v>0</v>
      </c>
      <c r="V575" s="29">
        <v>0</v>
      </c>
      <c r="X575" s="29">
        <v>0</v>
      </c>
      <c r="Y575" s="29">
        <v>0</v>
      </c>
      <c r="AF575">
        <v>0</v>
      </c>
      <c r="AG575">
        <v>0</v>
      </c>
      <c r="AH575">
        <v>0</v>
      </c>
      <c r="AI575">
        <v>0</v>
      </c>
      <c r="AJ575">
        <v>0</v>
      </c>
      <c r="AK575">
        <v>0</v>
      </c>
      <c r="AL575" t="s">
        <v>217</v>
      </c>
      <c r="AM575">
        <v>0</v>
      </c>
    </row>
    <row r="576" spans="2:39">
      <c r="B576">
        <v>569</v>
      </c>
      <c r="C576" t="s">
        <v>27</v>
      </c>
      <c r="D576" t="s">
        <v>65</v>
      </c>
      <c r="E576" t="s">
        <v>207</v>
      </c>
      <c r="H576" t="s">
        <v>112</v>
      </c>
      <c r="I576" t="s">
        <v>28</v>
      </c>
      <c r="M576" s="29">
        <v>0</v>
      </c>
      <c r="N576" s="29"/>
      <c r="O576" s="29">
        <f>Table2[[#This Row],[Hot water demand (MWh)]]+Table2[[#This Row],[Space heating demand (MWh)]]</f>
        <v>0</v>
      </c>
      <c r="P576" s="29">
        <v>0</v>
      </c>
      <c r="Q576" s="29">
        <v>0</v>
      </c>
      <c r="S576" s="17">
        <v>0</v>
      </c>
      <c r="T576" s="29">
        <v>0</v>
      </c>
      <c r="V576" s="29">
        <v>0</v>
      </c>
      <c r="X576" s="29">
        <v>0</v>
      </c>
      <c r="Y576" s="29">
        <v>0</v>
      </c>
      <c r="AF576">
        <v>0</v>
      </c>
      <c r="AG576">
        <v>0</v>
      </c>
      <c r="AH576">
        <v>0</v>
      </c>
      <c r="AI576">
        <v>0</v>
      </c>
      <c r="AJ576">
        <v>0</v>
      </c>
      <c r="AK576">
        <v>0</v>
      </c>
      <c r="AL576" t="s">
        <v>214</v>
      </c>
      <c r="AM576">
        <v>0</v>
      </c>
    </row>
    <row r="577" spans="2:39">
      <c r="B577">
        <v>570</v>
      </c>
      <c r="C577" t="s">
        <v>27</v>
      </c>
      <c r="D577" t="s">
        <v>65</v>
      </c>
      <c r="E577" t="s">
        <v>207</v>
      </c>
      <c r="H577" t="s">
        <v>114</v>
      </c>
      <c r="I577" t="s">
        <v>28</v>
      </c>
      <c r="M577" s="29">
        <v>0</v>
      </c>
      <c r="N577" s="29"/>
      <c r="O577" s="29">
        <f>Table2[[#This Row],[Hot water demand (MWh)]]+Table2[[#This Row],[Space heating demand (MWh)]]</f>
        <v>0</v>
      </c>
      <c r="P577" s="29">
        <v>0</v>
      </c>
      <c r="Q577" s="29">
        <v>0</v>
      </c>
      <c r="S577" s="17">
        <v>0</v>
      </c>
      <c r="T577" s="29">
        <v>0</v>
      </c>
      <c r="V577" s="29">
        <v>0</v>
      </c>
      <c r="X577" s="29">
        <v>0</v>
      </c>
      <c r="Y577" s="29">
        <v>0</v>
      </c>
      <c r="AF577">
        <v>0</v>
      </c>
      <c r="AG577">
        <v>0</v>
      </c>
      <c r="AH577">
        <v>0</v>
      </c>
      <c r="AI577">
        <v>0</v>
      </c>
      <c r="AJ577">
        <v>0</v>
      </c>
      <c r="AK577">
        <v>0</v>
      </c>
      <c r="AL577" t="s">
        <v>216</v>
      </c>
      <c r="AM577">
        <v>0</v>
      </c>
    </row>
    <row r="578" spans="2:39">
      <c r="B578">
        <v>571</v>
      </c>
      <c r="C578" t="s">
        <v>27</v>
      </c>
      <c r="D578" t="s">
        <v>66</v>
      </c>
      <c r="E578" t="s">
        <v>207</v>
      </c>
      <c r="H578" t="s">
        <v>115</v>
      </c>
      <c r="I578" t="s">
        <v>28</v>
      </c>
      <c r="M578" s="29">
        <v>0</v>
      </c>
      <c r="N578" s="29"/>
      <c r="O578" s="29">
        <f>Table2[[#This Row],[Hot water demand (MWh)]]+Table2[[#This Row],[Space heating demand (MWh)]]</f>
        <v>0</v>
      </c>
      <c r="P578" s="29">
        <v>0</v>
      </c>
      <c r="Q578" s="29">
        <v>0</v>
      </c>
      <c r="S578" s="17">
        <v>0</v>
      </c>
      <c r="T578" s="29">
        <v>0</v>
      </c>
      <c r="V578" s="29">
        <v>0</v>
      </c>
      <c r="X578" s="29">
        <v>0</v>
      </c>
      <c r="Y578" s="29">
        <v>0</v>
      </c>
      <c r="AF578">
        <v>0</v>
      </c>
      <c r="AG578">
        <v>0</v>
      </c>
      <c r="AH578">
        <v>0</v>
      </c>
      <c r="AI578">
        <v>0</v>
      </c>
      <c r="AJ578">
        <v>0</v>
      </c>
      <c r="AK578">
        <v>0</v>
      </c>
      <c r="AL578" t="s">
        <v>217</v>
      </c>
      <c r="AM578">
        <v>0</v>
      </c>
    </row>
    <row r="579" spans="2:39">
      <c r="B579">
        <v>572</v>
      </c>
      <c r="C579" t="s">
        <v>27</v>
      </c>
      <c r="D579" t="s">
        <v>66</v>
      </c>
      <c r="E579" t="s">
        <v>207</v>
      </c>
      <c r="H579" t="s">
        <v>110</v>
      </c>
      <c r="I579" t="s">
        <v>28</v>
      </c>
      <c r="M579" s="29">
        <v>0</v>
      </c>
      <c r="N579" s="29"/>
      <c r="O579" s="29">
        <f>Table2[[#This Row],[Hot water demand (MWh)]]+Table2[[#This Row],[Space heating demand (MWh)]]</f>
        <v>0</v>
      </c>
      <c r="P579" s="29">
        <v>0</v>
      </c>
      <c r="Q579" s="29">
        <v>0</v>
      </c>
      <c r="S579" s="17">
        <v>0</v>
      </c>
      <c r="T579" s="29">
        <v>0</v>
      </c>
      <c r="V579" s="29">
        <v>0</v>
      </c>
      <c r="X579" s="29">
        <v>0</v>
      </c>
      <c r="Y579" s="29">
        <v>0</v>
      </c>
      <c r="AF579">
        <v>0</v>
      </c>
      <c r="AG579">
        <v>0</v>
      </c>
      <c r="AH579">
        <v>0</v>
      </c>
      <c r="AI579">
        <v>0</v>
      </c>
      <c r="AJ579">
        <v>0</v>
      </c>
      <c r="AK579">
        <v>0</v>
      </c>
      <c r="AL579" t="s">
        <v>212</v>
      </c>
      <c r="AM579">
        <v>0</v>
      </c>
    </row>
    <row r="580" spans="2:39">
      <c r="B580">
        <v>573</v>
      </c>
      <c r="C580" t="s">
        <v>27</v>
      </c>
      <c r="D580" t="s">
        <v>66</v>
      </c>
      <c r="E580" t="s">
        <v>207</v>
      </c>
      <c r="H580" t="s">
        <v>111</v>
      </c>
      <c r="I580" t="s">
        <v>28</v>
      </c>
      <c r="M580" s="29">
        <v>0</v>
      </c>
      <c r="N580" s="29"/>
      <c r="O580" s="29">
        <f>Table2[[#This Row],[Hot water demand (MWh)]]+Table2[[#This Row],[Space heating demand (MWh)]]</f>
        <v>0</v>
      </c>
      <c r="P580" s="29">
        <v>0</v>
      </c>
      <c r="Q580" s="29">
        <v>0</v>
      </c>
      <c r="S580" s="17">
        <v>0</v>
      </c>
      <c r="T580" s="29">
        <v>0</v>
      </c>
      <c r="V580" s="29">
        <v>0</v>
      </c>
      <c r="X580" s="29">
        <v>0</v>
      </c>
      <c r="Y580" s="29">
        <v>0</v>
      </c>
      <c r="AF580">
        <v>0</v>
      </c>
      <c r="AG580">
        <v>0</v>
      </c>
      <c r="AH580">
        <v>0</v>
      </c>
      <c r="AI580">
        <v>0</v>
      </c>
      <c r="AJ580">
        <v>0</v>
      </c>
      <c r="AK580">
        <v>0</v>
      </c>
      <c r="AL580" t="s">
        <v>213</v>
      </c>
      <c r="AM580">
        <v>0</v>
      </c>
    </row>
    <row r="581" spans="2:39">
      <c r="B581">
        <v>574</v>
      </c>
      <c r="C581" t="s">
        <v>27</v>
      </c>
      <c r="D581" t="s">
        <v>66</v>
      </c>
      <c r="E581" t="s">
        <v>207</v>
      </c>
      <c r="H581" t="s">
        <v>116</v>
      </c>
      <c r="I581" t="s">
        <v>28</v>
      </c>
      <c r="M581" s="29">
        <v>0</v>
      </c>
      <c r="N581" s="29"/>
      <c r="O581" s="29">
        <f>Table2[[#This Row],[Hot water demand (MWh)]]+Table2[[#This Row],[Space heating demand (MWh)]]</f>
        <v>0</v>
      </c>
      <c r="P581" s="29">
        <v>0</v>
      </c>
      <c r="Q581" s="29">
        <v>0</v>
      </c>
      <c r="S581" s="17">
        <v>0</v>
      </c>
      <c r="T581" s="29">
        <v>0</v>
      </c>
      <c r="V581" s="29">
        <v>0</v>
      </c>
      <c r="X581" s="29">
        <v>0</v>
      </c>
      <c r="Y581" s="29">
        <v>0</v>
      </c>
      <c r="AF581">
        <v>0</v>
      </c>
      <c r="AG581">
        <v>0</v>
      </c>
      <c r="AH581">
        <v>0</v>
      </c>
      <c r="AI581">
        <v>0</v>
      </c>
      <c r="AJ581">
        <v>0</v>
      </c>
      <c r="AK581">
        <v>0</v>
      </c>
      <c r="AL581" t="s">
        <v>218</v>
      </c>
      <c r="AM581">
        <v>0</v>
      </c>
    </row>
    <row r="582" spans="2:39">
      <c r="B582">
        <v>575</v>
      </c>
      <c r="C582" t="s">
        <v>27</v>
      </c>
      <c r="D582" t="s">
        <v>66</v>
      </c>
      <c r="E582" t="s">
        <v>207</v>
      </c>
      <c r="H582" t="s">
        <v>112</v>
      </c>
      <c r="I582" t="s">
        <v>28</v>
      </c>
      <c r="M582" s="29">
        <v>0</v>
      </c>
      <c r="N582" s="29"/>
      <c r="O582" s="29">
        <f>Table2[[#This Row],[Hot water demand (MWh)]]+Table2[[#This Row],[Space heating demand (MWh)]]</f>
        <v>0</v>
      </c>
      <c r="P582" s="29">
        <v>0</v>
      </c>
      <c r="Q582" s="29">
        <v>0</v>
      </c>
      <c r="S582" s="17">
        <v>0</v>
      </c>
      <c r="T582" s="29">
        <v>0</v>
      </c>
      <c r="V582" s="29">
        <v>0</v>
      </c>
      <c r="X582" s="29">
        <v>0</v>
      </c>
      <c r="Y582" s="29">
        <v>0</v>
      </c>
      <c r="AF582">
        <v>0</v>
      </c>
      <c r="AG582">
        <v>0</v>
      </c>
      <c r="AH582">
        <v>0</v>
      </c>
      <c r="AI582">
        <v>0</v>
      </c>
      <c r="AJ582">
        <v>0</v>
      </c>
      <c r="AK582">
        <v>0</v>
      </c>
      <c r="AL582" t="s">
        <v>214</v>
      </c>
      <c r="AM582">
        <v>0</v>
      </c>
    </row>
    <row r="583" spans="2:39">
      <c r="B583">
        <v>576</v>
      </c>
      <c r="C583" t="s">
        <v>27</v>
      </c>
      <c r="D583" t="s">
        <v>66</v>
      </c>
      <c r="E583" t="s">
        <v>207</v>
      </c>
      <c r="H583" t="s">
        <v>114</v>
      </c>
      <c r="I583" t="s">
        <v>28</v>
      </c>
      <c r="M583" s="29">
        <v>0</v>
      </c>
      <c r="N583" s="29"/>
      <c r="O583" s="29">
        <f>Table2[[#This Row],[Hot water demand (MWh)]]+Table2[[#This Row],[Space heating demand (MWh)]]</f>
        <v>0</v>
      </c>
      <c r="P583" s="29">
        <v>0</v>
      </c>
      <c r="Q583" s="29">
        <v>0</v>
      </c>
      <c r="S583" s="17">
        <v>0</v>
      </c>
      <c r="T583" s="29">
        <v>0</v>
      </c>
      <c r="V583" s="29">
        <v>0</v>
      </c>
      <c r="X583" s="29">
        <v>0</v>
      </c>
      <c r="Y583" s="29">
        <v>0</v>
      </c>
      <c r="AF583">
        <v>0</v>
      </c>
      <c r="AG583">
        <v>0</v>
      </c>
      <c r="AH583">
        <v>0</v>
      </c>
      <c r="AI583">
        <v>0</v>
      </c>
      <c r="AJ583">
        <v>0</v>
      </c>
      <c r="AK583">
        <v>0</v>
      </c>
      <c r="AL583" t="s">
        <v>216</v>
      </c>
      <c r="AM583">
        <v>0</v>
      </c>
    </row>
    <row r="584" spans="2:39">
      <c r="B584">
        <v>577</v>
      </c>
      <c r="C584" t="s">
        <v>27</v>
      </c>
      <c r="D584" t="s">
        <v>67</v>
      </c>
      <c r="E584" t="s">
        <v>207</v>
      </c>
      <c r="H584" t="s">
        <v>110</v>
      </c>
      <c r="I584" t="s">
        <v>28</v>
      </c>
      <c r="M584" s="29">
        <v>0</v>
      </c>
      <c r="N584" s="29"/>
      <c r="O584" s="29">
        <f>Table2[[#This Row],[Hot water demand (MWh)]]+Table2[[#This Row],[Space heating demand (MWh)]]</f>
        <v>0</v>
      </c>
      <c r="P584" s="29">
        <v>0</v>
      </c>
      <c r="Q584" s="29">
        <v>0</v>
      </c>
      <c r="S584" s="17">
        <v>0</v>
      </c>
      <c r="T584" s="29">
        <v>0</v>
      </c>
      <c r="V584" s="29">
        <v>0</v>
      </c>
      <c r="X584" s="29">
        <v>0</v>
      </c>
      <c r="Y584" s="29">
        <v>0</v>
      </c>
      <c r="AF584">
        <v>0</v>
      </c>
      <c r="AG584">
        <v>0</v>
      </c>
      <c r="AH584">
        <v>0</v>
      </c>
      <c r="AI584">
        <v>0</v>
      </c>
      <c r="AJ584">
        <v>0</v>
      </c>
      <c r="AK584">
        <v>0</v>
      </c>
      <c r="AL584" t="s">
        <v>212</v>
      </c>
      <c r="AM584">
        <v>0</v>
      </c>
    </row>
    <row r="585" spans="2:39">
      <c r="B585">
        <v>578</v>
      </c>
      <c r="C585" t="s">
        <v>27</v>
      </c>
      <c r="D585" t="s">
        <v>67</v>
      </c>
      <c r="E585" t="s">
        <v>207</v>
      </c>
      <c r="H585" t="s">
        <v>111</v>
      </c>
      <c r="I585" t="s">
        <v>28</v>
      </c>
      <c r="M585" s="29">
        <v>0</v>
      </c>
      <c r="N585" s="29"/>
      <c r="O585" s="29">
        <f>Table2[[#This Row],[Hot water demand (MWh)]]+Table2[[#This Row],[Space heating demand (MWh)]]</f>
        <v>0</v>
      </c>
      <c r="P585" s="29">
        <v>0</v>
      </c>
      <c r="Q585" s="29">
        <v>0</v>
      </c>
      <c r="S585" s="17">
        <v>0</v>
      </c>
      <c r="T585" s="29">
        <v>0</v>
      </c>
      <c r="V585" s="29">
        <v>0</v>
      </c>
      <c r="X585" s="29">
        <v>0</v>
      </c>
      <c r="Y585" s="29">
        <v>0</v>
      </c>
      <c r="AF585">
        <v>0</v>
      </c>
      <c r="AG585">
        <v>0</v>
      </c>
      <c r="AH585">
        <v>0</v>
      </c>
      <c r="AI585">
        <v>0</v>
      </c>
      <c r="AJ585">
        <v>0</v>
      </c>
      <c r="AK585">
        <v>0</v>
      </c>
      <c r="AL585" t="s">
        <v>213</v>
      </c>
      <c r="AM585">
        <v>0</v>
      </c>
    </row>
    <row r="586" spans="2:39">
      <c r="B586">
        <v>579</v>
      </c>
      <c r="C586" t="s">
        <v>27</v>
      </c>
      <c r="D586" t="s">
        <v>67</v>
      </c>
      <c r="E586" t="s">
        <v>207</v>
      </c>
      <c r="H586" t="s">
        <v>116</v>
      </c>
      <c r="I586" t="s">
        <v>28</v>
      </c>
      <c r="M586" s="29">
        <v>0</v>
      </c>
      <c r="N586" s="29"/>
      <c r="O586" s="29">
        <f>Table2[[#This Row],[Hot water demand (MWh)]]+Table2[[#This Row],[Space heating demand (MWh)]]</f>
        <v>0</v>
      </c>
      <c r="P586" s="29">
        <v>0</v>
      </c>
      <c r="Q586" s="29">
        <v>0</v>
      </c>
      <c r="S586" s="17">
        <v>0</v>
      </c>
      <c r="T586" s="29">
        <v>0</v>
      </c>
      <c r="V586" s="29">
        <v>0</v>
      </c>
      <c r="X586" s="29">
        <v>0</v>
      </c>
      <c r="Y586" s="29">
        <v>0</v>
      </c>
      <c r="AF586">
        <v>0</v>
      </c>
      <c r="AG586">
        <v>0</v>
      </c>
      <c r="AH586">
        <v>0</v>
      </c>
      <c r="AI586">
        <v>0</v>
      </c>
      <c r="AJ586">
        <v>0</v>
      </c>
      <c r="AK586">
        <v>0</v>
      </c>
      <c r="AL586" t="s">
        <v>218</v>
      </c>
      <c r="AM586">
        <v>0</v>
      </c>
    </row>
    <row r="587" spans="2:39">
      <c r="B587">
        <v>580</v>
      </c>
      <c r="C587" t="s">
        <v>27</v>
      </c>
      <c r="D587" t="s">
        <v>67</v>
      </c>
      <c r="E587" t="s">
        <v>207</v>
      </c>
      <c r="H587" t="s">
        <v>112</v>
      </c>
      <c r="I587" t="s">
        <v>28</v>
      </c>
      <c r="M587" s="29">
        <v>0</v>
      </c>
      <c r="N587" s="29"/>
      <c r="O587" s="29">
        <f>Table2[[#This Row],[Hot water demand (MWh)]]+Table2[[#This Row],[Space heating demand (MWh)]]</f>
        <v>0</v>
      </c>
      <c r="P587" s="29">
        <v>0</v>
      </c>
      <c r="Q587" s="29">
        <v>0</v>
      </c>
      <c r="S587" s="17">
        <v>0</v>
      </c>
      <c r="T587" s="29">
        <v>0</v>
      </c>
      <c r="V587" s="29">
        <v>0</v>
      </c>
      <c r="X587" s="29">
        <v>0</v>
      </c>
      <c r="Y587" s="29">
        <v>0</v>
      </c>
      <c r="AF587">
        <v>0</v>
      </c>
      <c r="AG587">
        <v>0</v>
      </c>
      <c r="AH587">
        <v>0</v>
      </c>
      <c r="AI587">
        <v>0</v>
      </c>
      <c r="AJ587">
        <v>0</v>
      </c>
      <c r="AK587">
        <v>0</v>
      </c>
      <c r="AL587" t="s">
        <v>214</v>
      </c>
      <c r="AM587">
        <v>0</v>
      </c>
    </row>
    <row r="588" spans="2:39">
      <c r="B588">
        <v>581</v>
      </c>
      <c r="C588" t="s">
        <v>27</v>
      </c>
      <c r="D588" t="s">
        <v>67</v>
      </c>
      <c r="E588" t="s">
        <v>207</v>
      </c>
      <c r="H588" t="s">
        <v>114</v>
      </c>
      <c r="I588" t="s">
        <v>28</v>
      </c>
      <c r="M588" s="29">
        <v>0</v>
      </c>
      <c r="N588" s="29"/>
      <c r="O588" s="29">
        <f>Table2[[#This Row],[Hot water demand (MWh)]]+Table2[[#This Row],[Space heating demand (MWh)]]</f>
        <v>0</v>
      </c>
      <c r="P588" s="29">
        <v>0</v>
      </c>
      <c r="Q588" s="29">
        <v>0</v>
      </c>
      <c r="S588" s="17">
        <v>0</v>
      </c>
      <c r="T588" s="29">
        <v>0</v>
      </c>
      <c r="V588" s="29">
        <v>0</v>
      </c>
      <c r="X588" s="29">
        <v>0</v>
      </c>
      <c r="Y588" s="29">
        <v>0</v>
      </c>
      <c r="AF588">
        <v>0</v>
      </c>
      <c r="AG588">
        <v>0</v>
      </c>
      <c r="AH588">
        <v>0</v>
      </c>
      <c r="AI588">
        <v>0</v>
      </c>
      <c r="AJ588">
        <v>0</v>
      </c>
      <c r="AK588">
        <v>0</v>
      </c>
      <c r="AL588" t="s">
        <v>216</v>
      </c>
      <c r="AM588">
        <v>0</v>
      </c>
    </row>
    <row r="589" spans="2:39">
      <c r="B589">
        <v>582</v>
      </c>
      <c r="C589" t="s">
        <v>27</v>
      </c>
      <c r="D589" t="s">
        <v>59</v>
      </c>
      <c r="E589" t="s">
        <v>207</v>
      </c>
      <c r="H589" t="s">
        <v>117</v>
      </c>
      <c r="I589" t="s">
        <v>31</v>
      </c>
      <c r="M589" s="29">
        <v>314.34636439742536</v>
      </c>
      <c r="N589" s="29"/>
      <c r="O589" s="29">
        <f>Table2[[#This Row],[Hot water demand (MWh)]]+Table2[[#This Row],[Space heating demand (MWh)]]</f>
        <v>314.34636439742536</v>
      </c>
      <c r="P589" s="29">
        <v>-34.392507749606139</v>
      </c>
      <c r="Q589" s="29">
        <v>0.29763528410567652</v>
      </c>
      <c r="S589" s="17">
        <v>1.851101589848221</v>
      </c>
      <c r="T589" s="29">
        <v>341.68083086676671</v>
      </c>
      <c r="V589" s="29">
        <v>341.68083086676671</v>
      </c>
      <c r="X589" s="29">
        <v>0.29763528410567652</v>
      </c>
      <c r="Y589" s="29">
        <v>-34.392507749606139</v>
      </c>
      <c r="AF589">
        <v>0.74044063593928833</v>
      </c>
      <c r="AG589">
        <v>314.34636439742536</v>
      </c>
      <c r="AH589">
        <v>0</v>
      </c>
      <c r="AI589">
        <v>314.34636439742536</v>
      </c>
      <c r="AJ589">
        <v>0</v>
      </c>
      <c r="AK589">
        <v>0</v>
      </c>
      <c r="AL589" t="s">
        <v>212</v>
      </c>
      <c r="AM589">
        <v>29.763528410567652</v>
      </c>
    </row>
    <row r="590" spans="2:39">
      <c r="B590">
        <v>583</v>
      </c>
      <c r="C590" t="s">
        <v>27</v>
      </c>
      <c r="D590" t="s">
        <v>59</v>
      </c>
      <c r="E590" t="s">
        <v>207</v>
      </c>
      <c r="H590" t="s">
        <v>118</v>
      </c>
      <c r="I590" t="s">
        <v>31</v>
      </c>
      <c r="M590" s="29">
        <v>0</v>
      </c>
      <c r="N590" s="29"/>
      <c r="O590" s="29">
        <f>Table2[[#This Row],[Hot water demand (MWh)]]+Table2[[#This Row],[Space heating demand (MWh)]]</f>
        <v>0</v>
      </c>
      <c r="P590" s="29">
        <v>0</v>
      </c>
      <c r="Q590" s="29">
        <v>0</v>
      </c>
      <c r="S590" s="17">
        <v>0</v>
      </c>
      <c r="T590" s="29">
        <v>0</v>
      </c>
      <c r="V590" s="29">
        <v>0</v>
      </c>
      <c r="X590" s="29">
        <v>0</v>
      </c>
      <c r="Y590" s="29">
        <v>0</v>
      </c>
      <c r="AF590">
        <v>0</v>
      </c>
      <c r="AG590">
        <v>0</v>
      </c>
      <c r="AH590">
        <v>0</v>
      </c>
      <c r="AI590">
        <v>0</v>
      </c>
      <c r="AJ590">
        <v>0</v>
      </c>
      <c r="AK590">
        <v>0</v>
      </c>
      <c r="AL590" t="s">
        <v>213</v>
      </c>
      <c r="AM590">
        <v>0</v>
      </c>
    </row>
    <row r="591" spans="2:39">
      <c r="B591">
        <v>584</v>
      </c>
      <c r="C591" t="s">
        <v>27</v>
      </c>
      <c r="D591" t="s">
        <v>59</v>
      </c>
      <c r="E591" t="s">
        <v>207</v>
      </c>
      <c r="H591" t="s">
        <v>119</v>
      </c>
      <c r="I591" t="s">
        <v>31</v>
      </c>
      <c r="M591" s="29">
        <v>435.64305935512755</v>
      </c>
      <c r="N591" s="29"/>
      <c r="O591" s="29">
        <f>Table2[[#This Row],[Hot water demand (MWh)]]+Table2[[#This Row],[Space heating demand (MWh)]]</f>
        <v>435.64305935512755</v>
      </c>
      <c r="P591" s="29">
        <v>-51.588761624409216</v>
      </c>
      <c r="Q591" s="29">
        <v>0.44645292615851462</v>
      </c>
      <c r="S591" s="17">
        <v>1.851101589848221</v>
      </c>
      <c r="T591" s="29">
        <v>512.5212463001501</v>
      </c>
      <c r="V591" s="29">
        <v>512.5212463001501</v>
      </c>
      <c r="X591" s="29">
        <v>0.44645292615851462</v>
      </c>
      <c r="Y591" s="29">
        <v>-51.588761624409216</v>
      </c>
      <c r="AF591">
        <v>1.1106609539089327</v>
      </c>
      <c r="AG591">
        <v>435.64305935512755</v>
      </c>
      <c r="AH591">
        <v>435.64305935512755</v>
      </c>
      <c r="AI591">
        <v>0</v>
      </c>
      <c r="AJ591">
        <v>0</v>
      </c>
      <c r="AK591">
        <v>0</v>
      </c>
      <c r="AL591" t="s">
        <v>214</v>
      </c>
      <c r="AM591">
        <v>44.64529261585146</v>
      </c>
    </row>
    <row r="592" spans="2:39">
      <c r="B592">
        <v>585</v>
      </c>
      <c r="C592" t="s">
        <v>27</v>
      </c>
      <c r="D592" t="s">
        <v>60</v>
      </c>
      <c r="E592" t="s">
        <v>207</v>
      </c>
      <c r="H592" t="s">
        <v>120</v>
      </c>
      <c r="I592" t="s">
        <v>31</v>
      </c>
      <c r="M592" s="29">
        <v>0</v>
      </c>
      <c r="N592" s="29"/>
      <c r="O592" s="29">
        <f>Table2[[#This Row],[Hot water demand (MWh)]]+Table2[[#This Row],[Space heating demand (MWh)]]</f>
        <v>0</v>
      </c>
      <c r="P592" s="29">
        <v>0</v>
      </c>
      <c r="Q592" s="29">
        <v>0</v>
      </c>
      <c r="S592" s="17">
        <v>0</v>
      </c>
      <c r="T592" s="29">
        <v>0</v>
      </c>
      <c r="V592" s="29">
        <v>0</v>
      </c>
      <c r="X592" s="29">
        <v>0</v>
      </c>
      <c r="Y592" s="29">
        <v>0</v>
      </c>
      <c r="AF592">
        <v>0</v>
      </c>
      <c r="AG592">
        <v>0</v>
      </c>
      <c r="AH592">
        <v>0</v>
      </c>
      <c r="AI592">
        <v>0</v>
      </c>
      <c r="AJ592">
        <v>0</v>
      </c>
      <c r="AK592">
        <v>0</v>
      </c>
      <c r="AL592" t="s">
        <v>215</v>
      </c>
      <c r="AM592">
        <v>0</v>
      </c>
    </row>
    <row r="593" spans="2:39">
      <c r="B593">
        <v>586</v>
      </c>
      <c r="C593" t="s">
        <v>27</v>
      </c>
      <c r="D593" t="s">
        <v>60</v>
      </c>
      <c r="E593" t="s">
        <v>207</v>
      </c>
      <c r="H593" t="s">
        <v>119</v>
      </c>
      <c r="I593" t="s">
        <v>31</v>
      </c>
      <c r="M593" s="29">
        <v>0</v>
      </c>
      <c r="N593" s="29"/>
      <c r="O593" s="29">
        <f>Table2[[#This Row],[Hot water demand (MWh)]]+Table2[[#This Row],[Space heating demand (MWh)]]</f>
        <v>0</v>
      </c>
      <c r="P593" s="29">
        <v>0</v>
      </c>
      <c r="Q593" s="29">
        <v>0</v>
      </c>
      <c r="S593" s="17">
        <v>0</v>
      </c>
      <c r="T593" s="29">
        <v>0</v>
      </c>
      <c r="V593" s="29">
        <v>0</v>
      </c>
      <c r="X593" s="29">
        <v>0</v>
      </c>
      <c r="Y593" s="29">
        <v>0</v>
      </c>
      <c r="AF593">
        <v>0</v>
      </c>
      <c r="AG593">
        <v>0</v>
      </c>
      <c r="AH593">
        <v>0</v>
      </c>
      <c r="AI593">
        <v>0</v>
      </c>
      <c r="AJ593">
        <v>0</v>
      </c>
      <c r="AK593">
        <v>0</v>
      </c>
      <c r="AL593" t="s">
        <v>214</v>
      </c>
      <c r="AM593">
        <v>0</v>
      </c>
    </row>
    <row r="594" spans="2:39">
      <c r="B594">
        <v>587</v>
      </c>
      <c r="C594" t="s">
        <v>27</v>
      </c>
      <c r="D594" t="s">
        <v>60</v>
      </c>
      <c r="E594" t="s">
        <v>207</v>
      </c>
      <c r="H594" t="s">
        <v>121</v>
      </c>
      <c r="I594" t="s">
        <v>31</v>
      </c>
      <c r="M594" s="29">
        <v>0</v>
      </c>
      <c r="N594" s="29"/>
      <c r="O594" s="29">
        <f>Table2[[#This Row],[Hot water demand (MWh)]]+Table2[[#This Row],[Space heating demand (MWh)]]</f>
        <v>0</v>
      </c>
      <c r="P594" s="29">
        <v>0</v>
      </c>
      <c r="Q594" s="29">
        <v>0</v>
      </c>
      <c r="S594" s="17">
        <v>0</v>
      </c>
      <c r="T594" s="29">
        <v>0</v>
      </c>
      <c r="V594" s="29">
        <v>0</v>
      </c>
      <c r="X594" s="29">
        <v>0</v>
      </c>
      <c r="Y594" s="29">
        <v>0</v>
      </c>
      <c r="AF594">
        <v>0</v>
      </c>
      <c r="AG594">
        <v>0</v>
      </c>
      <c r="AH594">
        <v>0</v>
      </c>
      <c r="AI594">
        <v>0</v>
      </c>
      <c r="AJ594">
        <v>0</v>
      </c>
      <c r="AK594">
        <v>0</v>
      </c>
      <c r="AL594" t="s">
        <v>216</v>
      </c>
      <c r="AM594">
        <v>0</v>
      </c>
    </row>
    <row r="595" spans="2:39">
      <c r="B595">
        <v>588</v>
      </c>
      <c r="C595" t="s">
        <v>27</v>
      </c>
      <c r="D595" t="s">
        <v>61</v>
      </c>
      <c r="E595" t="s">
        <v>207</v>
      </c>
      <c r="H595" t="s">
        <v>117</v>
      </c>
      <c r="I595" t="s">
        <v>31</v>
      </c>
      <c r="M595" s="29">
        <v>0</v>
      </c>
      <c r="N595" s="29"/>
      <c r="O595" s="29">
        <f>Table2[[#This Row],[Hot water demand (MWh)]]+Table2[[#This Row],[Space heating demand (MWh)]]</f>
        <v>0</v>
      </c>
      <c r="P595" s="29">
        <v>0</v>
      </c>
      <c r="Q595" s="29">
        <v>0</v>
      </c>
      <c r="S595" s="17">
        <v>0</v>
      </c>
      <c r="T595" s="29">
        <v>0</v>
      </c>
      <c r="V595" s="29">
        <v>0</v>
      </c>
      <c r="X595" s="29">
        <v>0</v>
      </c>
      <c r="Y595" s="29">
        <v>0</v>
      </c>
      <c r="AF595">
        <v>0</v>
      </c>
      <c r="AG595">
        <v>0</v>
      </c>
      <c r="AH595">
        <v>0</v>
      </c>
      <c r="AI595">
        <v>0</v>
      </c>
      <c r="AJ595">
        <v>0</v>
      </c>
      <c r="AK595">
        <v>0</v>
      </c>
      <c r="AL595" t="s">
        <v>212</v>
      </c>
      <c r="AM595">
        <v>0</v>
      </c>
    </row>
    <row r="596" spans="2:39">
      <c r="B596">
        <v>589</v>
      </c>
      <c r="C596" t="s">
        <v>27</v>
      </c>
      <c r="D596" t="s">
        <v>61</v>
      </c>
      <c r="E596" t="s">
        <v>207</v>
      </c>
      <c r="H596" t="s">
        <v>118</v>
      </c>
      <c r="I596" t="s">
        <v>31</v>
      </c>
      <c r="M596" s="29">
        <v>0</v>
      </c>
      <c r="N596" s="29"/>
      <c r="O596" s="29">
        <f>Table2[[#This Row],[Hot water demand (MWh)]]+Table2[[#This Row],[Space heating demand (MWh)]]</f>
        <v>0</v>
      </c>
      <c r="P596" s="29">
        <v>0</v>
      </c>
      <c r="Q596" s="29">
        <v>0</v>
      </c>
      <c r="S596" s="17">
        <v>0</v>
      </c>
      <c r="T596" s="29">
        <v>0</v>
      </c>
      <c r="V596" s="29">
        <v>0</v>
      </c>
      <c r="X596" s="29">
        <v>0</v>
      </c>
      <c r="Y596" s="29">
        <v>0</v>
      </c>
      <c r="AF596">
        <v>0</v>
      </c>
      <c r="AG596">
        <v>0</v>
      </c>
      <c r="AH596">
        <v>0</v>
      </c>
      <c r="AI596">
        <v>0</v>
      </c>
      <c r="AJ596">
        <v>0</v>
      </c>
      <c r="AK596">
        <v>0</v>
      </c>
      <c r="AL596" t="s">
        <v>213</v>
      </c>
      <c r="AM596">
        <v>0</v>
      </c>
    </row>
    <row r="597" spans="2:39">
      <c r="B597">
        <v>590</v>
      </c>
      <c r="C597" t="s">
        <v>27</v>
      </c>
      <c r="D597" t="s">
        <v>61</v>
      </c>
      <c r="E597" t="s">
        <v>207</v>
      </c>
      <c r="H597" t="s">
        <v>119</v>
      </c>
      <c r="I597" t="s">
        <v>31</v>
      </c>
      <c r="M597" s="29">
        <v>0</v>
      </c>
      <c r="N597" s="29"/>
      <c r="O597" s="29">
        <f>Table2[[#This Row],[Hot water demand (MWh)]]+Table2[[#This Row],[Space heating demand (MWh)]]</f>
        <v>0</v>
      </c>
      <c r="P597" s="29">
        <v>0</v>
      </c>
      <c r="Q597" s="29">
        <v>0</v>
      </c>
      <c r="S597" s="17">
        <v>0</v>
      </c>
      <c r="T597" s="29">
        <v>0</v>
      </c>
      <c r="V597" s="29">
        <v>0</v>
      </c>
      <c r="X597" s="29">
        <v>0</v>
      </c>
      <c r="Y597" s="29">
        <v>0</v>
      </c>
      <c r="AF597">
        <v>0</v>
      </c>
      <c r="AG597">
        <v>0</v>
      </c>
      <c r="AH597">
        <v>0</v>
      </c>
      <c r="AI597">
        <v>0</v>
      </c>
      <c r="AJ597">
        <v>0</v>
      </c>
      <c r="AK597">
        <v>0</v>
      </c>
      <c r="AL597" t="s">
        <v>214</v>
      </c>
      <c r="AM597">
        <v>0</v>
      </c>
    </row>
    <row r="598" spans="2:39">
      <c r="B598">
        <v>591</v>
      </c>
      <c r="C598" t="s">
        <v>27</v>
      </c>
      <c r="D598" t="s">
        <v>62</v>
      </c>
      <c r="E598" t="s">
        <v>207</v>
      </c>
      <c r="H598" t="s">
        <v>117</v>
      </c>
      <c r="I598" t="s">
        <v>31</v>
      </c>
      <c r="M598" s="29">
        <v>0</v>
      </c>
      <c r="N598" s="29"/>
      <c r="O598" s="29">
        <f>Table2[[#This Row],[Hot water demand (MWh)]]+Table2[[#This Row],[Space heating demand (MWh)]]</f>
        <v>0</v>
      </c>
      <c r="P598" s="29">
        <v>0</v>
      </c>
      <c r="Q598" s="29">
        <v>0</v>
      </c>
      <c r="S598" s="17">
        <v>0</v>
      </c>
      <c r="T598" s="29">
        <v>0</v>
      </c>
      <c r="V598" s="29">
        <v>0</v>
      </c>
      <c r="X598" s="29">
        <v>0</v>
      </c>
      <c r="Y598" s="29">
        <v>0</v>
      </c>
      <c r="AF598">
        <v>0</v>
      </c>
      <c r="AG598">
        <v>0</v>
      </c>
      <c r="AH598">
        <v>0</v>
      </c>
      <c r="AI598">
        <v>0</v>
      </c>
      <c r="AJ598">
        <v>0</v>
      </c>
      <c r="AK598">
        <v>0</v>
      </c>
      <c r="AL598" t="s">
        <v>212</v>
      </c>
      <c r="AM598">
        <v>0</v>
      </c>
    </row>
    <row r="599" spans="2:39">
      <c r="B599">
        <v>592</v>
      </c>
      <c r="C599" t="s">
        <v>27</v>
      </c>
      <c r="D599" t="s">
        <v>62</v>
      </c>
      <c r="E599" t="s">
        <v>207</v>
      </c>
      <c r="H599" t="s">
        <v>121</v>
      </c>
      <c r="I599" t="s">
        <v>31</v>
      </c>
      <c r="M599" s="29">
        <v>0</v>
      </c>
      <c r="N599" s="29"/>
      <c r="O599" s="29">
        <f>Table2[[#This Row],[Hot water demand (MWh)]]+Table2[[#This Row],[Space heating demand (MWh)]]</f>
        <v>0</v>
      </c>
      <c r="P599" s="29">
        <v>0</v>
      </c>
      <c r="Q599" s="29">
        <v>0</v>
      </c>
      <c r="S599" s="17">
        <v>0</v>
      </c>
      <c r="T599" s="29">
        <v>0</v>
      </c>
      <c r="V599" s="29">
        <v>0</v>
      </c>
      <c r="X599" s="29">
        <v>0</v>
      </c>
      <c r="Y599" s="29">
        <v>0</v>
      </c>
      <c r="AF599">
        <v>0</v>
      </c>
      <c r="AG599">
        <v>0</v>
      </c>
      <c r="AH599">
        <v>0</v>
      </c>
      <c r="AI599">
        <v>0</v>
      </c>
      <c r="AJ599">
        <v>0</v>
      </c>
      <c r="AK599">
        <v>0</v>
      </c>
      <c r="AL599" t="s">
        <v>216</v>
      </c>
      <c r="AM599">
        <v>0</v>
      </c>
    </row>
    <row r="600" spans="2:39">
      <c r="B600">
        <v>593</v>
      </c>
      <c r="C600" t="s">
        <v>27</v>
      </c>
      <c r="D600" t="s">
        <v>63</v>
      </c>
      <c r="E600" t="s">
        <v>207</v>
      </c>
      <c r="H600" t="s">
        <v>122</v>
      </c>
      <c r="I600" t="s">
        <v>31</v>
      </c>
      <c r="M600" s="29">
        <v>0</v>
      </c>
      <c r="N600" s="29"/>
      <c r="O600" s="29">
        <f>Table2[[#This Row],[Hot water demand (MWh)]]+Table2[[#This Row],[Space heating demand (MWh)]]</f>
        <v>0</v>
      </c>
      <c r="P600" s="29">
        <v>0</v>
      </c>
      <c r="Q600" s="29">
        <v>0</v>
      </c>
      <c r="S600" s="17">
        <v>0</v>
      </c>
      <c r="T600" s="29">
        <v>0</v>
      </c>
      <c r="V600" s="29">
        <v>0</v>
      </c>
      <c r="X600" s="29">
        <v>0</v>
      </c>
      <c r="Y600" s="29">
        <v>0</v>
      </c>
      <c r="AF600">
        <v>0</v>
      </c>
      <c r="AG600">
        <v>0</v>
      </c>
      <c r="AH600">
        <v>0</v>
      </c>
      <c r="AI600">
        <v>0</v>
      </c>
      <c r="AJ600">
        <v>0</v>
      </c>
      <c r="AK600">
        <v>0</v>
      </c>
      <c r="AL600" t="s">
        <v>217</v>
      </c>
      <c r="AM600">
        <v>0</v>
      </c>
    </row>
    <row r="601" spans="2:39">
      <c r="B601">
        <v>594</v>
      </c>
      <c r="C601" t="s">
        <v>27</v>
      </c>
      <c r="D601" t="s">
        <v>63</v>
      </c>
      <c r="E601" t="s">
        <v>207</v>
      </c>
      <c r="H601" t="s">
        <v>117</v>
      </c>
      <c r="I601" t="s">
        <v>31</v>
      </c>
      <c r="M601" s="29">
        <v>0</v>
      </c>
      <c r="N601" s="29"/>
      <c r="O601" s="29">
        <f>Table2[[#This Row],[Hot water demand (MWh)]]+Table2[[#This Row],[Space heating demand (MWh)]]</f>
        <v>0</v>
      </c>
      <c r="P601" s="29">
        <v>0</v>
      </c>
      <c r="Q601" s="29">
        <v>0</v>
      </c>
      <c r="S601" s="17">
        <v>0</v>
      </c>
      <c r="T601" s="29">
        <v>0</v>
      </c>
      <c r="V601" s="29">
        <v>0</v>
      </c>
      <c r="X601" s="29">
        <v>0</v>
      </c>
      <c r="Y601" s="29">
        <v>0</v>
      </c>
      <c r="AF601">
        <v>0</v>
      </c>
      <c r="AG601">
        <v>0</v>
      </c>
      <c r="AH601">
        <v>0</v>
      </c>
      <c r="AI601">
        <v>0</v>
      </c>
      <c r="AJ601">
        <v>0</v>
      </c>
      <c r="AK601">
        <v>0</v>
      </c>
      <c r="AL601" t="s">
        <v>212</v>
      </c>
      <c r="AM601">
        <v>0</v>
      </c>
    </row>
    <row r="602" spans="2:39">
      <c r="B602">
        <v>595</v>
      </c>
      <c r="C602" t="s">
        <v>27</v>
      </c>
      <c r="D602" t="s">
        <v>63</v>
      </c>
      <c r="E602" t="s">
        <v>207</v>
      </c>
      <c r="H602" t="s">
        <v>121</v>
      </c>
      <c r="I602" t="s">
        <v>31</v>
      </c>
      <c r="M602" s="29">
        <v>0</v>
      </c>
      <c r="N602" s="29"/>
      <c r="O602" s="29">
        <f>Table2[[#This Row],[Hot water demand (MWh)]]+Table2[[#This Row],[Space heating demand (MWh)]]</f>
        <v>0</v>
      </c>
      <c r="P602" s="29">
        <v>0</v>
      </c>
      <c r="Q602" s="29">
        <v>0</v>
      </c>
      <c r="S602" s="17">
        <v>0</v>
      </c>
      <c r="T602" s="29">
        <v>0</v>
      </c>
      <c r="V602" s="29">
        <v>0</v>
      </c>
      <c r="X602" s="29">
        <v>0</v>
      </c>
      <c r="Y602" s="29">
        <v>0</v>
      </c>
      <c r="AF602">
        <v>0</v>
      </c>
      <c r="AG602">
        <v>0</v>
      </c>
      <c r="AH602">
        <v>0</v>
      </c>
      <c r="AI602">
        <v>0</v>
      </c>
      <c r="AJ602">
        <v>0</v>
      </c>
      <c r="AK602">
        <v>0</v>
      </c>
      <c r="AL602" t="s">
        <v>216</v>
      </c>
      <c r="AM602">
        <v>0</v>
      </c>
    </row>
    <row r="603" spans="2:39">
      <c r="B603">
        <v>596</v>
      </c>
      <c r="C603" t="s">
        <v>27</v>
      </c>
      <c r="D603" t="s">
        <v>64</v>
      </c>
      <c r="E603" t="s">
        <v>207</v>
      </c>
      <c r="H603" t="s">
        <v>117</v>
      </c>
      <c r="I603" t="s">
        <v>31</v>
      </c>
      <c r="M603" s="29">
        <v>0</v>
      </c>
      <c r="N603" s="29"/>
      <c r="O603" s="29">
        <f>Table2[[#This Row],[Hot water demand (MWh)]]+Table2[[#This Row],[Space heating demand (MWh)]]</f>
        <v>0</v>
      </c>
      <c r="P603" s="29">
        <v>0</v>
      </c>
      <c r="Q603" s="29">
        <v>0</v>
      </c>
      <c r="S603" s="17">
        <v>0</v>
      </c>
      <c r="T603" s="29">
        <v>0</v>
      </c>
      <c r="V603" s="29">
        <v>0</v>
      </c>
      <c r="X603" s="29">
        <v>0</v>
      </c>
      <c r="Y603" s="29">
        <v>0</v>
      </c>
      <c r="AF603">
        <v>0</v>
      </c>
      <c r="AG603">
        <v>0</v>
      </c>
      <c r="AH603">
        <v>0</v>
      </c>
      <c r="AI603">
        <v>0</v>
      </c>
      <c r="AJ603">
        <v>0</v>
      </c>
      <c r="AK603">
        <v>0</v>
      </c>
      <c r="AL603" t="s">
        <v>212</v>
      </c>
      <c r="AM603">
        <v>0</v>
      </c>
    </row>
    <row r="604" spans="2:39">
      <c r="B604">
        <v>597</v>
      </c>
      <c r="C604" t="s">
        <v>27</v>
      </c>
      <c r="D604" t="s">
        <v>64</v>
      </c>
      <c r="E604" t="s">
        <v>207</v>
      </c>
      <c r="H604" t="s">
        <v>118</v>
      </c>
      <c r="I604" t="s">
        <v>31</v>
      </c>
      <c r="M604" s="29">
        <v>0</v>
      </c>
      <c r="N604" s="29"/>
      <c r="O604" s="29">
        <f>Table2[[#This Row],[Hot water demand (MWh)]]+Table2[[#This Row],[Space heating demand (MWh)]]</f>
        <v>0</v>
      </c>
      <c r="P604" s="29">
        <v>0</v>
      </c>
      <c r="Q604" s="29">
        <v>0</v>
      </c>
      <c r="S604" s="17">
        <v>0</v>
      </c>
      <c r="T604" s="29">
        <v>0</v>
      </c>
      <c r="V604" s="29">
        <v>0</v>
      </c>
      <c r="X604" s="29">
        <v>0</v>
      </c>
      <c r="Y604" s="29">
        <v>0</v>
      </c>
      <c r="AF604">
        <v>0</v>
      </c>
      <c r="AG604">
        <v>0</v>
      </c>
      <c r="AH604">
        <v>0</v>
      </c>
      <c r="AI604">
        <v>0</v>
      </c>
      <c r="AJ604">
        <v>0</v>
      </c>
      <c r="AK604">
        <v>0</v>
      </c>
      <c r="AL604" t="s">
        <v>213</v>
      </c>
      <c r="AM604">
        <v>0</v>
      </c>
    </row>
    <row r="605" spans="2:39">
      <c r="B605">
        <v>598</v>
      </c>
      <c r="C605" t="s">
        <v>27</v>
      </c>
      <c r="D605" t="s">
        <v>64</v>
      </c>
      <c r="E605" t="s">
        <v>207</v>
      </c>
      <c r="H605" t="s">
        <v>123</v>
      </c>
      <c r="I605" t="s">
        <v>31</v>
      </c>
      <c r="M605" s="29">
        <v>0</v>
      </c>
      <c r="N605" s="29"/>
      <c r="O605" s="29">
        <f>Table2[[#This Row],[Hot water demand (MWh)]]+Table2[[#This Row],[Space heating demand (MWh)]]</f>
        <v>0</v>
      </c>
      <c r="P605" s="29">
        <v>0</v>
      </c>
      <c r="Q605" s="29">
        <v>0</v>
      </c>
      <c r="S605" s="17">
        <v>0</v>
      </c>
      <c r="T605" s="29">
        <v>0</v>
      </c>
      <c r="V605" s="29">
        <v>0</v>
      </c>
      <c r="X605" s="29">
        <v>0</v>
      </c>
      <c r="Y605" s="29">
        <v>0</v>
      </c>
      <c r="AF605">
        <v>0</v>
      </c>
      <c r="AG605">
        <v>0</v>
      </c>
      <c r="AH605">
        <v>0</v>
      </c>
      <c r="AI605">
        <v>0</v>
      </c>
      <c r="AJ605">
        <v>0</v>
      </c>
      <c r="AK605">
        <v>0</v>
      </c>
      <c r="AL605" t="s">
        <v>218</v>
      </c>
      <c r="AM605">
        <v>0</v>
      </c>
    </row>
    <row r="606" spans="2:39">
      <c r="B606">
        <v>599</v>
      </c>
      <c r="C606" t="s">
        <v>27</v>
      </c>
      <c r="D606" t="s">
        <v>64</v>
      </c>
      <c r="E606" t="s">
        <v>207</v>
      </c>
      <c r="H606" t="s">
        <v>121</v>
      </c>
      <c r="I606" t="s">
        <v>31</v>
      </c>
      <c r="M606" s="29">
        <v>0</v>
      </c>
      <c r="N606" s="29"/>
      <c r="O606" s="29">
        <f>Table2[[#This Row],[Hot water demand (MWh)]]+Table2[[#This Row],[Space heating demand (MWh)]]</f>
        <v>0</v>
      </c>
      <c r="P606" s="29">
        <v>0</v>
      </c>
      <c r="Q606" s="29">
        <v>0</v>
      </c>
      <c r="S606" s="17">
        <v>0</v>
      </c>
      <c r="T606" s="29">
        <v>0</v>
      </c>
      <c r="V606" s="29">
        <v>0</v>
      </c>
      <c r="X606" s="29">
        <v>0</v>
      </c>
      <c r="Y606" s="29">
        <v>0</v>
      </c>
      <c r="AF606">
        <v>0</v>
      </c>
      <c r="AG606">
        <v>0</v>
      </c>
      <c r="AH606">
        <v>0</v>
      </c>
      <c r="AI606">
        <v>0</v>
      </c>
      <c r="AJ606">
        <v>0</v>
      </c>
      <c r="AK606">
        <v>0</v>
      </c>
      <c r="AL606" t="s">
        <v>216</v>
      </c>
      <c r="AM606">
        <v>0</v>
      </c>
    </row>
    <row r="607" spans="2:39">
      <c r="B607">
        <v>600</v>
      </c>
      <c r="C607" t="s">
        <v>27</v>
      </c>
      <c r="D607" t="s">
        <v>65</v>
      </c>
      <c r="E607" t="s">
        <v>207</v>
      </c>
      <c r="H607" t="s">
        <v>120</v>
      </c>
      <c r="I607" t="s">
        <v>31</v>
      </c>
      <c r="M607" s="29">
        <v>0</v>
      </c>
      <c r="N607" s="29"/>
      <c r="O607" s="29">
        <f>Table2[[#This Row],[Hot water demand (MWh)]]+Table2[[#This Row],[Space heating demand (MWh)]]</f>
        <v>0</v>
      </c>
      <c r="P607" s="29">
        <v>0</v>
      </c>
      <c r="Q607" s="29">
        <v>0</v>
      </c>
      <c r="S607" s="17">
        <v>0</v>
      </c>
      <c r="T607" s="29">
        <v>0</v>
      </c>
      <c r="V607" s="29">
        <v>0</v>
      </c>
      <c r="X607" s="29">
        <v>0</v>
      </c>
      <c r="Y607" s="29">
        <v>0</v>
      </c>
      <c r="AF607">
        <v>0</v>
      </c>
      <c r="AG607">
        <v>0</v>
      </c>
      <c r="AH607">
        <v>0</v>
      </c>
      <c r="AI607">
        <v>0</v>
      </c>
      <c r="AJ607">
        <v>0</v>
      </c>
      <c r="AK607">
        <v>0</v>
      </c>
      <c r="AL607" t="s">
        <v>215</v>
      </c>
      <c r="AM607">
        <v>0</v>
      </c>
    </row>
    <row r="608" spans="2:39">
      <c r="B608">
        <v>601</v>
      </c>
      <c r="C608" t="s">
        <v>27</v>
      </c>
      <c r="D608" t="s">
        <v>65</v>
      </c>
      <c r="E608" t="s">
        <v>207</v>
      </c>
      <c r="H608" t="s">
        <v>122</v>
      </c>
      <c r="I608" t="s">
        <v>31</v>
      </c>
      <c r="M608" s="29">
        <v>0</v>
      </c>
      <c r="N608" s="29"/>
      <c r="O608" s="29">
        <f>Table2[[#This Row],[Hot water demand (MWh)]]+Table2[[#This Row],[Space heating demand (MWh)]]</f>
        <v>0</v>
      </c>
      <c r="P608" s="29">
        <v>0</v>
      </c>
      <c r="Q608" s="29">
        <v>0</v>
      </c>
      <c r="S608" s="17">
        <v>0</v>
      </c>
      <c r="T608" s="29">
        <v>0</v>
      </c>
      <c r="V608" s="29">
        <v>0</v>
      </c>
      <c r="X608" s="29">
        <v>0</v>
      </c>
      <c r="Y608" s="29">
        <v>0</v>
      </c>
      <c r="AF608">
        <v>0</v>
      </c>
      <c r="AG608">
        <v>0</v>
      </c>
      <c r="AH608">
        <v>0</v>
      </c>
      <c r="AI608">
        <v>0</v>
      </c>
      <c r="AJ608">
        <v>0</v>
      </c>
      <c r="AK608">
        <v>0</v>
      </c>
      <c r="AL608" t="s">
        <v>217</v>
      </c>
      <c r="AM608">
        <v>0</v>
      </c>
    </row>
    <row r="609" spans="2:39">
      <c r="B609">
        <v>602</v>
      </c>
      <c r="C609" t="s">
        <v>27</v>
      </c>
      <c r="D609" t="s">
        <v>65</v>
      </c>
      <c r="E609" t="s">
        <v>207</v>
      </c>
      <c r="H609" t="s">
        <v>119</v>
      </c>
      <c r="I609" t="s">
        <v>31</v>
      </c>
      <c r="M609" s="29">
        <v>0</v>
      </c>
      <c r="N609" s="29"/>
      <c r="O609" s="29">
        <f>Table2[[#This Row],[Hot water demand (MWh)]]+Table2[[#This Row],[Space heating demand (MWh)]]</f>
        <v>0</v>
      </c>
      <c r="P609" s="29">
        <v>0</v>
      </c>
      <c r="Q609" s="29">
        <v>0</v>
      </c>
      <c r="S609" s="17">
        <v>0</v>
      </c>
      <c r="T609" s="29">
        <v>0</v>
      </c>
      <c r="V609" s="29">
        <v>0</v>
      </c>
      <c r="X609" s="29">
        <v>0</v>
      </c>
      <c r="Y609" s="29">
        <v>0</v>
      </c>
      <c r="AF609">
        <v>0</v>
      </c>
      <c r="AG609">
        <v>0</v>
      </c>
      <c r="AH609">
        <v>0</v>
      </c>
      <c r="AI609">
        <v>0</v>
      </c>
      <c r="AJ609">
        <v>0</v>
      </c>
      <c r="AK609">
        <v>0</v>
      </c>
      <c r="AL609" t="s">
        <v>214</v>
      </c>
      <c r="AM609">
        <v>0</v>
      </c>
    </row>
    <row r="610" spans="2:39">
      <c r="B610">
        <v>603</v>
      </c>
      <c r="C610" t="s">
        <v>27</v>
      </c>
      <c r="D610" t="s">
        <v>65</v>
      </c>
      <c r="E610" t="s">
        <v>207</v>
      </c>
      <c r="H610" t="s">
        <v>121</v>
      </c>
      <c r="I610" t="s">
        <v>31</v>
      </c>
      <c r="M610" s="29">
        <v>0</v>
      </c>
      <c r="N610" s="29"/>
      <c r="O610" s="29">
        <f>Table2[[#This Row],[Hot water demand (MWh)]]+Table2[[#This Row],[Space heating demand (MWh)]]</f>
        <v>0</v>
      </c>
      <c r="P610" s="29">
        <v>0</v>
      </c>
      <c r="Q610" s="29">
        <v>0</v>
      </c>
      <c r="S610" s="17">
        <v>0</v>
      </c>
      <c r="T610" s="29">
        <v>0</v>
      </c>
      <c r="V610" s="29">
        <v>0</v>
      </c>
      <c r="X610" s="29">
        <v>0</v>
      </c>
      <c r="Y610" s="29">
        <v>0</v>
      </c>
      <c r="AF610">
        <v>0</v>
      </c>
      <c r="AG610">
        <v>0</v>
      </c>
      <c r="AH610">
        <v>0</v>
      </c>
      <c r="AI610">
        <v>0</v>
      </c>
      <c r="AJ610">
        <v>0</v>
      </c>
      <c r="AK610">
        <v>0</v>
      </c>
      <c r="AL610" t="s">
        <v>216</v>
      </c>
      <c r="AM610">
        <v>0</v>
      </c>
    </row>
    <row r="611" spans="2:39">
      <c r="B611">
        <v>604</v>
      </c>
      <c r="C611" t="s">
        <v>27</v>
      </c>
      <c r="D611" t="s">
        <v>66</v>
      </c>
      <c r="E611" t="s">
        <v>207</v>
      </c>
      <c r="H611" t="s">
        <v>122</v>
      </c>
      <c r="I611" t="s">
        <v>31</v>
      </c>
      <c r="M611" s="29">
        <v>0</v>
      </c>
      <c r="N611" s="29"/>
      <c r="O611" s="29">
        <f>Table2[[#This Row],[Hot water demand (MWh)]]+Table2[[#This Row],[Space heating demand (MWh)]]</f>
        <v>0</v>
      </c>
      <c r="P611" s="29">
        <v>0</v>
      </c>
      <c r="Q611" s="29">
        <v>0</v>
      </c>
      <c r="S611" s="17">
        <v>0</v>
      </c>
      <c r="T611" s="29">
        <v>0</v>
      </c>
      <c r="V611" s="29">
        <v>0</v>
      </c>
      <c r="X611" s="29">
        <v>0</v>
      </c>
      <c r="Y611" s="29">
        <v>0</v>
      </c>
      <c r="AF611">
        <v>0</v>
      </c>
      <c r="AG611">
        <v>0</v>
      </c>
      <c r="AH611">
        <v>0</v>
      </c>
      <c r="AI611">
        <v>0</v>
      </c>
      <c r="AJ611">
        <v>0</v>
      </c>
      <c r="AK611">
        <v>0</v>
      </c>
      <c r="AL611" t="s">
        <v>217</v>
      </c>
      <c r="AM611">
        <v>0</v>
      </c>
    </row>
    <row r="612" spans="2:39">
      <c r="B612">
        <v>605</v>
      </c>
      <c r="C612" t="s">
        <v>27</v>
      </c>
      <c r="D612" t="s">
        <v>66</v>
      </c>
      <c r="E612" t="s">
        <v>207</v>
      </c>
      <c r="H612" t="s">
        <v>117</v>
      </c>
      <c r="I612" t="s">
        <v>31</v>
      </c>
      <c r="M612" s="29">
        <v>0</v>
      </c>
      <c r="N612" s="29"/>
      <c r="O612" s="29">
        <f>Table2[[#This Row],[Hot water demand (MWh)]]+Table2[[#This Row],[Space heating demand (MWh)]]</f>
        <v>0</v>
      </c>
      <c r="P612" s="29">
        <v>0</v>
      </c>
      <c r="Q612" s="29">
        <v>0</v>
      </c>
      <c r="S612" s="17">
        <v>0</v>
      </c>
      <c r="T612" s="29">
        <v>0</v>
      </c>
      <c r="V612" s="29">
        <v>0</v>
      </c>
      <c r="X612" s="29">
        <v>0</v>
      </c>
      <c r="Y612" s="29">
        <v>0</v>
      </c>
      <c r="AF612">
        <v>0</v>
      </c>
      <c r="AG612">
        <v>0</v>
      </c>
      <c r="AH612">
        <v>0</v>
      </c>
      <c r="AI612">
        <v>0</v>
      </c>
      <c r="AJ612">
        <v>0</v>
      </c>
      <c r="AK612">
        <v>0</v>
      </c>
      <c r="AL612" t="s">
        <v>212</v>
      </c>
      <c r="AM612">
        <v>0</v>
      </c>
    </row>
    <row r="613" spans="2:39">
      <c r="B613">
        <v>606</v>
      </c>
      <c r="C613" t="s">
        <v>27</v>
      </c>
      <c r="D613" t="s">
        <v>66</v>
      </c>
      <c r="E613" t="s">
        <v>207</v>
      </c>
      <c r="H613" t="s">
        <v>118</v>
      </c>
      <c r="I613" t="s">
        <v>31</v>
      </c>
      <c r="M613" s="29">
        <v>0</v>
      </c>
      <c r="N613" s="29"/>
      <c r="O613" s="29">
        <f>Table2[[#This Row],[Hot water demand (MWh)]]+Table2[[#This Row],[Space heating demand (MWh)]]</f>
        <v>0</v>
      </c>
      <c r="P613" s="29">
        <v>0</v>
      </c>
      <c r="Q613" s="29">
        <v>0</v>
      </c>
      <c r="S613" s="17">
        <v>0</v>
      </c>
      <c r="T613" s="29">
        <v>0</v>
      </c>
      <c r="V613" s="29">
        <v>0</v>
      </c>
      <c r="X613" s="29">
        <v>0</v>
      </c>
      <c r="Y613" s="29">
        <v>0</v>
      </c>
      <c r="AF613">
        <v>0</v>
      </c>
      <c r="AG613">
        <v>0</v>
      </c>
      <c r="AH613">
        <v>0</v>
      </c>
      <c r="AI613">
        <v>0</v>
      </c>
      <c r="AJ613">
        <v>0</v>
      </c>
      <c r="AK613">
        <v>0</v>
      </c>
      <c r="AL613" t="s">
        <v>213</v>
      </c>
      <c r="AM613">
        <v>0</v>
      </c>
    </row>
    <row r="614" spans="2:39">
      <c r="B614">
        <v>607</v>
      </c>
      <c r="C614" t="s">
        <v>27</v>
      </c>
      <c r="D614" t="s">
        <v>66</v>
      </c>
      <c r="E614" t="s">
        <v>207</v>
      </c>
      <c r="H614" t="s">
        <v>123</v>
      </c>
      <c r="I614" t="s">
        <v>31</v>
      </c>
      <c r="M614" s="29">
        <v>0</v>
      </c>
      <c r="N614" s="29"/>
      <c r="O614" s="29">
        <f>Table2[[#This Row],[Hot water demand (MWh)]]+Table2[[#This Row],[Space heating demand (MWh)]]</f>
        <v>0</v>
      </c>
      <c r="P614" s="29">
        <v>0</v>
      </c>
      <c r="Q614" s="29">
        <v>0</v>
      </c>
      <c r="S614" s="17">
        <v>0</v>
      </c>
      <c r="T614" s="29">
        <v>0</v>
      </c>
      <c r="V614" s="29">
        <v>0</v>
      </c>
      <c r="X614" s="29">
        <v>0</v>
      </c>
      <c r="Y614" s="29">
        <v>0</v>
      </c>
      <c r="AF614">
        <v>0</v>
      </c>
      <c r="AG614">
        <v>0</v>
      </c>
      <c r="AH614">
        <v>0</v>
      </c>
      <c r="AI614">
        <v>0</v>
      </c>
      <c r="AJ614">
        <v>0</v>
      </c>
      <c r="AK614">
        <v>0</v>
      </c>
      <c r="AL614" t="s">
        <v>218</v>
      </c>
      <c r="AM614">
        <v>0</v>
      </c>
    </row>
    <row r="615" spans="2:39">
      <c r="B615">
        <v>608</v>
      </c>
      <c r="C615" t="s">
        <v>27</v>
      </c>
      <c r="D615" t="s">
        <v>66</v>
      </c>
      <c r="E615" t="s">
        <v>207</v>
      </c>
      <c r="H615" t="s">
        <v>119</v>
      </c>
      <c r="I615" t="s">
        <v>31</v>
      </c>
      <c r="M615" s="29">
        <v>0</v>
      </c>
      <c r="N615" s="29"/>
      <c r="O615" s="29">
        <f>Table2[[#This Row],[Hot water demand (MWh)]]+Table2[[#This Row],[Space heating demand (MWh)]]</f>
        <v>0</v>
      </c>
      <c r="P615" s="29">
        <v>0</v>
      </c>
      <c r="Q615" s="29">
        <v>0</v>
      </c>
      <c r="S615" s="17">
        <v>0</v>
      </c>
      <c r="T615" s="29">
        <v>0</v>
      </c>
      <c r="V615" s="29">
        <v>0</v>
      </c>
      <c r="X615" s="29">
        <v>0</v>
      </c>
      <c r="Y615" s="29">
        <v>0</v>
      </c>
      <c r="AF615">
        <v>0</v>
      </c>
      <c r="AG615">
        <v>0</v>
      </c>
      <c r="AH615">
        <v>0</v>
      </c>
      <c r="AI615">
        <v>0</v>
      </c>
      <c r="AJ615">
        <v>0</v>
      </c>
      <c r="AK615">
        <v>0</v>
      </c>
      <c r="AL615" t="s">
        <v>214</v>
      </c>
      <c r="AM615">
        <v>0</v>
      </c>
    </row>
    <row r="616" spans="2:39">
      <c r="B616">
        <v>609</v>
      </c>
      <c r="C616" t="s">
        <v>27</v>
      </c>
      <c r="D616" t="s">
        <v>66</v>
      </c>
      <c r="E616" t="s">
        <v>207</v>
      </c>
      <c r="H616" t="s">
        <v>121</v>
      </c>
      <c r="I616" t="s">
        <v>31</v>
      </c>
      <c r="M616" s="29">
        <v>0</v>
      </c>
      <c r="N616" s="29"/>
      <c r="O616" s="29">
        <f>Table2[[#This Row],[Hot water demand (MWh)]]+Table2[[#This Row],[Space heating demand (MWh)]]</f>
        <v>0</v>
      </c>
      <c r="P616" s="29">
        <v>0</v>
      </c>
      <c r="Q616" s="29">
        <v>0</v>
      </c>
      <c r="S616" s="17">
        <v>0</v>
      </c>
      <c r="T616" s="29">
        <v>0</v>
      </c>
      <c r="V616" s="29">
        <v>0</v>
      </c>
      <c r="X616" s="29">
        <v>0</v>
      </c>
      <c r="Y616" s="29">
        <v>0</v>
      </c>
      <c r="AF616">
        <v>0</v>
      </c>
      <c r="AG616">
        <v>0</v>
      </c>
      <c r="AH616">
        <v>0</v>
      </c>
      <c r="AI616">
        <v>0</v>
      </c>
      <c r="AJ616">
        <v>0</v>
      </c>
      <c r="AK616">
        <v>0</v>
      </c>
      <c r="AL616" t="s">
        <v>216</v>
      </c>
      <c r="AM616">
        <v>0</v>
      </c>
    </row>
    <row r="617" spans="2:39">
      <c r="B617">
        <v>610</v>
      </c>
      <c r="C617" t="s">
        <v>27</v>
      </c>
      <c r="D617" t="s">
        <v>67</v>
      </c>
      <c r="E617" t="s">
        <v>207</v>
      </c>
      <c r="H617" t="s">
        <v>117</v>
      </c>
      <c r="I617" t="s">
        <v>31</v>
      </c>
      <c r="M617" s="29">
        <v>3614.3276717845733</v>
      </c>
      <c r="N617" s="29"/>
      <c r="O617" s="29">
        <f>Table2[[#This Row],[Hot water demand (MWh)]]+Table2[[#This Row],[Space heating demand (MWh)]]</f>
        <v>3614.3276717845733</v>
      </c>
      <c r="P617" s="29">
        <v>2196.4410079290897</v>
      </c>
      <c r="Q617" s="29">
        <v>343.49652160733791</v>
      </c>
      <c r="S617" s="17">
        <v>17.665492337474813</v>
      </c>
      <c r="T617" s="29">
        <v>3928.6170345484493</v>
      </c>
      <c r="V617" s="29">
        <v>3928.6170345484493</v>
      </c>
      <c r="X617" s="29">
        <v>343.49652160733791</v>
      </c>
      <c r="Y617" s="29">
        <v>2196.4410079290897</v>
      </c>
      <c r="AF617">
        <v>12.365844636232367</v>
      </c>
      <c r="AG617">
        <v>3614.3276717845733</v>
      </c>
      <c r="AH617">
        <v>0</v>
      </c>
      <c r="AI617">
        <v>361.43276717845737</v>
      </c>
      <c r="AJ617">
        <v>2530.0293702492013</v>
      </c>
      <c r="AK617">
        <v>722.86553435691474</v>
      </c>
      <c r="AL617" t="s">
        <v>212</v>
      </c>
      <c r="AM617">
        <v>2862.4710133944827</v>
      </c>
    </row>
    <row r="618" spans="2:39">
      <c r="B618">
        <v>611</v>
      </c>
      <c r="C618" t="s">
        <v>27</v>
      </c>
      <c r="D618" t="s">
        <v>67</v>
      </c>
      <c r="E618" t="s">
        <v>207</v>
      </c>
      <c r="H618" t="s">
        <v>118</v>
      </c>
      <c r="I618" t="s">
        <v>31</v>
      </c>
      <c r="M618" s="29">
        <v>561.23100493549271</v>
      </c>
      <c r="N618" s="29"/>
      <c r="O618" s="29">
        <f>Table2[[#This Row],[Hot water demand (MWh)]]+Table2[[#This Row],[Space heating demand (MWh)]]</f>
        <v>561.23100493549271</v>
      </c>
      <c r="P618" s="29">
        <v>627.55457369402575</v>
      </c>
      <c r="Q618" s="29">
        <v>98.141863316382256</v>
      </c>
      <c r="S618" s="17">
        <v>17.665492337474817</v>
      </c>
      <c r="T618" s="29">
        <v>1122.4620098709854</v>
      </c>
      <c r="V618" s="29">
        <v>1122.4620098709854</v>
      </c>
      <c r="X618" s="29">
        <v>98.141863316382256</v>
      </c>
      <c r="Y618" s="29">
        <v>627.55457369402575</v>
      </c>
      <c r="AF618">
        <v>3.5330984674949635</v>
      </c>
      <c r="AG618">
        <v>561.23100493549271</v>
      </c>
      <c r="AH618">
        <v>0</v>
      </c>
      <c r="AI618">
        <v>561.23100493549271</v>
      </c>
      <c r="AJ618">
        <v>0</v>
      </c>
      <c r="AK618">
        <v>0</v>
      </c>
      <c r="AL618" t="s">
        <v>213</v>
      </c>
      <c r="AM618">
        <v>817.84886096985213</v>
      </c>
    </row>
    <row r="619" spans="2:39">
      <c r="B619">
        <v>612</v>
      </c>
      <c r="C619" t="s">
        <v>27</v>
      </c>
      <c r="D619" t="s">
        <v>67</v>
      </c>
      <c r="E619" t="s">
        <v>207</v>
      </c>
      <c r="H619" t="s">
        <v>123</v>
      </c>
      <c r="I619" t="s">
        <v>31</v>
      </c>
      <c r="M619" s="29">
        <v>258.16626227032668</v>
      </c>
      <c r="N619" s="29"/>
      <c r="O619" s="29">
        <f>Table2[[#This Row],[Hot water demand (MWh)]]+Table2[[#This Row],[Space heating demand (MWh)]]</f>
        <v>258.16626227032668</v>
      </c>
      <c r="P619" s="29">
        <v>156.88864342350644</v>
      </c>
      <c r="Q619" s="29">
        <v>24.535465829095564</v>
      </c>
      <c r="S619" s="17">
        <v>17.665492337474817</v>
      </c>
      <c r="T619" s="29">
        <v>280.61550246774635</v>
      </c>
      <c r="V619" s="29">
        <v>280.61550246774635</v>
      </c>
      <c r="X619" s="29">
        <v>24.535465829095564</v>
      </c>
      <c r="Y619" s="29">
        <v>156.88864342350644</v>
      </c>
      <c r="AF619">
        <v>0.88327461687374087</v>
      </c>
      <c r="AG619">
        <v>258.16626227032668</v>
      </c>
      <c r="AH619">
        <v>0</v>
      </c>
      <c r="AI619">
        <v>0</v>
      </c>
      <c r="AJ619">
        <v>258.16626227032668</v>
      </c>
      <c r="AK619">
        <v>0</v>
      </c>
      <c r="AL619" t="s">
        <v>218</v>
      </c>
      <c r="AM619">
        <v>204.46221524246303</v>
      </c>
    </row>
    <row r="620" spans="2:39">
      <c r="B620">
        <v>613</v>
      </c>
      <c r="C620" t="s">
        <v>27</v>
      </c>
      <c r="D620" t="s">
        <v>67</v>
      </c>
      <c r="E620" t="s">
        <v>207</v>
      </c>
      <c r="H620" t="s">
        <v>119</v>
      </c>
      <c r="I620" t="s">
        <v>31</v>
      </c>
      <c r="M620" s="29">
        <v>0</v>
      </c>
      <c r="N620" s="29"/>
      <c r="O620" s="29">
        <f>Table2[[#This Row],[Hot water demand (MWh)]]+Table2[[#This Row],[Space heating demand (MWh)]]</f>
        <v>0</v>
      </c>
      <c r="P620" s="29">
        <v>0</v>
      </c>
      <c r="Q620" s="29">
        <v>0</v>
      </c>
      <c r="S620" s="17">
        <v>0</v>
      </c>
      <c r="T620" s="29">
        <v>0</v>
      </c>
      <c r="V620" s="29">
        <v>0</v>
      </c>
      <c r="X620" s="29">
        <v>0</v>
      </c>
      <c r="Y620" s="29">
        <v>0</v>
      </c>
      <c r="AF620">
        <v>0</v>
      </c>
      <c r="AG620">
        <v>0</v>
      </c>
      <c r="AH620">
        <v>0</v>
      </c>
      <c r="AI620">
        <v>0</v>
      </c>
      <c r="AJ620">
        <v>0</v>
      </c>
      <c r="AK620">
        <v>0</v>
      </c>
      <c r="AL620" t="s">
        <v>214</v>
      </c>
      <c r="AM620">
        <v>0</v>
      </c>
    </row>
    <row r="621" spans="2:39">
      <c r="B621">
        <v>614</v>
      </c>
      <c r="C621" t="s">
        <v>27</v>
      </c>
      <c r="D621" t="s">
        <v>67</v>
      </c>
      <c r="E621" t="s">
        <v>207</v>
      </c>
      <c r="H621" t="s">
        <v>121</v>
      </c>
      <c r="I621" t="s">
        <v>31</v>
      </c>
      <c r="M621" s="29">
        <v>258.16626227032668</v>
      </c>
      <c r="N621" s="29"/>
      <c r="O621" s="29">
        <f>Table2[[#This Row],[Hot water demand (MWh)]]+Table2[[#This Row],[Space heating demand (MWh)]]</f>
        <v>258.16626227032668</v>
      </c>
      <c r="P621" s="29">
        <v>156.88864342350644</v>
      </c>
      <c r="Q621" s="29">
        <v>24.535465829095564</v>
      </c>
      <c r="S621" s="17">
        <v>17.665492337474817</v>
      </c>
      <c r="T621" s="29">
        <v>280.61550246774635</v>
      </c>
      <c r="V621" s="29">
        <v>280.61550246774635</v>
      </c>
      <c r="X621" s="29">
        <v>24.535465829095564</v>
      </c>
      <c r="Y621" s="29">
        <v>156.88864342350644</v>
      </c>
      <c r="AF621">
        <v>0.88327461687374087</v>
      </c>
      <c r="AG621">
        <v>258.16626227032668</v>
      </c>
      <c r="AH621">
        <v>0</v>
      </c>
      <c r="AI621">
        <v>0</v>
      </c>
      <c r="AJ621">
        <v>258.16626227032668</v>
      </c>
      <c r="AK621">
        <v>0</v>
      </c>
      <c r="AL621" t="s">
        <v>216</v>
      </c>
      <c r="AM621">
        <v>204.46221524246303</v>
      </c>
    </row>
    <row r="622" spans="2:39">
      <c r="B622">
        <v>615</v>
      </c>
      <c r="C622" t="s">
        <v>27</v>
      </c>
      <c r="D622" t="s">
        <v>59</v>
      </c>
      <c r="E622" t="s">
        <v>207</v>
      </c>
      <c r="H622" t="s">
        <v>124</v>
      </c>
      <c r="I622" t="s">
        <v>20</v>
      </c>
      <c r="M622" s="29">
        <v>314.34636439742542</v>
      </c>
      <c r="N622" s="29"/>
      <c r="O622" s="29">
        <f>Table2[[#This Row],[Hot water demand (MWh)]]+Table2[[#This Row],[Space heating demand (MWh)]]</f>
        <v>314.34636439742542</v>
      </c>
      <c r="P622" s="29">
        <v>-34.392507749606139</v>
      </c>
      <c r="Q622" s="29">
        <v>0.29763528410567658</v>
      </c>
      <c r="S622" s="17">
        <v>106.44547800610009</v>
      </c>
      <c r="T622" s="29">
        <v>341.68083086676677</v>
      </c>
      <c r="V622" s="29">
        <v>341.68083086676677</v>
      </c>
      <c r="X622" s="29">
        <v>0.29763528410567658</v>
      </c>
      <c r="Y622" s="29">
        <v>-34.392507749606139</v>
      </c>
      <c r="AF622">
        <v>42.578191202440038</v>
      </c>
      <c r="AG622">
        <v>314.34636439742542</v>
      </c>
      <c r="AH622">
        <v>0</v>
      </c>
      <c r="AI622">
        <v>314.34636439742542</v>
      </c>
      <c r="AJ622">
        <v>0</v>
      </c>
      <c r="AK622">
        <v>0</v>
      </c>
      <c r="AL622" t="s">
        <v>212</v>
      </c>
      <c r="AM622">
        <v>29.763528410567655</v>
      </c>
    </row>
    <row r="623" spans="2:39">
      <c r="B623">
        <v>616</v>
      </c>
      <c r="C623" t="s">
        <v>27</v>
      </c>
      <c r="D623" t="s">
        <v>59</v>
      </c>
      <c r="E623" t="s">
        <v>207</v>
      </c>
      <c r="H623" t="s">
        <v>125</v>
      </c>
      <c r="I623" t="s">
        <v>20</v>
      </c>
      <c r="M623" s="29">
        <v>0</v>
      </c>
      <c r="N623" s="29"/>
      <c r="O623" s="29">
        <f>Table2[[#This Row],[Hot water demand (MWh)]]+Table2[[#This Row],[Space heating demand (MWh)]]</f>
        <v>0</v>
      </c>
      <c r="P623" s="29">
        <v>0</v>
      </c>
      <c r="Q623" s="29">
        <v>0</v>
      </c>
      <c r="S623" s="17">
        <v>0</v>
      </c>
      <c r="T623" s="29">
        <v>0</v>
      </c>
      <c r="V623" s="29">
        <v>0</v>
      </c>
      <c r="X623" s="29">
        <v>0</v>
      </c>
      <c r="Y623" s="29">
        <v>0</v>
      </c>
      <c r="AF623">
        <v>0</v>
      </c>
      <c r="AG623">
        <v>0</v>
      </c>
      <c r="AH623">
        <v>0</v>
      </c>
      <c r="AI623">
        <v>0</v>
      </c>
      <c r="AJ623">
        <v>0</v>
      </c>
      <c r="AK623">
        <v>0</v>
      </c>
      <c r="AL623" t="s">
        <v>213</v>
      </c>
      <c r="AM623">
        <v>0</v>
      </c>
    </row>
    <row r="624" spans="2:39">
      <c r="B624">
        <v>617</v>
      </c>
      <c r="C624" t="s">
        <v>27</v>
      </c>
      <c r="D624" t="s">
        <v>59</v>
      </c>
      <c r="E624" t="s">
        <v>207</v>
      </c>
      <c r="H624" t="s">
        <v>126</v>
      </c>
      <c r="I624" t="s">
        <v>20</v>
      </c>
      <c r="M624" s="29">
        <v>435.64305935512749</v>
      </c>
      <c r="N624" s="29"/>
      <c r="O624" s="29">
        <f>Table2[[#This Row],[Hot water demand (MWh)]]+Table2[[#This Row],[Space heating demand (MWh)]]</f>
        <v>435.64305935512749</v>
      </c>
      <c r="P624" s="29">
        <v>-51.588761624409209</v>
      </c>
      <c r="Q624" s="29">
        <v>0.44645292615851467</v>
      </c>
      <c r="S624" s="17">
        <v>106.44547800610012</v>
      </c>
      <c r="T624" s="29">
        <v>512.52124630014998</v>
      </c>
      <c r="V624" s="29">
        <v>512.52124630014998</v>
      </c>
      <c r="X624" s="29">
        <v>0.44645292615851467</v>
      </c>
      <c r="Y624" s="29">
        <v>-51.588761624409209</v>
      </c>
      <c r="AF624">
        <v>63.867286803660051</v>
      </c>
      <c r="AG624">
        <v>435.64305935512749</v>
      </c>
      <c r="AH624">
        <v>435.64305935512749</v>
      </c>
      <c r="AI624">
        <v>0</v>
      </c>
      <c r="AJ624">
        <v>0</v>
      </c>
      <c r="AK624">
        <v>0</v>
      </c>
      <c r="AL624" t="s">
        <v>214</v>
      </c>
      <c r="AM624">
        <v>44.645292615851467</v>
      </c>
    </row>
    <row r="625" spans="2:39">
      <c r="B625">
        <v>618</v>
      </c>
      <c r="C625" t="s">
        <v>27</v>
      </c>
      <c r="D625" t="s">
        <v>60</v>
      </c>
      <c r="E625" t="s">
        <v>207</v>
      </c>
      <c r="H625" t="s">
        <v>127</v>
      </c>
      <c r="I625" t="s">
        <v>20</v>
      </c>
      <c r="M625" s="29">
        <v>0</v>
      </c>
      <c r="N625" s="29"/>
      <c r="O625" s="29">
        <f>Table2[[#This Row],[Hot water demand (MWh)]]+Table2[[#This Row],[Space heating demand (MWh)]]</f>
        <v>0</v>
      </c>
      <c r="P625" s="29">
        <v>0</v>
      </c>
      <c r="Q625" s="29">
        <v>0</v>
      </c>
      <c r="S625" s="17">
        <v>0</v>
      </c>
      <c r="T625" s="29">
        <v>0</v>
      </c>
      <c r="V625" s="29">
        <v>0</v>
      </c>
      <c r="X625" s="29">
        <v>0</v>
      </c>
      <c r="Y625" s="29">
        <v>0</v>
      </c>
      <c r="AF625">
        <v>0</v>
      </c>
      <c r="AG625">
        <v>0</v>
      </c>
      <c r="AH625">
        <v>0</v>
      </c>
      <c r="AI625">
        <v>0</v>
      </c>
      <c r="AJ625">
        <v>0</v>
      </c>
      <c r="AK625">
        <v>0</v>
      </c>
      <c r="AL625" t="s">
        <v>215</v>
      </c>
      <c r="AM625">
        <v>0</v>
      </c>
    </row>
    <row r="626" spans="2:39">
      <c r="B626">
        <v>619</v>
      </c>
      <c r="C626" t="s">
        <v>27</v>
      </c>
      <c r="D626" t="s">
        <v>60</v>
      </c>
      <c r="E626" t="s">
        <v>207</v>
      </c>
      <c r="H626" t="s">
        <v>126</v>
      </c>
      <c r="I626" t="s">
        <v>20</v>
      </c>
      <c r="M626" s="29">
        <v>0</v>
      </c>
      <c r="N626" s="29"/>
      <c r="O626" s="29">
        <f>Table2[[#This Row],[Hot water demand (MWh)]]+Table2[[#This Row],[Space heating demand (MWh)]]</f>
        <v>0</v>
      </c>
      <c r="P626" s="29">
        <v>0</v>
      </c>
      <c r="Q626" s="29">
        <v>0</v>
      </c>
      <c r="S626" s="17">
        <v>0</v>
      </c>
      <c r="T626" s="29">
        <v>0</v>
      </c>
      <c r="V626" s="29">
        <v>0</v>
      </c>
      <c r="X626" s="29">
        <v>0</v>
      </c>
      <c r="Y626" s="29">
        <v>0</v>
      </c>
      <c r="AF626">
        <v>0</v>
      </c>
      <c r="AG626">
        <v>0</v>
      </c>
      <c r="AH626">
        <v>0</v>
      </c>
      <c r="AI626">
        <v>0</v>
      </c>
      <c r="AJ626">
        <v>0</v>
      </c>
      <c r="AK626">
        <v>0</v>
      </c>
      <c r="AL626" t="s">
        <v>214</v>
      </c>
      <c r="AM626">
        <v>0</v>
      </c>
    </row>
    <row r="627" spans="2:39">
      <c r="B627">
        <v>620</v>
      </c>
      <c r="C627" t="s">
        <v>27</v>
      </c>
      <c r="D627" t="s">
        <v>60</v>
      </c>
      <c r="E627" t="s">
        <v>207</v>
      </c>
      <c r="H627" t="s">
        <v>128</v>
      </c>
      <c r="I627" t="s">
        <v>20</v>
      </c>
      <c r="M627" s="29">
        <v>0</v>
      </c>
      <c r="N627" s="29"/>
      <c r="O627" s="29">
        <f>Table2[[#This Row],[Hot water demand (MWh)]]+Table2[[#This Row],[Space heating demand (MWh)]]</f>
        <v>0</v>
      </c>
      <c r="P627" s="29">
        <v>0</v>
      </c>
      <c r="Q627" s="29">
        <v>0</v>
      </c>
      <c r="S627" s="17">
        <v>0</v>
      </c>
      <c r="T627" s="29">
        <v>0</v>
      </c>
      <c r="V627" s="29">
        <v>0</v>
      </c>
      <c r="X627" s="29">
        <v>0</v>
      </c>
      <c r="Y627" s="29">
        <v>0</v>
      </c>
      <c r="AF627">
        <v>0</v>
      </c>
      <c r="AG627">
        <v>0</v>
      </c>
      <c r="AH627">
        <v>0</v>
      </c>
      <c r="AI627">
        <v>0</v>
      </c>
      <c r="AJ627">
        <v>0</v>
      </c>
      <c r="AK627">
        <v>0</v>
      </c>
      <c r="AL627" t="s">
        <v>216</v>
      </c>
      <c r="AM627">
        <v>0</v>
      </c>
    </row>
    <row r="628" spans="2:39">
      <c r="B628">
        <v>621</v>
      </c>
      <c r="C628" t="s">
        <v>27</v>
      </c>
      <c r="D628" t="s">
        <v>61</v>
      </c>
      <c r="E628" t="s">
        <v>207</v>
      </c>
      <c r="H628" t="s">
        <v>124</v>
      </c>
      <c r="I628" t="s">
        <v>20</v>
      </c>
      <c r="M628" s="29">
        <v>0</v>
      </c>
      <c r="N628" s="29"/>
      <c r="O628" s="29">
        <f>Table2[[#This Row],[Hot water demand (MWh)]]+Table2[[#This Row],[Space heating demand (MWh)]]</f>
        <v>0</v>
      </c>
      <c r="P628" s="29">
        <v>0</v>
      </c>
      <c r="Q628" s="29">
        <v>0</v>
      </c>
      <c r="S628" s="17">
        <v>0</v>
      </c>
      <c r="T628" s="29">
        <v>0</v>
      </c>
      <c r="V628" s="29">
        <v>0</v>
      </c>
      <c r="X628" s="29">
        <v>0</v>
      </c>
      <c r="Y628" s="29">
        <v>0</v>
      </c>
      <c r="AF628">
        <v>0</v>
      </c>
      <c r="AG628">
        <v>0</v>
      </c>
      <c r="AH628">
        <v>0</v>
      </c>
      <c r="AI628">
        <v>0</v>
      </c>
      <c r="AJ628">
        <v>0</v>
      </c>
      <c r="AK628">
        <v>0</v>
      </c>
      <c r="AL628" t="s">
        <v>212</v>
      </c>
      <c r="AM628">
        <v>0</v>
      </c>
    </row>
    <row r="629" spans="2:39">
      <c r="B629">
        <v>622</v>
      </c>
      <c r="C629" t="s">
        <v>27</v>
      </c>
      <c r="D629" t="s">
        <v>61</v>
      </c>
      <c r="E629" t="s">
        <v>207</v>
      </c>
      <c r="H629" t="s">
        <v>125</v>
      </c>
      <c r="I629" t="s">
        <v>20</v>
      </c>
      <c r="M629" s="29">
        <v>0</v>
      </c>
      <c r="N629" s="29"/>
      <c r="O629" s="29">
        <f>Table2[[#This Row],[Hot water demand (MWh)]]+Table2[[#This Row],[Space heating demand (MWh)]]</f>
        <v>0</v>
      </c>
      <c r="P629" s="29">
        <v>0</v>
      </c>
      <c r="Q629" s="29">
        <v>0</v>
      </c>
      <c r="S629" s="17">
        <v>0</v>
      </c>
      <c r="T629" s="29">
        <v>0</v>
      </c>
      <c r="V629" s="29">
        <v>0</v>
      </c>
      <c r="X629" s="29">
        <v>0</v>
      </c>
      <c r="Y629" s="29">
        <v>0</v>
      </c>
      <c r="AF629">
        <v>0</v>
      </c>
      <c r="AG629">
        <v>0</v>
      </c>
      <c r="AH629">
        <v>0</v>
      </c>
      <c r="AI629">
        <v>0</v>
      </c>
      <c r="AJ629">
        <v>0</v>
      </c>
      <c r="AK629">
        <v>0</v>
      </c>
      <c r="AL629" t="s">
        <v>213</v>
      </c>
      <c r="AM629">
        <v>0</v>
      </c>
    </row>
    <row r="630" spans="2:39">
      <c r="B630">
        <v>623</v>
      </c>
      <c r="C630" t="s">
        <v>27</v>
      </c>
      <c r="D630" t="s">
        <v>61</v>
      </c>
      <c r="E630" t="s">
        <v>207</v>
      </c>
      <c r="H630" t="s">
        <v>126</v>
      </c>
      <c r="I630" t="s">
        <v>20</v>
      </c>
      <c r="M630" s="29">
        <v>0</v>
      </c>
      <c r="N630" s="29"/>
      <c r="O630" s="29">
        <f>Table2[[#This Row],[Hot water demand (MWh)]]+Table2[[#This Row],[Space heating demand (MWh)]]</f>
        <v>0</v>
      </c>
      <c r="P630" s="29">
        <v>0</v>
      </c>
      <c r="Q630" s="29">
        <v>0</v>
      </c>
      <c r="S630" s="17">
        <v>0</v>
      </c>
      <c r="T630" s="29">
        <v>0</v>
      </c>
      <c r="V630" s="29">
        <v>0</v>
      </c>
      <c r="X630" s="29">
        <v>0</v>
      </c>
      <c r="Y630" s="29">
        <v>0</v>
      </c>
      <c r="AF630">
        <v>0</v>
      </c>
      <c r="AG630">
        <v>0</v>
      </c>
      <c r="AH630">
        <v>0</v>
      </c>
      <c r="AI630">
        <v>0</v>
      </c>
      <c r="AJ630">
        <v>0</v>
      </c>
      <c r="AK630">
        <v>0</v>
      </c>
      <c r="AL630" t="s">
        <v>214</v>
      </c>
      <c r="AM630">
        <v>0</v>
      </c>
    </row>
    <row r="631" spans="2:39">
      <c r="B631">
        <v>624</v>
      </c>
      <c r="C631" t="s">
        <v>27</v>
      </c>
      <c r="D631" t="s">
        <v>62</v>
      </c>
      <c r="E631" t="s">
        <v>207</v>
      </c>
      <c r="H631" t="s">
        <v>124</v>
      </c>
      <c r="I631" t="s">
        <v>20</v>
      </c>
      <c r="M631" s="29">
        <v>1252.8815185743424</v>
      </c>
      <c r="N631" s="29"/>
      <c r="O631" s="29">
        <f>Table2[[#This Row],[Hot water demand (MWh)]]+Table2[[#This Row],[Space heating demand (MWh)]]</f>
        <v>1252.8815185743424</v>
      </c>
      <c r="P631" s="29">
        <v>256.64506083500436</v>
      </c>
      <c r="Q631" s="29">
        <v>2.592374351868731</v>
      </c>
      <c r="S631" s="17">
        <v>11.088624779707486</v>
      </c>
      <c r="T631" s="29">
        <v>1361.827737580807</v>
      </c>
      <c r="V631" s="29">
        <v>1361.827737580807</v>
      </c>
      <c r="X631" s="29">
        <v>2.592374351868731</v>
      </c>
      <c r="Y631" s="29">
        <v>256.64506083500436</v>
      </c>
      <c r="AF631">
        <v>6.6531748678244913</v>
      </c>
      <c r="AG631">
        <v>1252.8815185743424</v>
      </c>
      <c r="AH631">
        <v>0</v>
      </c>
      <c r="AI631">
        <v>0</v>
      </c>
      <c r="AJ631">
        <v>1252.8815185743424</v>
      </c>
      <c r="AK631">
        <v>0</v>
      </c>
      <c r="AL631" t="s">
        <v>212</v>
      </c>
      <c r="AM631">
        <v>259.23743518687309</v>
      </c>
    </row>
    <row r="632" spans="2:39">
      <c r="B632">
        <v>625</v>
      </c>
      <c r="C632" t="s">
        <v>27</v>
      </c>
      <c r="D632" t="s">
        <v>62</v>
      </c>
      <c r="E632" t="s">
        <v>207</v>
      </c>
      <c r="H632" t="s">
        <v>128</v>
      </c>
      <c r="I632" t="s">
        <v>20</v>
      </c>
      <c r="M632" s="29">
        <v>835.2543457162285</v>
      </c>
      <c r="N632" s="29"/>
      <c r="O632" s="29">
        <f>Table2[[#This Row],[Hot water demand (MWh)]]+Table2[[#This Row],[Space heating demand (MWh)]]</f>
        <v>835.2543457162285</v>
      </c>
      <c r="P632" s="29">
        <v>171.09670722333621</v>
      </c>
      <c r="Q632" s="29">
        <v>1.728249567912487</v>
      </c>
      <c r="S632" s="17">
        <v>11.088624779707486</v>
      </c>
      <c r="T632" s="29">
        <v>907.8851583872048</v>
      </c>
      <c r="V632" s="29">
        <v>907.8851583872048</v>
      </c>
      <c r="X632" s="29">
        <v>1.728249567912487</v>
      </c>
      <c r="Y632" s="29">
        <v>171.09670722333621</v>
      </c>
      <c r="AF632">
        <v>4.4354499118829951</v>
      </c>
      <c r="AG632">
        <v>835.2543457162285</v>
      </c>
      <c r="AH632">
        <v>0</v>
      </c>
      <c r="AI632">
        <v>0</v>
      </c>
      <c r="AJ632">
        <v>835.2543457162285</v>
      </c>
      <c r="AK632">
        <v>0</v>
      </c>
      <c r="AL632" t="s">
        <v>216</v>
      </c>
      <c r="AM632">
        <v>172.8249567912487</v>
      </c>
    </row>
    <row r="633" spans="2:39">
      <c r="B633">
        <v>626</v>
      </c>
      <c r="C633" t="s">
        <v>27</v>
      </c>
      <c r="D633" t="s">
        <v>63</v>
      </c>
      <c r="E633" t="s">
        <v>207</v>
      </c>
      <c r="H633" t="s">
        <v>129</v>
      </c>
      <c r="I633" t="s">
        <v>20</v>
      </c>
      <c r="M633" s="29">
        <v>310.41919904171817</v>
      </c>
      <c r="N633" s="29"/>
      <c r="O633" s="29">
        <f>Table2[[#This Row],[Hot water demand (MWh)]]+Table2[[#This Row],[Space heating demand (MWh)]]</f>
        <v>310.41919904171817</v>
      </c>
      <c r="P633" s="29">
        <v>42.811426834132384</v>
      </c>
      <c r="Q633" s="29">
        <v>0.43243865489022609</v>
      </c>
      <c r="S633" s="17">
        <v>327.9392262061653</v>
      </c>
      <c r="T633" s="29">
        <v>365.19905769613905</v>
      </c>
      <c r="V633" s="29">
        <v>365.19905769613905</v>
      </c>
      <c r="X633" s="29">
        <v>0.43243865489022609</v>
      </c>
      <c r="Y633" s="29">
        <v>42.811426834132384</v>
      </c>
      <c r="AF633">
        <v>65.587845241233069</v>
      </c>
      <c r="AG633">
        <v>310.41919904171817</v>
      </c>
      <c r="AH633">
        <v>310.41919904171817</v>
      </c>
      <c r="AI633">
        <v>0</v>
      </c>
      <c r="AJ633">
        <v>0</v>
      </c>
      <c r="AK633">
        <v>0</v>
      </c>
      <c r="AL633" t="s">
        <v>217</v>
      </c>
      <c r="AM633">
        <v>43.24386548902261</v>
      </c>
    </row>
    <row r="634" spans="2:39">
      <c r="B634">
        <v>627</v>
      </c>
      <c r="C634" t="s">
        <v>27</v>
      </c>
      <c r="D634" t="s">
        <v>63</v>
      </c>
      <c r="E634" t="s">
        <v>207</v>
      </c>
      <c r="H634" t="s">
        <v>124</v>
      </c>
      <c r="I634" t="s">
        <v>20</v>
      </c>
      <c r="M634" s="29">
        <v>587.97048289078373</v>
      </c>
      <c r="N634" s="29"/>
      <c r="O634" s="29">
        <f>Table2[[#This Row],[Hot water demand (MWh)]]+Table2[[#This Row],[Space heating demand (MWh)]]</f>
        <v>587.97048289078373</v>
      </c>
      <c r="P634" s="29">
        <v>74.919996959731648</v>
      </c>
      <c r="Q634" s="29">
        <v>0.75676764605789548</v>
      </c>
      <c r="S634" s="17">
        <v>327.9392262061653</v>
      </c>
      <c r="T634" s="29">
        <v>639.09835096824315</v>
      </c>
      <c r="V634" s="29">
        <v>639.09835096824315</v>
      </c>
      <c r="X634" s="29">
        <v>0.75676764605789548</v>
      </c>
      <c r="Y634" s="29">
        <v>74.919996959731648</v>
      </c>
      <c r="AF634">
        <v>114.77872917215785</v>
      </c>
      <c r="AG634">
        <v>587.97048289078373</v>
      </c>
      <c r="AH634">
        <v>0</v>
      </c>
      <c r="AI634">
        <v>0</v>
      </c>
      <c r="AJ634">
        <v>587.97048289078373</v>
      </c>
      <c r="AK634">
        <v>0</v>
      </c>
      <c r="AL634" t="s">
        <v>212</v>
      </c>
      <c r="AM634">
        <v>75.676764605789543</v>
      </c>
    </row>
    <row r="635" spans="2:39">
      <c r="B635">
        <v>628</v>
      </c>
      <c r="C635" t="s">
        <v>27</v>
      </c>
      <c r="D635" t="s">
        <v>63</v>
      </c>
      <c r="E635" t="s">
        <v>207</v>
      </c>
      <c r="H635" t="s">
        <v>128</v>
      </c>
      <c r="I635" t="s">
        <v>20</v>
      </c>
      <c r="M635" s="29">
        <v>755.96204943100793</v>
      </c>
      <c r="N635" s="29"/>
      <c r="O635" s="29">
        <f>Table2[[#This Row],[Hot water demand (MWh)]]+Table2[[#This Row],[Space heating demand (MWh)]]</f>
        <v>755.96204943100793</v>
      </c>
      <c r="P635" s="29">
        <v>96.325710376797844</v>
      </c>
      <c r="Q635" s="29">
        <v>0.97298697350300856</v>
      </c>
      <c r="S635" s="17">
        <v>327.93922620616524</v>
      </c>
      <c r="T635" s="29">
        <v>821.69787981631293</v>
      </c>
      <c r="V635" s="29">
        <v>821.69787981631293</v>
      </c>
      <c r="X635" s="29">
        <v>0.97298697350300856</v>
      </c>
      <c r="Y635" s="29">
        <v>96.325710376797844</v>
      </c>
      <c r="AF635">
        <v>147.57265179277439</v>
      </c>
      <c r="AG635">
        <v>755.96204943100793</v>
      </c>
      <c r="AH635">
        <v>0</v>
      </c>
      <c r="AI635">
        <v>755.96204943100793</v>
      </c>
      <c r="AJ635">
        <v>0</v>
      </c>
      <c r="AK635">
        <v>0</v>
      </c>
      <c r="AL635" t="s">
        <v>216</v>
      </c>
      <c r="AM635">
        <v>97.298697350300856</v>
      </c>
    </row>
    <row r="636" spans="2:39">
      <c r="B636">
        <v>629</v>
      </c>
      <c r="C636" t="s">
        <v>27</v>
      </c>
      <c r="D636" t="s">
        <v>64</v>
      </c>
      <c r="E636" t="s">
        <v>207</v>
      </c>
      <c r="H636" t="s">
        <v>124</v>
      </c>
      <c r="I636" t="s">
        <v>20</v>
      </c>
      <c r="M636" s="29">
        <v>796.69018515659661</v>
      </c>
      <c r="N636" s="29"/>
      <c r="O636" s="29">
        <f>Table2[[#This Row],[Hot water demand (MWh)]]+Table2[[#This Row],[Space heating demand (MWh)]]</f>
        <v>796.69018515659661</v>
      </c>
      <c r="P636" s="29">
        <v>138.80316224525311</v>
      </c>
      <c r="Q636" s="29">
        <v>83.701096897810089</v>
      </c>
      <c r="S636" s="17">
        <v>421.62255034405695</v>
      </c>
      <c r="T636" s="29">
        <v>865.96759256151802</v>
      </c>
      <c r="V636" s="29">
        <v>865.96759256151802</v>
      </c>
      <c r="X636" s="29">
        <v>83.701096897810089</v>
      </c>
      <c r="Y636" s="29">
        <v>138.80316224525311</v>
      </c>
      <c r="AF636">
        <v>295.13578524083982</v>
      </c>
      <c r="AG636">
        <v>796.69018515659661</v>
      </c>
      <c r="AH636">
        <v>0</v>
      </c>
      <c r="AI636">
        <v>79.669018515659673</v>
      </c>
      <c r="AJ636">
        <v>478.01411109395792</v>
      </c>
      <c r="AK636">
        <v>239.00705554697896</v>
      </c>
      <c r="AL636" t="s">
        <v>212</v>
      </c>
      <c r="AM636">
        <v>310.0040625844818</v>
      </c>
    </row>
    <row r="637" spans="2:39">
      <c r="B637">
        <v>630</v>
      </c>
      <c r="C637" t="s">
        <v>27</v>
      </c>
      <c r="D637" t="s">
        <v>64</v>
      </c>
      <c r="E637" t="s">
        <v>207</v>
      </c>
      <c r="H637" t="s">
        <v>125</v>
      </c>
      <c r="I637" t="s">
        <v>20</v>
      </c>
      <c r="M637" s="29">
        <v>92.782242060162645</v>
      </c>
      <c r="N637" s="29"/>
      <c r="O637" s="29">
        <f>Table2[[#This Row],[Hot water demand (MWh)]]+Table2[[#This Row],[Space heating demand (MWh)]]</f>
        <v>92.782242060162645</v>
      </c>
      <c r="P637" s="29">
        <v>29.74353476683995</v>
      </c>
      <c r="Q637" s="29">
        <v>17.93594933524502</v>
      </c>
      <c r="S637" s="17">
        <v>421.62255034405695</v>
      </c>
      <c r="T637" s="29">
        <v>185.56448412032529</v>
      </c>
      <c r="V637" s="29">
        <v>185.56448412032529</v>
      </c>
      <c r="X637" s="29">
        <v>17.93594933524502</v>
      </c>
      <c r="Y637" s="29">
        <v>29.74353476683995</v>
      </c>
      <c r="AF637">
        <v>63.243382551608534</v>
      </c>
      <c r="AG637">
        <v>92.782242060162645</v>
      </c>
      <c r="AH637">
        <v>0</v>
      </c>
      <c r="AI637">
        <v>0</v>
      </c>
      <c r="AJ637">
        <v>92.782242060162645</v>
      </c>
      <c r="AK637">
        <v>0</v>
      </c>
      <c r="AL637" t="s">
        <v>213</v>
      </c>
      <c r="AM637">
        <v>66.429441982388965</v>
      </c>
    </row>
    <row r="638" spans="2:39">
      <c r="B638">
        <v>631</v>
      </c>
      <c r="C638" t="s">
        <v>27</v>
      </c>
      <c r="D638" t="s">
        <v>64</v>
      </c>
      <c r="E638" t="s">
        <v>207</v>
      </c>
      <c r="H638" t="s">
        <v>130</v>
      </c>
      <c r="I638" t="s">
        <v>20</v>
      </c>
      <c r="M638" s="29">
        <v>113.81288359379951</v>
      </c>
      <c r="N638" s="29"/>
      <c r="O638" s="29">
        <f>Table2[[#This Row],[Hot water demand (MWh)]]+Table2[[#This Row],[Space heating demand (MWh)]]</f>
        <v>113.81288359379951</v>
      </c>
      <c r="P638" s="29">
        <v>19.829023177893305</v>
      </c>
      <c r="Q638" s="29">
        <v>11.957299556830016</v>
      </c>
      <c r="S638" s="17">
        <v>421.62255034405695</v>
      </c>
      <c r="T638" s="29">
        <v>123.70965608021686</v>
      </c>
      <c r="V638" s="29">
        <v>123.70965608021686</v>
      </c>
      <c r="X638" s="29">
        <v>11.957299556830016</v>
      </c>
      <c r="Y638" s="29">
        <v>19.829023177893305</v>
      </c>
      <c r="AF638">
        <v>42.162255034405696</v>
      </c>
      <c r="AG638">
        <v>113.81288359379951</v>
      </c>
      <c r="AH638">
        <v>0</v>
      </c>
      <c r="AI638">
        <v>113.81288359379951</v>
      </c>
      <c r="AJ638">
        <v>0</v>
      </c>
      <c r="AK638">
        <v>0</v>
      </c>
      <c r="AL638" t="s">
        <v>218</v>
      </c>
      <c r="AM638">
        <v>44.286294654925982</v>
      </c>
    </row>
    <row r="639" spans="2:39">
      <c r="B639">
        <v>632</v>
      </c>
      <c r="C639" t="s">
        <v>27</v>
      </c>
      <c r="D639" t="s">
        <v>64</v>
      </c>
      <c r="E639" t="s">
        <v>207</v>
      </c>
      <c r="H639" t="s">
        <v>128</v>
      </c>
      <c r="I639" t="s">
        <v>20</v>
      </c>
      <c r="M639" s="29">
        <v>56.906441796899756</v>
      </c>
      <c r="N639" s="29"/>
      <c r="O639" s="29">
        <f>Table2[[#This Row],[Hot water demand (MWh)]]+Table2[[#This Row],[Space heating demand (MWh)]]</f>
        <v>56.906441796899756</v>
      </c>
      <c r="P639" s="29">
        <v>9.9145115889466524</v>
      </c>
      <c r="Q639" s="29">
        <v>5.9786497784150079</v>
      </c>
      <c r="S639" s="17">
        <v>421.62255034405695</v>
      </c>
      <c r="T639" s="29">
        <v>61.85482804010843</v>
      </c>
      <c r="V639" s="29">
        <v>61.85482804010843</v>
      </c>
      <c r="X639" s="29">
        <v>5.9786497784150079</v>
      </c>
      <c r="Y639" s="29">
        <v>9.9145115889466524</v>
      </c>
      <c r="AF639">
        <v>21.081127517202848</v>
      </c>
      <c r="AG639">
        <v>56.906441796899756</v>
      </c>
      <c r="AH639">
        <v>0</v>
      </c>
      <c r="AI639">
        <v>0</v>
      </c>
      <c r="AJ639">
        <v>0</v>
      </c>
      <c r="AK639">
        <v>56.906441796899756</v>
      </c>
      <c r="AL639" t="s">
        <v>216</v>
      </c>
      <c r="AM639">
        <v>22.143147327462991</v>
      </c>
    </row>
    <row r="640" spans="2:39">
      <c r="B640">
        <v>633</v>
      </c>
      <c r="C640" t="s">
        <v>27</v>
      </c>
      <c r="D640" t="s">
        <v>65</v>
      </c>
      <c r="E640" t="s">
        <v>207</v>
      </c>
      <c r="H640" t="s">
        <v>127</v>
      </c>
      <c r="I640" t="s">
        <v>20</v>
      </c>
      <c r="M640" s="29">
        <v>0</v>
      </c>
      <c r="N640" s="29"/>
      <c r="O640" s="29">
        <f>Table2[[#This Row],[Hot water demand (MWh)]]+Table2[[#This Row],[Space heating demand (MWh)]]</f>
        <v>0</v>
      </c>
      <c r="P640" s="29">
        <v>0</v>
      </c>
      <c r="Q640" s="29">
        <v>0</v>
      </c>
      <c r="S640" s="17">
        <v>0</v>
      </c>
      <c r="T640" s="29">
        <v>0</v>
      </c>
      <c r="V640" s="29">
        <v>0</v>
      </c>
      <c r="X640" s="29">
        <v>0</v>
      </c>
      <c r="Y640" s="29">
        <v>0</v>
      </c>
      <c r="AF640">
        <v>0</v>
      </c>
      <c r="AG640">
        <v>0</v>
      </c>
      <c r="AH640">
        <v>0</v>
      </c>
      <c r="AI640">
        <v>0</v>
      </c>
      <c r="AJ640">
        <v>0</v>
      </c>
      <c r="AK640">
        <v>0</v>
      </c>
      <c r="AL640" t="s">
        <v>215</v>
      </c>
      <c r="AM640">
        <v>0</v>
      </c>
    </row>
    <row r="641" spans="2:39">
      <c r="B641">
        <v>634</v>
      </c>
      <c r="C641" t="s">
        <v>27</v>
      </c>
      <c r="D641" t="s">
        <v>65</v>
      </c>
      <c r="E641" t="s">
        <v>207</v>
      </c>
      <c r="H641" t="s">
        <v>129</v>
      </c>
      <c r="I641" t="s">
        <v>20</v>
      </c>
      <c r="M641" s="29">
        <v>0</v>
      </c>
      <c r="N641" s="29"/>
      <c r="O641" s="29">
        <f>Table2[[#This Row],[Hot water demand (MWh)]]+Table2[[#This Row],[Space heating demand (MWh)]]</f>
        <v>0</v>
      </c>
      <c r="P641" s="29">
        <v>0</v>
      </c>
      <c r="Q641" s="29">
        <v>0</v>
      </c>
      <c r="S641" s="17">
        <v>0</v>
      </c>
      <c r="T641" s="29">
        <v>0</v>
      </c>
      <c r="V641" s="29">
        <v>0</v>
      </c>
      <c r="X641" s="29">
        <v>0</v>
      </c>
      <c r="Y641" s="29">
        <v>0</v>
      </c>
      <c r="AF641">
        <v>0</v>
      </c>
      <c r="AG641">
        <v>0</v>
      </c>
      <c r="AH641">
        <v>0</v>
      </c>
      <c r="AI641">
        <v>0</v>
      </c>
      <c r="AJ641">
        <v>0</v>
      </c>
      <c r="AK641">
        <v>0</v>
      </c>
      <c r="AL641" t="s">
        <v>217</v>
      </c>
      <c r="AM641">
        <v>0</v>
      </c>
    </row>
    <row r="642" spans="2:39">
      <c r="B642">
        <v>635</v>
      </c>
      <c r="C642" t="s">
        <v>27</v>
      </c>
      <c r="D642" t="s">
        <v>65</v>
      </c>
      <c r="E642" t="s">
        <v>207</v>
      </c>
      <c r="H642" t="s">
        <v>126</v>
      </c>
      <c r="I642" t="s">
        <v>20</v>
      </c>
      <c r="M642" s="29">
        <v>0</v>
      </c>
      <c r="N642" s="29"/>
      <c r="O642" s="29">
        <f>Table2[[#This Row],[Hot water demand (MWh)]]+Table2[[#This Row],[Space heating demand (MWh)]]</f>
        <v>0</v>
      </c>
      <c r="P642" s="29">
        <v>0</v>
      </c>
      <c r="Q642" s="29">
        <v>0</v>
      </c>
      <c r="S642" s="17">
        <v>0</v>
      </c>
      <c r="T642" s="29">
        <v>0</v>
      </c>
      <c r="V642" s="29">
        <v>0</v>
      </c>
      <c r="X642" s="29">
        <v>0</v>
      </c>
      <c r="Y642" s="29">
        <v>0</v>
      </c>
      <c r="AF642">
        <v>0</v>
      </c>
      <c r="AG642">
        <v>0</v>
      </c>
      <c r="AH642">
        <v>0</v>
      </c>
      <c r="AI642">
        <v>0</v>
      </c>
      <c r="AJ642">
        <v>0</v>
      </c>
      <c r="AK642">
        <v>0</v>
      </c>
      <c r="AL642" t="s">
        <v>214</v>
      </c>
      <c r="AM642">
        <v>0</v>
      </c>
    </row>
    <row r="643" spans="2:39">
      <c r="B643">
        <v>636</v>
      </c>
      <c r="C643" t="s">
        <v>27</v>
      </c>
      <c r="D643" t="s">
        <v>65</v>
      </c>
      <c r="E643" t="s">
        <v>207</v>
      </c>
      <c r="H643" t="s">
        <v>128</v>
      </c>
      <c r="I643" t="s">
        <v>20</v>
      </c>
      <c r="M643" s="29">
        <v>0</v>
      </c>
      <c r="N643" s="29"/>
      <c r="O643" s="29">
        <f>Table2[[#This Row],[Hot water demand (MWh)]]+Table2[[#This Row],[Space heating demand (MWh)]]</f>
        <v>0</v>
      </c>
      <c r="P643" s="29">
        <v>0</v>
      </c>
      <c r="Q643" s="29">
        <v>0</v>
      </c>
      <c r="S643" s="17">
        <v>0</v>
      </c>
      <c r="T643" s="29">
        <v>0</v>
      </c>
      <c r="V643" s="29">
        <v>0</v>
      </c>
      <c r="X643" s="29">
        <v>0</v>
      </c>
      <c r="Y643" s="29">
        <v>0</v>
      </c>
      <c r="AF643">
        <v>0</v>
      </c>
      <c r="AG643">
        <v>0</v>
      </c>
      <c r="AH643">
        <v>0</v>
      </c>
      <c r="AI643">
        <v>0</v>
      </c>
      <c r="AJ643">
        <v>0</v>
      </c>
      <c r="AK643">
        <v>0</v>
      </c>
      <c r="AL643" t="s">
        <v>216</v>
      </c>
      <c r="AM643">
        <v>0</v>
      </c>
    </row>
    <row r="644" spans="2:39">
      <c r="B644">
        <v>637</v>
      </c>
      <c r="C644" t="s">
        <v>27</v>
      </c>
      <c r="D644" t="s">
        <v>66</v>
      </c>
      <c r="E644" t="s">
        <v>207</v>
      </c>
      <c r="H644" t="s">
        <v>129</v>
      </c>
      <c r="I644" t="s">
        <v>20</v>
      </c>
      <c r="M644" s="29">
        <v>0</v>
      </c>
      <c r="N644" s="29"/>
      <c r="O644" s="29">
        <f>Table2[[#This Row],[Hot water demand (MWh)]]+Table2[[#This Row],[Space heating demand (MWh)]]</f>
        <v>0</v>
      </c>
      <c r="P644" s="29">
        <v>0</v>
      </c>
      <c r="Q644" s="29">
        <v>0</v>
      </c>
      <c r="S644" s="17">
        <v>0</v>
      </c>
      <c r="T644" s="29">
        <v>0</v>
      </c>
      <c r="V644" s="29">
        <v>0</v>
      </c>
      <c r="X644" s="29">
        <v>0</v>
      </c>
      <c r="Y644" s="29">
        <v>0</v>
      </c>
      <c r="AF644">
        <v>0</v>
      </c>
      <c r="AG644">
        <v>0</v>
      </c>
      <c r="AH644">
        <v>0</v>
      </c>
      <c r="AI644">
        <v>0</v>
      </c>
      <c r="AJ644">
        <v>0</v>
      </c>
      <c r="AK644">
        <v>0</v>
      </c>
      <c r="AL644" t="s">
        <v>217</v>
      </c>
      <c r="AM644">
        <v>0</v>
      </c>
    </row>
    <row r="645" spans="2:39">
      <c r="B645">
        <v>638</v>
      </c>
      <c r="C645" t="s">
        <v>27</v>
      </c>
      <c r="D645" t="s">
        <v>66</v>
      </c>
      <c r="E645" t="s">
        <v>207</v>
      </c>
      <c r="H645" t="s">
        <v>124</v>
      </c>
      <c r="I645" t="s">
        <v>20</v>
      </c>
      <c r="M645" s="29">
        <v>249.82918549788005</v>
      </c>
      <c r="N645" s="29"/>
      <c r="O645" s="29">
        <f>Table2[[#This Row],[Hot water demand (MWh)]]+Table2[[#This Row],[Space heating demand (MWh)]]</f>
        <v>249.82918549788005</v>
      </c>
      <c r="P645" s="29">
        <v>408.09562947769916</v>
      </c>
      <c r="Q645" s="29">
        <v>21.798019534578831</v>
      </c>
      <c r="S645" s="17">
        <v>678.18190376871667</v>
      </c>
      <c r="T645" s="29">
        <v>271.5534624976957</v>
      </c>
      <c r="V645" s="29">
        <v>271.5534624976957</v>
      </c>
      <c r="X645" s="29">
        <v>21.798019534578831</v>
      </c>
      <c r="Y645" s="29">
        <v>408.09562947769916</v>
      </c>
      <c r="AF645">
        <v>406.90914226122999</v>
      </c>
      <c r="AG645">
        <v>249.82918549788005</v>
      </c>
      <c r="AH645">
        <v>0</v>
      </c>
      <c r="AI645">
        <v>0</v>
      </c>
      <c r="AJ645">
        <v>149.89751129872803</v>
      </c>
      <c r="AK645">
        <v>99.931674199152027</v>
      </c>
      <c r="AL645" t="s">
        <v>212</v>
      </c>
      <c r="AM645">
        <v>435.96039069157661</v>
      </c>
    </row>
    <row r="646" spans="2:39">
      <c r="B646">
        <v>639</v>
      </c>
      <c r="C646" t="s">
        <v>27</v>
      </c>
      <c r="D646" t="s">
        <v>66</v>
      </c>
      <c r="E646" t="s">
        <v>207</v>
      </c>
      <c r="H646" t="s">
        <v>125</v>
      </c>
      <c r="I646" t="s">
        <v>20</v>
      </c>
      <c r="M646" s="29">
        <v>33.944182812211963</v>
      </c>
      <c r="N646" s="29"/>
      <c r="O646" s="29">
        <f>Table2[[#This Row],[Hot water demand (MWh)]]+Table2[[#This Row],[Space heating demand (MWh)]]</f>
        <v>33.944182812211963</v>
      </c>
      <c r="P646" s="29">
        <v>102.02390736942479</v>
      </c>
      <c r="Q646" s="29">
        <v>5.4495048836447078</v>
      </c>
      <c r="S646" s="17">
        <v>678.18190376871667</v>
      </c>
      <c r="T646" s="29">
        <v>67.888365624423926</v>
      </c>
      <c r="V646" s="29">
        <v>67.888365624423926</v>
      </c>
      <c r="X646" s="29">
        <v>5.4495048836447078</v>
      </c>
      <c r="Y646" s="29">
        <v>102.02390736942479</v>
      </c>
      <c r="AF646">
        <v>101.7272855653075</v>
      </c>
      <c r="AG646">
        <v>33.944182812211963</v>
      </c>
      <c r="AH646">
        <v>0</v>
      </c>
      <c r="AI646">
        <v>0</v>
      </c>
      <c r="AJ646">
        <v>33.944182812211963</v>
      </c>
      <c r="AK646">
        <v>0</v>
      </c>
      <c r="AL646" t="s">
        <v>213</v>
      </c>
      <c r="AM646">
        <v>108.99009767289415</v>
      </c>
    </row>
    <row r="647" spans="2:39">
      <c r="B647">
        <v>640</v>
      </c>
      <c r="C647" t="s">
        <v>27</v>
      </c>
      <c r="D647" t="s">
        <v>66</v>
      </c>
      <c r="E647" t="s">
        <v>207</v>
      </c>
      <c r="H647" t="s">
        <v>130</v>
      </c>
      <c r="I647" t="s">
        <v>20</v>
      </c>
      <c r="M647" s="29">
        <v>41.63819758298002</v>
      </c>
      <c r="N647" s="29"/>
      <c r="O647" s="29">
        <f>Table2[[#This Row],[Hot water demand (MWh)]]+Table2[[#This Row],[Space heating demand (MWh)]]</f>
        <v>41.63819758298002</v>
      </c>
      <c r="P647" s="29">
        <v>68.015938246283199</v>
      </c>
      <c r="Q647" s="29">
        <v>3.6330032557631387</v>
      </c>
      <c r="S647" s="17">
        <v>678.18190376871667</v>
      </c>
      <c r="T647" s="29">
        <v>45.258910416282632</v>
      </c>
      <c r="V647" s="29">
        <v>45.258910416282632</v>
      </c>
      <c r="X647" s="29">
        <v>3.6330032557631387</v>
      </c>
      <c r="Y647" s="29">
        <v>68.015938246283199</v>
      </c>
      <c r="AF647">
        <v>67.818190376871655</v>
      </c>
      <c r="AG647">
        <v>41.63819758298002</v>
      </c>
      <c r="AH647">
        <v>0</v>
      </c>
      <c r="AI647">
        <v>0</v>
      </c>
      <c r="AJ647">
        <v>41.63819758298002</v>
      </c>
      <c r="AK647">
        <v>0</v>
      </c>
      <c r="AL647" t="s">
        <v>218</v>
      </c>
      <c r="AM647">
        <v>72.660065115262768</v>
      </c>
    </row>
    <row r="648" spans="2:39">
      <c r="B648">
        <v>641</v>
      </c>
      <c r="C648" t="s">
        <v>27</v>
      </c>
      <c r="D648" t="s">
        <v>66</v>
      </c>
      <c r="E648" t="s">
        <v>207</v>
      </c>
      <c r="H648" t="s">
        <v>126</v>
      </c>
      <c r="I648" t="s">
        <v>20</v>
      </c>
      <c r="M648" s="29">
        <v>19.235036926920117</v>
      </c>
      <c r="N648" s="29"/>
      <c r="O648" s="29">
        <f>Table2[[#This Row],[Hot water demand (MWh)]]+Table2[[#This Row],[Space heating demand (MWh)]]</f>
        <v>19.235036926920117</v>
      </c>
      <c r="P648" s="29">
        <v>34.007969123141599</v>
      </c>
      <c r="Q648" s="29">
        <v>1.8165016278815693</v>
      </c>
      <c r="S648" s="17">
        <v>678.18190376871667</v>
      </c>
      <c r="T648" s="29">
        <v>22.629455208141316</v>
      </c>
      <c r="V648" s="29">
        <v>22.629455208141316</v>
      </c>
      <c r="X648" s="29">
        <v>1.8165016278815693</v>
      </c>
      <c r="Y648" s="29">
        <v>34.007969123141599</v>
      </c>
      <c r="AF648">
        <v>33.909095188435828</v>
      </c>
      <c r="AG648">
        <v>19.235036926920117</v>
      </c>
      <c r="AH648">
        <v>19.235036926920117</v>
      </c>
      <c r="AI648">
        <v>0</v>
      </c>
      <c r="AJ648">
        <v>0</v>
      </c>
      <c r="AK648">
        <v>0</v>
      </c>
      <c r="AL648" t="s">
        <v>214</v>
      </c>
      <c r="AM648">
        <v>36.330032557631384</v>
      </c>
    </row>
    <row r="649" spans="2:39">
      <c r="B649">
        <v>642</v>
      </c>
      <c r="C649" t="s">
        <v>27</v>
      </c>
      <c r="D649" t="s">
        <v>66</v>
      </c>
      <c r="E649" t="s">
        <v>207</v>
      </c>
      <c r="H649" t="s">
        <v>128</v>
      </c>
      <c r="I649" t="s">
        <v>20</v>
      </c>
      <c r="M649" s="29">
        <v>41.63819758298002</v>
      </c>
      <c r="N649" s="29"/>
      <c r="O649" s="29">
        <f>Table2[[#This Row],[Hot water demand (MWh)]]+Table2[[#This Row],[Space heating demand (MWh)]]</f>
        <v>41.63819758298002</v>
      </c>
      <c r="P649" s="29">
        <v>68.015938246283199</v>
      </c>
      <c r="Q649" s="29">
        <v>3.6330032557631387</v>
      </c>
      <c r="S649" s="17">
        <v>678.18190376871667</v>
      </c>
      <c r="T649" s="29">
        <v>45.258910416282632</v>
      </c>
      <c r="V649" s="29">
        <v>45.258910416282632</v>
      </c>
      <c r="X649" s="29">
        <v>3.6330032557631387</v>
      </c>
      <c r="Y649" s="29">
        <v>68.015938246283199</v>
      </c>
      <c r="AF649">
        <v>67.818190376871655</v>
      </c>
      <c r="AG649">
        <v>41.63819758298002</v>
      </c>
      <c r="AH649">
        <v>0</v>
      </c>
      <c r="AI649">
        <v>0</v>
      </c>
      <c r="AJ649">
        <v>41.63819758298002</v>
      </c>
      <c r="AK649">
        <v>0</v>
      </c>
      <c r="AL649" t="s">
        <v>216</v>
      </c>
      <c r="AM649">
        <v>72.660065115262768</v>
      </c>
    </row>
    <row r="650" spans="2:39">
      <c r="B650">
        <v>643</v>
      </c>
      <c r="C650" t="s">
        <v>27</v>
      </c>
      <c r="D650" t="s">
        <v>67</v>
      </c>
      <c r="E650" t="s">
        <v>207</v>
      </c>
      <c r="H650" t="s">
        <v>124</v>
      </c>
      <c r="I650" t="s">
        <v>20</v>
      </c>
      <c r="M650" s="29">
        <v>3614.3276717845729</v>
      </c>
      <c r="N650" s="29"/>
      <c r="O650" s="29">
        <f>Table2[[#This Row],[Hot water demand (MWh)]]+Table2[[#This Row],[Space heating demand (MWh)]]</f>
        <v>3614.3276717845729</v>
      </c>
      <c r="P650" s="29">
        <v>2196.4410079290897</v>
      </c>
      <c r="Q650" s="29">
        <v>343.49652160733785</v>
      </c>
      <c r="S650" s="17">
        <v>19.156758725838721</v>
      </c>
      <c r="T650" s="29">
        <v>3928.6170345484488</v>
      </c>
      <c r="V650" s="29">
        <v>3928.6170345484488</v>
      </c>
      <c r="X650" s="29">
        <v>343.49652160733785</v>
      </c>
      <c r="Y650" s="29">
        <v>2196.4410079290897</v>
      </c>
      <c r="AF650">
        <v>13.409731108087103</v>
      </c>
      <c r="AG650">
        <v>3614.3276717845729</v>
      </c>
      <c r="AH650">
        <v>0</v>
      </c>
      <c r="AI650">
        <v>361.43276717845731</v>
      </c>
      <c r="AJ650">
        <v>2530.0293702492008</v>
      </c>
      <c r="AK650">
        <v>722.86553435691462</v>
      </c>
      <c r="AL650" t="s">
        <v>212</v>
      </c>
      <c r="AM650">
        <v>2862.4710133944823</v>
      </c>
    </row>
    <row r="651" spans="2:39">
      <c r="B651">
        <v>644</v>
      </c>
      <c r="C651" t="s">
        <v>27</v>
      </c>
      <c r="D651" t="s">
        <v>67</v>
      </c>
      <c r="E651" t="s">
        <v>207</v>
      </c>
      <c r="H651" t="s">
        <v>125</v>
      </c>
      <c r="I651" t="s">
        <v>20</v>
      </c>
      <c r="M651" s="29">
        <v>561.23100493549271</v>
      </c>
      <c r="N651" s="29"/>
      <c r="O651" s="29">
        <f>Table2[[#This Row],[Hot water demand (MWh)]]+Table2[[#This Row],[Space heating demand (MWh)]]</f>
        <v>561.23100493549271</v>
      </c>
      <c r="P651" s="29">
        <v>627.55457369402575</v>
      </c>
      <c r="Q651" s="29">
        <v>98.14186331638227</v>
      </c>
      <c r="S651" s="17">
        <v>19.156758725838724</v>
      </c>
      <c r="T651" s="29">
        <v>1122.4620098709854</v>
      </c>
      <c r="V651" s="29">
        <v>1122.4620098709854</v>
      </c>
      <c r="X651" s="29">
        <v>98.14186331638227</v>
      </c>
      <c r="Y651" s="29">
        <v>627.55457369402575</v>
      </c>
      <c r="AF651">
        <v>3.831351745167745</v>
      </c>
      <c r="AG651">
        <v>561.23100493549271</v>
      </c>
      <c r="AH651">
        <v>0</v>
      </c>
      <c r="AI651">
        <v>561.23100493549271</v>
      </c>
      <c r="AJ651">
        <v>0</v>
      </c>
      <c r="AK651">
        <v>0</v>
      </c>
      <c r="AL651" t="s">
        <v>213</v>
      </c>
      <c r="AM651">
        <v>817.84886096985224</v>
      </c>
    </row>
    <row r="652" spans="2:39">
      <c r="B652">
        <v>645</v>
      </c>
      <c r="C652" t="s">
        <v>27</v>
      </c>
      <c r="D652" t="s">
        <v>67</v>
      </c>
      <c r="E652" t="s">
        <v>207</v>
      </c>
      <c r="H652" t="s">
        <v>130</v>
      </c>
      <c r="I652" t="s">
        <v>20</v>
      </c>
      <c r="M652" s="29">
        <v>258.16626227032668</v>
      </c>
      <c r="N652" s="29"/>
      <c r="O652" s="29">
        <f>Table2[[#This Row],[Hot water demand (MWh)]]+Table2[[#This Row],[Space heating demand (MWh)]]</f>
        <v>258.16626227032668</v>
      </c>
      <c r="P652" s="29">
        <v>156.88864342350644</v>
      </c>
      <c r="Q652" s="29">
        <v>24.535465829095568</v>
      </c>
      <c r="S652" s="17">
        <v>19.156758725838724</v>
      </c>
      <c r="T652" s="29">
        <v>280.61550246774635</v>
      </c>
      <c r="V652" s="29">
        <v>280.61550246774635</v>
      </c>
      <c r="X652" s="29">
        <v>24.535465829095568</v>
      </c>
      <c r="Y652" s="29">
        <v>156.88864342350644</v>
      </c>
      <c r="AF652">
        <v>0.95783793629193625</v>
      </c>
      <c r="AG652">
        <v>258.16626227032668</v>
      </c>
      <c r="AH652">
        <v>0</v>
      </c>
      <c r="AI652">
        <v>0</v>
      </c>
      <c r="AJ652">
        <v>258.16626227032668</v>
      </c>
      <c r="AK652">
        <v>0</v>
      </c>
      <c r="AL652" t="s">
        <v>218</v>
      </c>
      <c r="AM652">
        <v>204.46221524246306</v>
      </c>
    </row>
    <row r="653" spans="2:39">
      <c r="B653">
        <v>646</v>
      </c>
      <c r="C653" t="s">
        <v>27</v>
      </c>
      <c r="D653" t="s">
        <v>67</v>
      </c>
      <c r="E653" t="s">
        <v>207</v>
      </c>
      <c r="H653" t="s">
        <v>126</v>
      </c>
      <c r="I653" t="s">
        <v>20</v>
      </c>
      <c r="M653" s="29">
        <v>0</v>
      </c>
      <c r="N653" s="29"/>
      <c r="O653" s="29">
        <f>Table2[[#This Row],[Hot water demand (MWh)]]+Table2[[#This Row],[Space heating demand (MWh)]]</f>
        <v>0</v>
      </c>
      <c r="P653" s="29">
        <v>0</v>
      </c>
      <c r="Q653" s="29">
        <v>0</v>
      </c>
      <c r="S653" s="17">
        <v>0</v>
      </c>
      <c r="T653" s="29">
        <v>0</v>
      </c>
      <c r="V653" s="29">
        <v>0</v>
      </c>
      <c r="X653" s="29">
        <v>0</v>
      </c>
      <c r="Y653" s="29">
        <v>0</v>
      </c>
      <c r="AF653">
        <v>0</v>
      </c>
      <c r="AG653">
        <v>0</v>
      </c>
      <c r="AH653">
        <v>0</v>
      </c>
      <c r="AI653">
        <v>0</v>
      </c>
      <c r="AJ653">
        <v>0</v>
      </c>
      <c r="AK653">
        <v>0</v>
      </c>
      <c r="AL653" t="s">
        <v>214</v>
      </c>
      <c r="AM653">
        <v>0</v>
      </c>
    </row>
    <row r="654" spans="2:39">
      <c r="B654">
        <v>647</v>
      </c>
      <c r="C654" t="s">
        <v>27</v>
      </c>
      <c r="D654" t="s">
        <v>67</v>
      </c>
      <c r="E654" t="s">
        <v>207</v>
      </c>
      <c r="H654" t="s">
        <v>128</v>
      </c>
      <c r="I654" t="s">
        <v>20</v>
      </c>
      <c r="M654" s="29">
        <v>258.16626227032668</v>
      </c>
      <c r="N654" s="29"/>
      <c r="O654" s="29">
        <f>Table2[[#This Row],[Hot water demand (MWh)]]+Table2[[#This Row],[Space heating demand (MWh)]]</f>
        <v>258.16626227032668</v>
      </c>
      <c r="P654" s="29">
        <v>156.88864342350644</v>
      </c>
      <c r="Q654" s="29">
        <v>24.535465829095568</v>
      </c>
      <c r="S654" s="17">
        <v>19.156758725838724</v>
      </c>
      <c r="T654" s="29">
        <v>280.61550246774635</v>
      </c>
      <c r="V654" s="29">
        <v>280.61550246774635</v>
      </c>
      <c r="X654" s="29">
        <v>24.535465829095568</v>
      </c>
      <c r="Y654" s="29">
        <v>156.88864342350644</v>
      </c>
      <c r="AF654">
        <v>0.95783793629193625</v>
      </c>
      <c r="AG654">
        <v>258.16626227032668</v>
      </c>
      <c r="AH654">
        <v>0</v>
      </c>
      <c r="AI654">
        <v>0</v>
      </c>
      <c r="AJ654">
        <v>258.16626227032668</v>
      </c>
      <c r="AK654">
        <v>0</v>
      </c>
      <c r="AL654" t="s">
        <v>216</v>
      </c>
      <c r="AM654">
        <v>204.46221524246306</v>
      </c>
    </row>
    <row r="655" spans="2:39">
      <c r="B655">
        <v>648</v>
      </c>
      <c r="C655" t="s">
        <v>27</v>
      </c>
      <c r="D655" t="s">
        <v>59</v>
      </c>
      <c r="E655" t="s">
        <v>207</v>
      </c>
      <c r="H655" t="s">
        <v>131</v>
      </c>
      <c r="I655" t="s">
        <v>19</v>
      </c>
      <c r="M655" s="29">
        <v>314.34636439742536</v>
      </c>
      <c r="N655" s="29"/>
      <c r="O655" s="29">
        <f>Table2[[#This Row],[Hot water demand (MWh)]]+Table2[[#This Row],[Space heating demand (MWh)]]</f>
        <v>314.34636439742536</v>
      </c>
      <c r="P655" s="29">
        <v>-34.392507749606139</v>
      </c>
      <c r="Q655" s="29">
        <v>0.29763528410567658</v>
      </c>
      <c r="S655" s="17">
        <v>672.70342040405171</v>
      </c>
      <c r="T655" s="29">
        <v>341.68083086676671</v>
      </c>
      <c r="V655" s="29">
        <v>341.68083086676671</v>
      </c>
      <c r="X655" s="29">
        <v>0.29763528410567658</v>
      </c>
      <c r="Y655" s="29">
        <v>-34.392507749606139</v>
      </c>
      <c r="AF655">
        <v>269.08136816162067</v>
      </c>
      <c r="AG655">
        <v>314.34636439742536</v>
      </c>
      <c r="AH655">
        <v>0</v>
      </c>
      <c r="AI655">
        <v>314.34636439742536</v>
      </c>
      <c r="AJ655">
        <v>0</v>
      </c>
      <c r="AK655">
        <v>0</v>
      </c>
      <c r="AL655" t="s">
        <v>212</v>
      </c>
      <c r="AM655">
        <v>29.763528410567655</v>
      </c>
    </row>
    <row r="656" spans="2:39">
      <c r="B656">
        <v>649</v>
      </c>
      <c r="C656" t="s">
        <v>27</v>
      </c>
      <c r="D656" t="s">
        <v>59</v>
      </c>
      <c r="E656" t="s">
        <v>207</v>
      </c>
      <c r="H656" t="s">
        <v>132</v>
      </c>
      <c r="I656" t="s">
        <v>19</v>
      </c>
      <c r="M656" s="29">
        <v>0</v>
      </c>
      <c r="N656" s="29"/>
      <c r="O656" s="29">
        <f>Table2[[#This Row],[Hot water demand (MWh)]]+Table2[[#This Row],[Space heating demand (MWh)]]</f>
        <v>0</v>
      </c>
      <c r="P656" s="29">
        <v>0</v>
      </c>
      <c r="Q656" s="29">
        <v>0</v>
      </c>
      <c r="S656" s="17">
        <v>0</v>
      </c>
      <c r="T656" s="29">
        <v>0</v>
      </c>
      <c r="V656" s="29">
        <v>0</v>
      </c>
      <c r="X656" s="29">
        <v>0</v>
      </c>
      <c r="Y656" s="29">
        <v>0</v>
      </c>
      <c r="AF656">
        <v>0</v>
      </c>
      <c r="AG656">
        <v>0</v>
      </c>
      <c r="AH656">
        <v>0</v>
      </c>
      <c r="AI656">
        <v>0</v>
      </c>
      <c r="AJ656">
        <v>0</v>
      </c>
      <c r="AK656">
        <v>0</v>
      </c>
      <c r="AL656" t="s">
        <v>213</v>
      </c>
      <c r="AM656">
        <v>0</v>
      </c>
    </row>
    <row r="657" spans="2:39">
      <c r="B657">
        <v>650</v>
      </c>
      <c r="C657" t="s">
        <v>27</v>
      </c>
      <c r="D657" t="s">
        <v>59</v>
      </c>
      <c r="E657" t="s">
        <v>207</v>
      </c>
      <c r="H657" t="s">
        <v>133</v>
      </c>
      <c r="I657" t="s">
        <v>19</v>
      </c>
      <c r="M657" s="29">
        <v>435.64305935512749</v>
      </c>
      <c r="N657" s="29"/>
      <c r="O657" s="29">
        <f>Table2[[#This Row],[Hot water demand (MWh)]]+Table2[[#This Row],[Space heating demand (MWh)]]</f>
        <v>435.64305935512749</v>
      </c>
      <c r="P657" s="29">
        <v>-51.588761624409216</v>
      </c>
      <c r="Q657" s="29">
        <v>0.44645292615851473</v>
      </c>
      <c r="S657" s="17">
        <v>672.70342040405171</v>
      </c>
      <c r="T657" s="29">
        <v>512.52124630014998</v>
      </c>
      <c r="V657" s="29">
        <v>512.52124630014998</v>
      </c>
      <c r="X657" s="29">
        <v>0.44645292615851473</v>
      </c>
      <c r="Y657" s="29">
        <v>-51.588761624409216</v>
      </c>
      <c r="AF657">
        <v>403.62205224243093</v>
      </c>
      <c r="AG657">
        <v>435.64305935512749</v>
      </c>
      <c r="AH657">
        <v>435.64305935512749</v>
      </c>
      <c r="AI657">
        <v>0</v>
      </c>
      <c r="AJ657">
        <v>0</v>
      </c>
      <c r="AK657">
        <v>0</v>
      </c>
      <c r="AL657" t="s">
        <v>214</v>
      </c>
      <c r="AM657">
        <v>44.645292615851474</v>
      </c>
    </row>
    <row r="658" spans="2:39">
      <c r="B658">
        <v>651</v>
      </c>
      <c r="C658" t="s">
        <v>27</v>
      </c>
      <c r="D658" t="s">
        <v>60</v>
      </c>
      <c r="E658" t="s">
        <v>207</v>
      </c>
      <c r="H658" t="s">
        <v>134</v>
      </c>
      <c r="I658" t="s">
        <v>19</v>
      </c>
      <c r="M658" s="29">
        <v>0</v>
      </c>
      <c r="N658" s="29"/>
      <c r="O658" s="29">
        <f>Table2[[#This Row],[Hot water demand (MWh)]]+Table2[[#This Row],[Space heating demand (MWh)]]</f>
        <v>0</v>
      </c>
      <c r="P658" s="29">
        <v>0</v>
      </c>
      <c r="Q658" s="29">
        <v>0</v>
      </c>
      <c r="S658" s="17">
        <v>0</v>
      </c>
      <c r="T658" s="29">
        <v>0</v>
      </c>
      <c r="V658" s="29">
        <v>0</v>
      </c>
      <c r="X658" s="29">
        <v>0</v>
      </c>
      <c r="Y658" s="29">
        <v>0</v>
      </c>
      <c r="AF658">
        <v>0</v>
      </c>
      <c r="AG658">
        <v>0</v>
      </c>
      <c r="AH658">
        <v>0</v>
      </c>
      <c r="AI658">
        <v>0</v>
      </c>
      <c r="AJ658">
        <v>0</v>
      </c>
      <c r="AK658">
        <v>0</v>
      </c>
      <c r="AL658" t="s">
        <v>215</v>
      </c>
      <c r="AM658">
        <v>0</v>
      </c>
    </row>
    <row r="659" spans="2:39">
      <c r="B659">
        <v>652</v>
      </c>
      <c r="C659" t="s">
        <v>27</v>
      </c>
      <c r="D659" t="s">
        <v>60</v>
      </c>
      <c r="E659" t="s">
        <v>207</v>
      </c>
      <c r="H659" t="s">
        <v>133</v>
      </c>
      <c r="I659" t="s">
        <v>19</v>
      </c>
      <c r="M659" s="29">
        <v>0</v>
      </c>
      <c r="N659" s="29"/>
      <c r="O659" s="29">
        <f>Table2[[#This Row],[Hot water demand (MWh)]]+Table2[[#This Row],[Space heating demand (MWh)]]</f>
        <v>0</v>
      </c>
      <c r="P659" s="29">
        <v>0</v>
      </c>
      <c r="Q659" s="29">
        <v>0</v>
      </c>
      <c r="S659" s="17">
        <v>0</v>
      </c>
      <c r="T659" s="29">
        <v>0</v>
      </c>
      <c r="V659" s="29">
        <v>0</v>
      </c>
      <c r="X659" s="29">
        <v>0</v>
      </c>
      <c r="Y659" s="29">
        <v>0</v>
      </c>
      <c r="AF659">
        <v>0</v>
      </c>
      <c r="AG659">
        <v>0</v>
      </c>
      <c r="AH659">
        <v>0</v>
      </c>
      <c r="AI659">
        <v>0</v>
      </c>
      <c r="AJ659">
        <v>0</v>
      </c>
      <c r="AK659">
        <v>0</v>
      </c>
      <c r="AL659" t="s">
        <v>214</v>
      </c>
      <c r="AM659">
        <v>0</v>
      </c>
    </row>
    <row r="660" spans="2:39">
      <c r="B660">
        <v>653</v>
      </c>
      <c r="C660" t="s">
        <v>27</v>
      </c>
      <c r="D660" t="s">
        <v>60</v>
      </c>
      <c r="E660" t="s">
        <v>207</v>
      </c>
      <c r="H660" t="s">
        <v>135</v>
      </c>
      <c r="I660" t="s">
        <v>19</v>
      </c>
      <c r="M660" s="29">
        <v>0</v>
      </c>
      <c r="N660" s="29"/>
      <c r="O660" s="29">
        <f>Table2[[#This Row],[Hot water demand (MWh)]]+Table2[[#This Row],[Space heating demand (MWh)]]</f>
        <v>0</v>
      </c>
      <c r="P660" s="29">
        <v>0</v>
      </c>
      <c r="Q660" s="29">
        <v>0</v>
      </c>
      <c r="S660" s="17">
        <v>0</v>
      </c>
      <c r="T660" s="29">
        <v>0</v>
      </c>
      <c r="V660" s="29">
        <v>0</v>
      </c>
      <c r="X660" s="29">
        <v>0</v>
      </c>
      <c r="Y660" s="29">
        <v>0</v>
      </c>
      <c r="AF660">
        <v>0</v>
      </c>
      <c r="AG660">
        <v>0</v>
      </c>
      <c r="AH660">
        <v>0</v>
      </c>
      <c r="AI660">
        <v>0</v>
      </c>
      <c r="AJ660">
        <v>0</v>
      </c>
      <c r="AK660">
        <v>0</v>
      </c>
      <c r="AL660" t="s">
        <v>216</v>
      </c>
      <c r="AM660">
        <v>0</v>
      </c>
    </row>
    <row r="661" spans="2:39">
      <c r="B661">
        <v>654</v>
      </c>
      <c r="C661" t="s">
        <v>27</v>
      </c>
      <c r="D661" t="s">
        <v>61</v>
      </c>
      <c r="E661" t="s">
        <v>207</v>
      </c>
      <c r="H661" t="s">
        <v>131</v>
      </c>
      <c r="I661" t="s">
        <v>19</v>
      </c>
      <c r="M661" s="29">
        <v>0</v>
      </c>
      <c r="N661" s="29"/>
      <c r="O661" s="29">
        <f>Table2[[#This Row],[Hot water demand (MWh)]]+Table2[[#This Row],[Space heating demand (MWh)]]</f>
        <v>0</v>
      </c>
      <c r="P661" s="29">
        <v>0</v>
      </c>
      <c r="Q661" s="29">
        <v>0</v>
      </c>
      <c r="S661" s="17">
        <v>0</v>
      </c>
      <c r="T661" s="29">
        <v>0</v>
      </c>
      <c r="V661" s="29">
        <v>0</v>
      </c>
      <c r="X661" s="29">
        <v>0</v>
      </c>
      <c r="Y661" s="29">
        <v>0</v>
      </c>
      <c r="AF661">
        <v>0</v>
      </c>
      <c r="AG661">
        <v>0</v>
      </c>
      <c r="AH661">
        <v>0</v>
      </c>
      <c r="AI661">
        <v>0</v>
      </c>
      <c r="AJ661">
        <v>0</v>
      </c>
      <c r="AK661">
        <v>0</v>
      </c>
      <c r="AL661" t="s">
        <v>212</v>
      </c>
      <c r="AM661">
        <v>0</v>
      </c>
    </row>
    <row r="662" spans="2:39">
      <c r="B662">
        <v>655</v>
      </c>
      <c r="C662" t="s">
        <v>27</v>
      </c>
      <c r="D662" t="s">
        <v>61</v>
      </c>
      <c r="E662" t="s">
        <v>207</v>
      </c>
      <c r="H662" t="s">
        <v>132</v>
      </c>
      <c r="I662" t="s">
        <v>19</v>
      </c>
      <c r="M662" s="29">
        <v>0</v>
      </c>
      <c r="N662" s="29"/>
      <c r="O662" s="29">
        <f>Table2[[#This Row],[Hot water demand (MWh)]]+Table2[[#This Row],[Space heating demand (MWh)]]</f>
        <v>0</v>
      </c>
      <c r="P662" s="29">
        <v>0</v>
      </c>
      <c r="Q662" s="29">
        <v>0</v>
      </c>
      <c r="S662" s="17">
        <v>0</v>
      </c>
      <c r="T662" s="29">
        <v>0</v>
      </c>
      <c r="V662" s="29">
        <v>0</v>
      </c>
      <c r="X662" s="29">
        <v>0</v>
      </c>
      <c r="Y662" s="29">
        <v>0</v>
      </c>
      <c r="AF662">
        <v>0</v>
      </c>
      <c r="AG662">
        <v>0</v>
      </c>
      <c r="AH662">
        <v>0</v>
      </c>
      <c r="AI662">
        <v>0</v>
      </c>
      <c r="AJ662">
        <v>0</v>
      </c>
      <c r="AK662">
        <v>0</v>
      </c>
      <c r="AL662" t="s">
        <v>213</v>
      </c>
      <c r="AM662">
        <v>0</v>
      </c>
    </row>
    <row r="663" spans="2:39">
      <c r="B663">
        <v>656</v>
      </c>
      <c r="C663" t="s">
        <v>27</v>
      </c>
      <c r="D663" t="s">
        <v>61</v>
      </c>
      <c r="E663" t="s">
        <v>207</v>
      </c>
      <c r="H663" t="s">
        <v>133</v>
      </c>
      <c r="I663" t="s">
        <v>19</v>
      </c>
      <c r="M663" s="29">
        <v>0</v>
      </c>
      <c r="N663" s="29"/>
      <c r="O663" s="29">
        <f>Table2[[#This Row],[Hot water demand (MWh)]]+Table2[[#This Row],[Space heating demand (MWh)]]</f>
        <v>0</v>
      </c>
      <c r="P663" s="29">
        <v>0</v>
      </c>
      <c r="Q663" s="29">
        <v>0</v>
      </c>
      <c r="S663" s="17">
        <v>0</v>
      </c>
      <c r="T663" s="29">
        <v>0</v>
      </c>
      <c r="V663" s="29">
        <v>0</v>
      </c>
      <c r="X663" s="29">
        <v>0</v>
      </c>
      <c r="Y663" s="29">
        <v>0</v>
      </c>
      <c r="AF663">
        <v>0</v>
      </c>
      <c r="AG663">
        <v>0</v>
      </c>
      <c r="AH663">
        <v>0</v>
      </c>
      <c r="AI663">
        <v>0</v>
      </c>
      <c r="AJ663">
        <v>0</v>
      </c>
      <c r="AK663">
        <v>0</v>
      </c>
      <c r="AL663" t="s">
        <v>214</v>
      </c>
      <c r="AM663">
        <v>0</v>
      </c>
    </row>
    <row r="664" spans="2:39">
      <c r="B664">
        <v>657</v>
      </c>
      <c r="C664" t="s">
        <v>27</v>
      </c>
      <c r="D664" t="s">
        <v>62</v>
      </c>
      <c r="E664" t="s">
        <v>207</v>
      </c>
      <c r="H664" t="s">
        <v>131</v>
      </c>
      <c r="I664" t="s">
        <v>19</v>
      </c>
      <c r="M664" s="29">
        <v>1252.8815185743424</v>
      </c>
      <c r="N664" s="29"/>
      <c r="O664" s="29">
        <f>Table2[[#This Row],[Hot water demand (MWh)]]+Table2[[#This Row],[Space heating demand (MWh)]]</f>
        <v>1252.8815185743424</v>
      </c>
      <c r="P664" s="29">
        <v>256.6450608350043</v>
      </c>
      <c r="Q664" s="29">
        <v>2.5923743518687306</v>
      </c>
      <c r="S664" s="17">
        <v>3.2667422552376819</v>
      </c>
      <c r="T664" s="29">
        <v>1361.827737580807</v>
      </c>
      <c r="V664" s="29">
        <v>1361.827737580807</v>
      </c>
      <c r="X664" s="29">
        <v>2.5923743518687306</v>
      </c>
      <c r="Y664" s="29">
        <v>256.6450608350043</v>
      </c>
      <c r="AF664">
        <v>1.9600453531426092</v>
      </c>
      <c r="AG664">
        <v>1252.8815185743424</v>
      </c>
      <c r="AH664">
        <v>0</v>
      </c>
      <c r="AI664">
        <v>0</v>
      </c>
      <c r="AJ664">
        <v>1252.8815185743424</v>
      </c>
      <c r="AK664">
        <v>0</v>
      </c>
      <c r="AL664" t="s">
        <v>212</v>
      </c>
      <c r="AM664">
        <v>259.23743518687303</v>
      </c>
    </row>
    <row r="665" spans="2:39">
      <c r="B665">
        <v>658</v>
      </c>
      <c r="C665" t="s">
        <v>27</v>
      </c>
      <c r="D665" t="s">
        <v>62</v>
      </c>
      <c r="E665" t="s">
        <v>207</v>
      </c>
      <c r="H665" t="s">
        <v>135</v>
      </c>
      <c r="I665" t="s">
        <v>19</v>
      </c>
      <c r="M665" s="29">
        <v>835.2543457162285</v>
      </c>
      <c r="N665" s="29"/>
      <c r="O665" s="29">
        <f>Table2[[#This Row],[Hot water demand (MWh)]]+Table2[[#This Row],[Space heating demand (MWh)]]</f>
        <v>835.2543457162285</v>
      </c>
      <c r="P665" s="29">
        <v>171.09670722333624</v>
      </c>
      <c r="Q665" s="29">
        <v>1.7282495679124872</v>
      </c>
      <c r="S665" s="17">
        <v>3.2667422552376824</v>
      </c>
      <c r="T665" s="29">
        <v>907.8851583872048</v>
      </c>
      <c r="V665" s="29">
        <v>907.8851583872048</v>
      </c>
      <c r="X665" s="29">
        <v>1.7282495679124872</v>
      </c>
      <c r="Y665" s="29">
        <v>171.09670722333624</v>
      </c>
      <c r="AF665">
        <v>1.3066969020950732</v>
      </c>
      <c r="AG665">
        <v>835.2543457162285</v>
      </c>
      <c r="AH665">
        <v>0</v>
      </c>
      <c r="AI665">
        <v>0</v>
      </c>
      <c r="AJ665">
        <v>835.2543457162285</v>
      </c>
      <c r="AK665">
        <v>0</v>
      </c>
      <c r="AL665" t="s">
        <v>216</v>
      </c>
      <c r="AM665">
        <v>172.82495679124872</v>
      </c>
    </row>
    <row r="666" spans="2:39">
      <c r="B666">
        <v>659</v>
      </c>
      <c r="C666" t="s">
        <v>27</v>
      </c>
      <c r="D666" t="s">
        <v>63</v>
      </c>
      <c r="E666" t="s">
        <v>207</v>
      </c>
      <c r="H666" t="s">
        <v>136</v>
      </c>
      <c r="I666" t="s">
        <v>19</v>
      </c>
      <c r="M666" s="29">
        <v>0</v>
      </c>
      <c r="N666" s="29"/>
      <c r="O666" s="29">
        <f>Table2[[#This Row],[Hot water demand (MWh)]]+Table2[[#This Row],[Space heating demand (MWh)]]</f>
        <v>0</v>
      </c>
      <c r="P666" s="29">
        <v>0</v>
      </c>
      <c r="Q666" s="29">
        <v>0</v>
      </c>
      <c r="S666" s="17">
        <v>0</v>
      </c>
      <c r="T666" s="29">
        <v>0</v>
      </c>
      <c r="V666" s="29">
        <v>0</v>
      </c>
      <c r="X666" s="29">
        <v>0</v>
      </c>
      <c r="Y666" s="29">
        <v>0</v>
      </c>
      <c r="AF666">
        <v>0</v>
      </c>
      <c r="AG666">
        <v>0</v>
      </c>
      <c r="AH666">
        <v>0</v>
      </c>
      <c r="AI666">
        <v>0</v>
      </c>
      <c r="AJ666">
        <v>0</v>
      </c>
      <c r="AK666">
        <v>0</v>
      </c>
      <c r="AL666" t="s">
        <v>217</v>
      </c>
      <c r="AM666">
        <v>0</v>
      </c>
    </row>
    <row r="667" spans="2:39">
      <c r="B667">
        <v>660</v>
      </c>
      <c r="C667" t="s">
        <v>27</v>
      </c>
      <c r="D667" t="s">
        <v>63</v>
      </c>
      <c r="E667" t="s">
        <v>207</v>
      </c>
      <c r="H667" t="s">
        <v>131</v>
      </c>
      <c r="I667" t="s">
        <v>19</v>
      </c>
      <c r="M667" s="29">
        <v>0</v>
      </c>
      <c r="N667" s="29"/>
      <c r="O667" s="29">
        <f>Table2[[#This Row],[Hot water demand (MWh)]]+Table2[[#This Row],[Space heating demand (MWh)]]</f>
        <v>0</v>
      </c>
      <c r="P667" s="29">
        <v>0</v>
      </c>
      <c r="Q667" s="29">
        <v>0</v>
      </c>
      <c r="S667" s="17">
        <v>0</v>
      </c>
      <c r="T667" s="29">
        <v>0</v>
      </c>
      <c r="V667" s="29">
        <v>0</v>
      </c>
      <c r="X667" s="29">
        <v>0</v>
      </c>
      <c r="Y667" s="29">
        <v>0</v>
      </c>
      <c r="AF667">
        <v>0</v>
      </c>
      <c r="AG667">
        <v>0</v>
      </c>
      <c r="AH667">
        <v>0</v>
      </c>
      <c r="AI667">
        <v>0</v>
      </c>
      <c r="AJ667">
        <v>0</v>
      </c>
      <c r="AK667">
        <v>0</v>
      </c>
      <c r="AL667" t="s">
        <v>212</v>
      </c>
      <c r="AM667">
        <v>0</v>
      </c>
    </row>
    <row r="668" spans="2:39">
      <c r="B668">
        <v>661</v>
      </c>
      <c r="C668" t="s">
        <v>27</v>
      </c>
      <c r="D668" t="s">
        <v>63</v>
      </c>
      <c r="E668" t="s">
        <v>207</v>
      </c>
      <c r="H668" t="s">
        <v>135</v>
      </c>
      <c r="I668" t="s">
        <v>19</v>
      </c>
      <c r="M668" s="29">
        <v>0</v>
      </c>
      <c r="N668" s="29"/>
      <c r="O668" s="29">
        <f>Table2[[#This Row],[Hot water demand (MWh)]]+Table2[[#This Row],[Space heating demand (MWh)]]</f>
        <v>0</v>
      </c>
      <c r="P668" s="29">
        <v>0</v>
      </c>
      <c r="Q668" s="29">
        <v>0</v>
      </c>
      <c r="S668" s="17">
        <v>0</v>
      </c>
      <c r="T668" s="29">
        <v>0</v>
      </c>
      <c r="V668" s="29">
        <v>0</v>
      </c>
      <c r="X668" s="29">
        <v>0</v>
      </c>
      <c r="Y668" s="29">
        <v>0</v>
      </c>
      <c r="AF668">
        <v>0</v>
      </c>
      <c r="AG668">
        <v>0</v>
      </c>
      <c r="AH668">
        <v>0</v>
      </c>
      <c r="AI668">
        <v>0</v>
      </c>
      <c r="AJ668">
        <v>0</v>
      </c>
      <c r="AK668">
        <v>0</v>
      </c>
      <c r="AL668" t="s">
        <v>216</v>
      </c>
      <c r="AM668">
        <v>0</v>
      </c>
    </row>
    <row r="669" spans="2:39">
      <c r="B669">
        <v>662</v>
      </c>
      <c r="C669" t="s">
        <v>27</v>
      </c>
      <c r="D669" t="s">
        <v>64</v>
      </c>
      <c r="E669" t="s">
        <v>207</v>
      </c>
      <c r="H669" t="s">
        <v>131</v>
      </c>
      <c r="I669" t="s">
        <v>19</v>
      </c>
      <c r="M669" s="29">
        <v>796.69018515659661</v>
      </c>
      <c r="N669" s="29"/>
      <c r="O669" s="29">
        <f>Table2[[#This Row],[Hot water demand (MWh)]]+Table2[[#This Row],[Space heating demand (MWh)]]</f>
        <v>796.69018515659661</v>
      </c>
      <c r="P669" s="29">
        <v>138.80316224525308</v>
      </c>
      <c r="Q669" s="29">
        <v>83.701096897810103</v>
      </c>
      <c r="S669" s="17">
        <v>117.95511713417932</v>
      </c>
      <c r="T669" s="29">
        <v>865.96759256151802</v>
      </c>
      <c r="V669" s="29">
        <v>865.96759256151802</v>
      </c>
      <c r="X669" s="29">
        <v>83.701096897810103</v>
      </c>
      <c r="Y669" s="29">
        <v>138.80316224525308</v>
      </c>
      <c r="AF669">
        <v>82.568581993925505</v>
      </c>
      <c r="AG669">
        <v>796.69018515659661</v>
      </c>
      <c r="AH669">
        <v>0</v>
      </c>
      <c r="AI669">
        <v>79.669018515659673</v>
      </c>
      <c r="AJ669">
        <v>478.01411109395792</v>
      </c>
      <c r="AK669">
        <v>239.00705554697896</v>
      </c>
      <c r="AL669" t="s">
        <v>212</v>
      </c>
      <c r="AM669">
        <v>310.00406258448186</v>
      </c>
    </row>
    <row r="670" spans="2:39">
      <c r="B670">
        <v>663</v>
      </c>
      <c r="C670" t="s">
        <v>27</v>
      </c>
      <c r="D670" t="s">
        <v>64</v>
      </c>
      <c r="E670" t="s">
        <v>207</v>
      </c>
      <c r="H670" t="s">
        <v>132</v>
      </c>
      <c r="I670" t="s">
        <v>19</v>
      </c>
      <c r="M670" s="29">
        <v>92.782242060162645</v>
      </c>
      <c r="N670" s="29"/>
      <c r="O670" s="29">
        <f>Table2[[#This Row],[Hot water demand (MWh)]]+Table2[[#This Row],[Space heating demand (MWh)]]</f>
        <v>92.782242060162645</v>
      </c>
      <c r="P670" s="29">
        <v>29.743534766839957</v>
      </c>
      <c r="Q670" s="29">
        <v>17.93594933524502</v>
      </c>
      <c r="S670" s="17">
        <v>117.95511713417933</v>
      </c>
      <c r="T670" s="29">
        <v>185.56448412032529</v>
      </c>
      <c r="V670" s="29">
        <v>185.56448412032529</v>
      </c>
      <c r="X670" s="29">
        <v>17.93594933524502</v>
      </c>
      <c r="Y670" s="29">
        <v>29.743534766839957</v>
      </c>
      <c r="AF670">
        <v>17.693267570126899</v>
      </c>
      <c r="AG670">
        <v>92.782242060162645</v>
      </c>
      <c r="AH670">
        <v>0</v>
      </c>
      <c r="AI670">
        <v>0</v>
      </c>
      <c r="AJ670">
        <v>92.782242060162645</v>
      </c>
      <c r="AK670">
        <v>0</v>
      </c>
      <c r="AL670" t="s">
        <v>213</v>
      </c>
      <c r="AM670">
        <v>66.429441982388965</v>
      </c>
    </row>
    <row r="671" spans="2:39">
      <c r="B671">
        <v>664</v>
      </c>
      <c r="C671" t="s">
        <v>27</v>
      </c>
      <c r="D671" t="s">
        <v>64</v>
      </c>
      <c r="E671" t="s">
        <v>207</v>
      </c>
      <c r="H671" t="s">
        <v>137</v>
      </c>
      <c r="I671" t="s">
        <v>19</v>
      </c>
      <c r="M671" s="29">
        <v>113.81288359379953</v>
      </c>
      <c r="N671" s="29"/>
      <c r="O671" s="29">
        <f>Table2[[#This Row],[Hot water demand (MWh)]]+Table2[[#This Row],[Space heating demand (MWh)]]</f>
        <v>113.81288359379953</v>
      </c>
      <c r="P671" s="29">
        <v>19.829023177893301</v>
      </c>
      <c r="Q671" s="29">
        <v>11.957299556830016</v>
      </c>
      <c r="S671" s="17">
        <v>117.95511713417932</v>
      </c>
      <c r="T671" s="29">
        <v>123.70965608021687</v>
      </c>
      <c r="V671" s="29">
        <v>123.70965608021687</v>
      </c>
      <c r="X671" s="29">
        <v>11.957299556830016</v>
      </c>
      <c r="Y671" s="29">
        <v>19.829023177893301</v>
      </c>
      <c r="AF671">
        <v>11.795511713417932</v>
      </c>
      <c r="AG671">
        <v>113.81288359379953</v>
      </c>
      <c r="AH671">
        <v>0</v>
      </c>
      <c r="AI671">
        <v>113.81288359379953</v>
      </c>
      <c r="AJ671">
        <v>0</v>
      </c>
      <c r="AK671">
        <v>0</v>
      </c>
      <c r="AL671" t="s">
        <v>218</v>
      </c>
      <c r="AM671">
        <v>44.286294654925982</v>
      </c>
    </row>
    <row r="672" spans="2:39">
      <c r="B672">
        <v>665</v>
      </c>
      <c r="C672" t="s">
        <v>27</v>
      </c>
      <c r="D672" t="s">
        <v>64</v>
      </c>
      <c r="E672" t="s">
        <v>207</v>
      </c>
      <c r="H672" t="s">
        <v>135</v>
      </c>
      <c r="I672" t="s">
        <v>19</v>
      </c>
      <c r="M672" s="29">
        <v>56.906441796899763</v>
      </c>
      <c r="N672" s="29"/>
      <c r="O672" s="29">
        <f>Table2[[#This Row],[Hot water demand (MWh)]]+Table2[[#This Row],[Space heating demand (MWh)]]</f>
        <v>56.906441796899763</v>
      </c>
      <c r="P672" s="29">
        <v>9.9145115889466506</v>
      </c>
      <c r="Q672" s="29">
        <v>5.9786497784150079</v>
      </c>
      <c r="S672" s="17">
        <v>117.95511713417932</v>
      </c>
      <c r="T672" s="29">
        <v>61.854828040108437</v>
      </c>
      <c r="V672" s="29">
        <v>61.854828040108437</v>
      </c>
      <c r="X672" s="29">
        <v>5.9786497784150079</v>
      </c>
      <c r="Y672" s="29">
        <v>9.9145115889466506</v>
      </c>
      <c r="AF672">
        <v>5.8977558567089661</v>
      </c>
      <c r="AG672">
        <v>56.906441796899763</v>
      </c>
      <c r="AH672">
        <v>0</v>
      </c>
      <c r="AI672">
        <v>0</v>
      </c>
      <c r="AJ672">
        <v>0</v>
      </c>
      <c r="AK672">
        <v>56.906441796899763</v>
      </c>
      <c r="AL672" t="s">
        <v>216</v>
      </c>
      <c r="AM672">
        <v>22.143147327462991</v>
      </c>
    </row>
    <row r="673" spans="2:39">
      <c r="B673">
        <v>666</v>
      </c>
      <c r="C673" t="s">
        <v>27</v>
      </c>
      <c r="D673" t="s">
        <v>65</v>
      </c>
      <c r="E673" t="s">
        <v>207</v>
      </c>
      <c r="H673" t="s">
        <v>134</v>
      </c>
      <c r="I673" t="s">
        <v>19</v>
      </c>
      <c r="M673" s="29">
        <v>0</v>
      </c>
      <c r="N673" s="29"/>
      <c r="O673" s="29">
        <f>Table2[[#This Row],[Hot water demand (MWh)]]+Table2[[#This Row],[Space heating demand (MWh)]]</f>
        <v>0</v>
      </c>
      <c r="P673" s="29">
        <v>0</v>
      </c>
      <c r="Q673" s="29">
        <v>0</v>
      </c>
      <c r="S673" s="17">
        <v>0</v>
      </c>
      <c r="T673" s="29">
        <v>0</v>
      </c>
      <c r="V673" s="29">
        <v>0</v>
      </c>
      <c r="X673" s="29">
        <v>0</v>
      </c>
      <c r="Y673" s="29">
        <v>0</v>
      </c>
      <c r="AF673">
        <v>0</v>
      </c>
      <c r="AG673">
        <v>0</v>
      </c>
      <c r="AH673">
        <v>0</v>
      </c>
      <c r="AI673">
        <v>0</v>
      </c>
      <c r="AJ673">
        <v>0</v>
      </c>
      <c r="AK673">
        <v>0</v>
      </c>
      <c r="AL673" t="s">
        <v>215</v>
      </c>
      <c r="AM673">
        <v>0</v>
      </c>
    </row>
    <row r="674" spans="2:39">
      <c r="B674">
        <v>667</v>
      </c>
      <c r="C674" t="s">
        <v>27</v>
      </c>
      <c r="D674" t="s">
        <v>65</v>
      </c>
      <c r="E674" t="s">
        <v>207</v>
      </c>
      <c r="H674" t="s">
        <v>136</v>
      </c>
      <c r="I674" t="s">
        <v>19</v>
      </c>
      <c r="M674" s="29">
        <v>0</v>
      </c>
      <c r="N674" s="29"/>
      <c r="O674" s="29">
        <f>Table2[[#This Row],[Hot water demand (MWh)]]+Table2[[#This Row],[Space heating demand (MWh)]]</f>
        <v>0</v>
      </c>
      <c r="P674" s="29">
        <v>0</v>
      </c>
      <c r="Q674" s="29">
        <v>0</v>
      </c>
      <c r="S674" s="17">
        <v>0</v>
      </c>
      <c r="T674" s="29">
        <v>0</v>
      </c>
      <c r="V674" s="29">
        <v>0</v>
      </c>
      <c r="X674" s="29">
        <v>0</v>
      </c>
      <c r="Y674" s="29">
        <v>0</v>
      </c>
      <c r="AF674">
        <v>0</v>
      </c>
      <c r="AG674">
        <v>0</v>
      </c>
      <c r="AH674">
        <v>0</v>
      </c>
      <c r="AI674">
        <v>0</v>
      </c>
      <c r="AJ674">
        <v>0</v>
      </c>
      <c r="AK674">
        <v>0</v>
      </c>
      <c r="AL674" t="s">
        <v>217</v>
      </c>
      <c r="AM674">
        <v>0</v>
      </c>
    </row>
    <row r="675" spans="2:39">
      <c r="B675">
        <v>668</v>
      </c>
      <c r="C675" t="s">
        <v>27</v>
      </c>
      <c r="D675" t="s">
        <v>65</v>
      </c>
      <c r="E675" t="s">
        <v>207</v>
      </c>
      <c r="H675" t="s">
        <v>133</v>
      </c>
      <c r="I675" t="s">
        <v>19</v>
      </c>
      <c r="M675" s="29">
        <v>0</v>
      </c>
      <c r="N675" s="29"/>
      <c r="O675" s="29">
        <f>Table2[[#This Row],[Hot water demand (MWh)]]+Table2[[#This Row],[Space heating demand (MWh)]]</f>
        <v>0</v>
      </c>
      <c r="P675" s="29">
        <v>0</v>
      </c>
      <c r="Q675" s="29">
        <v>0</v>
      </c>
      <c r="S675" s="17">
        <v>0</v>
      </c>
      <c r="T675" s="29">
        <v>0</v>
      </c>
      <c r="V675" s="29">
        <v>0</v>
      </c>
      <c r="X675" s="29">
        <v>0</v>
      </c>
      <c r="Y675" s="29">
        <v>0</v>
      </c>
      <c r="AF675">
        <v>0</v>
      </c>
      <c r="AG675">
        <v>0</v>
      </c>
      <c r="AH675">
        <v>0</v>
      </c>
      <c r="AI675">
        <v>0</v>
      </c>
      <c r="AJ675">
        <v>0</v>
      </c>
      <c r="AK675">
        <v>0</v>
      </c>
      <c r="AL675" t="s">
        <v>214</v>
      </c>
      <c r="AM675">
        <v>0</v>
      </c>
    </row>
    <row r="676" spans="2:39">
      <c r="B676">
        <v>669</v>
      </c>
      <c r="C676" t="s">
        <v>27</v>
      </c>
      <c r="D676" t="s">
        <v>65</v>
      </c>
      <c r="E676" t="s">
        <v>207</v>
      </c>
      <c r="H676" t="s">
        <v>135</v>
      </c>
      <c r="I676" t="s">
        <v>19</v>
      </c>
      <c r="M676" s="29">
        <v>0</v>
      </c>
      <c r="N676" s="29"/>
      <c r="O676" s="29">
        <f>Table2[[#This Row],[Hot water demand (MWh)]]+Table2[[#This Row],[Space heating demand (MWh)]]</f>
        <v>0</v>
      </c>
      <c r="P676" s="29">
        <v>0</v>
      </c>
      <c r="Q676" s="29">
        <v>0</v>
      </c>
      <c r="S676" s="17">
        <v>0</v>
      </c>
      <c r="T676" s="29">
        <v>0</v>
      </c>
      <c r="V676" s="29">
        <v>0</v>
      </c>
      <c r="X676" s="29">
        <v>0</v>
      </c>
      <c r="Y676" s="29">
        <v>0</v>
      </c>
      <c r="AF676">
        <v>0</v>
      </c>
      <c r="AG676">
        <v>0</v>
      </c>
      <c r="AH676">
        <v>0</v>
      </c>
      <c r="AI676">
        <v>0</v>
      </c>
      <c r="AJ676">
        <v>0</v>
      </c>
      <c r="AK676">
        <v>0</v>
      </c>
      <c r="AL676" t="s">
        <v>216</v>
      </c>
      <c r="AM676">
        <v>0</v>
      </c>
    </row>
    <row r="677" spans="2:39">
      <c r="B677">
        <v>670</v>
      </c>
      <c r="C677" t="s">
        <v>27</v>
      </c>
      <c r="D677" t="s">
        <v>66</v>
      </c>
      <c r="E677" t="s">
        <v>207</v>
      </c>
      <c r="H677" t="s">
        <v>136</v>
      </c>
      <c r="I677" t="s">
        <v>19</v>
      </c>
      <c r="M677" s="29">
        <v>0</v>
      </c>
      <c r="N677" s="29"/>
      <c r="O677" s="29">
        <f>Table2[[#This Row],[Hot water demand (MWh)]]+Table2[[#This Row],[Space heating demand (MWh)]]</f>
        <v>0</v>
      </c>
      <c r="P677" s="29">
        <v>0</v>
      </c>
      <c r="Q677" s="29">
        <v>0</v>
      </c>
      <c r="S677" s="17">
        <v>0</v>
      </c>
      <c r="T677" s="29">
        <v>0</v>
      </c>
      <c r="V677" s="29">
        <v>0</v>
      </c>
      <c r="X677" s="29">
        <v>0</v>
      </c>
      <c r="Y677" s="29">
        <v>0</v>
      </c>
      <c r="AF677">
        <v>0</v>
      </c>
      <c r="AG677">
        <v>0</v>
      </c>
      <c r="AH677">
        <v>0</v>
      </c>
      <c r="AI677">
        <v>0</v>
      </c>
      <c r="AJ677">
        <v>0</v>
      </c>
      <c r="AK677">
        <v>0</v>
      </c>
      <c r="AL677" t="s">
        <v>217</v>
      </c>
      <c r="AM677">
        <v>0</v>
      </c>
    </row>
    <row r="678" spans="2:39">
      <c r="B678">
        <v>671</v>
      </c>
      <c r="C678" t="s">
        <v>27</v>
      </c>
      <c r="D678" t="s">
        <v>66</v>
      </c>
      <c r="E678" t="s">
        <v>207</v>
      </c>
      <c r="H678" t="s">
        <v>131</v>
      </c>
      <c r="I678" t="s">
        <v>19</v>
      </c>
      <c r="M678" s="29">
        <v>249.8291854978801</v>
      </c>
      <c r="N678" s="29"/>
      <c r="O678" s="29">
        <f>Table2[[#This Row],[Hot water demand (MWh)]]+Table2[[#This Row],[Space heating demand (MWh)]]</f>
        <v>249.8291854978801</v>
      </c>
      <c r="P678" s="29">
        <v>408.09562947769928</v>
      </c>
      <c r="Q678" s="29">
        <v>21.798019534578831</v>
      </c>
      <c r="S678" s="17">
        <v>1239.8180962312833</v>
      </c>
      <c r="T678" s="29">
        <v>271.55346249769576</v>
      </c>
      <c r="V678" s="29">
        <v>271.55346249769576</v>
      </c>
      <c r="X678" s="29">
        <v>21.798019534578831</v>
      </c>
      <c r="Y678" s="29">
        <v>408.09562947769928</v>
      </c>
      <c r="AF678">
        <v>743.89085773877002</v>
      </c>
      <c r="AG678">
        <v>249.8291854978801</v>
      </c>
      <c r="AH678">
        <v>0</v>
      </c>
      <c r="AI678">
        <v>0</v>
      </c>
      <c r="AJ678">
        <v>149.89751129872806</v>
      </c>
      <c r="AK678">
        <v>99.931674199152042</v>
      </c>
      <c r="AL678" t="s">
        <v>212</v>
      </c>
      <c r="AM678">
        <v>435.96039069157661</v>
      </c>
    </row>
    <row r="679" spans="2:39">
      <c r="B679">
        <v>672</v>
      </c>
      <c r="C679" t="s">
        <v>27</v>
      </c>
      <c r="D679" t="s">
        <v>66</v>
      </c>
      <c r="E679" t="s">
        <v>207</v>
      </c>
      <c r="H679" t="s">
        <v>132</v>
      </c>
      <c r="I679" t="s">
        <v>19</v>
      </c>
      <c r="M679" s="29">
        <v>33.94418281221197</v>
      </c>
      <c r="N679" s="29"/>
      <c r="O679" s="29">
        <f>Table2[[#This Row],[Hot water demand (MWh)]]+Table2[[#This Row],[Space heating demand (MWh)]]</f>
        <v>33.94418281221197</v>
      </c>
      <c r="P679" s="29">
        <v>102.02390736942482</v>
      </c>
      <c r="Q679" s="29">
        <v>5.4495048836447078</v>
      </c>
      <c r="S679" s="17">
        <v>1239.8180962312833</v>
      </c>
      <c r="T679" s="29">
        <v>67.88836562442394</v>
      </c>
      <c r="V679" s="29">
        <v>67.88836562442394</v>
      </c>
      <c r="X679" s="29">
        <v>5.4495048836447078</v>
      </c>
      <c r="Y679" s="29">
        <v>102.02390736942482</v>
      </c>
      <c r="AF679">
        <v>185.97271443469251</v>
      </c>
      <c r="AG679">
        <v>33.94418281221197</v>
      </c>
      <c r="AH679">
        <v>0</v>
      </c>
      <c r="AI679">
        <v>0</v>
      </c>
      <c r="AJ679">
        <v>33.94418281221197</v>
      </c>
      <c r="AK679">
        <v>0</v>
      </c>
      <c r="AL679" t="s">
        <v>213</v>
      </c>
      <c r="AM679">
        <v>108.99009767289415</v>
      </c>
    </row>
    <row r="680" spans="2:39">
      <c r="B680">
        <v>673</v>
      </c>
      <c r="C680" t="s">
        <v>27</v>
      </c>
      <c r="D680" t="s">
        <v>66</v>
      </c>
      <c r="E680" t="s">
        <v>207</v>
      </c>
      <c r="H680" t="s">
        <v>137</v>
      </c>
      <c r="I680" t="s">
        <v>19</v>
      </c>
      <c r="M680" s="29">
        <v>41.63819758298002</v>
      </c>
      <c r="N680" s="29"/>
      <c r="O680" s="29">
        <f>Table2[[#This Row],[Hot water demand (MWh)]]+Table2[[#This Row],[Space heating demand (MWh)]]</f>
        <v>41.63819758298002</v>
      </c>
      <c r="P680" s="29">
        <v>68.015938246283199</v>
      </c>
      <c r="Q680" s="29">
        <v>3.6330032557631387</v>
      </c>
      <c r="S680" s="17">
        <v>1239.8180962312833</v>
      </c>
      <c r="T680" s="29">
        <v>45.258910416282632</v>
      </c>
      <c r="V680" s="29">
        <v>45.258910416282632</v>
      </c>
      <c r="X680" s="29">
        <v>3.6330032557631387</v>
      </c>
      <c r="Y680" s="29">
        <v>68.015938246283199</v>
      </c>
      <c r="AF680">
        <v>123.98180962312833</v>
      </c>
      <c r="AG680">
        <v>41.63819758298002</v>
      </c>
      <c r="AH680">
        <v>0</v>
      </c>
      <c r="AI680">
        <v>0</v>
      </c>
      <c r="AJ680">
        <v>41.63819758298002</v>
      </c>
      <c r="AK680">
        <v>0</v>
      </c>
      <c r="AL680" t="s">
        <v>218</v>
      </c>
      <c r="AM680">
        <v>72.660065115262768</v>
      </c>
    </row>
    <row r="681" spans="2:39">
      <c r="B681">
        <v>674</v>
      </c>
      <c r="C681" t="s">
        <v>27</v>
      </c>
      <c r="D681" t="s">
        <v>66</v>
      </c>
      <c r="E681" t="s">
        <v>207</v>
      </c>
      <c r="H681" t="s">
        <v>133</v>
      </c>
      <c r="I681" t="s">
        <v>19</v>
      </c>
      <c r="M681" s="29">
        <v>19.235036926920117</v>
      </c>
      <c r="N681" s="29"/>
      <c r="O681" s="29">
        <f>Table2[[#This Row],[Hot water demand (MWh)]]+Table2[[#This Row],[Space heating demand (MWh)]]</f>
        <v>19.235036926920117</v>
      </c>
      <c r="P681" s="29">
        <v>34.007969123141599</v>
      </c>
      <c r="Q681" s="29">
        <v>1.8165016278815693</v>
      </c>
      <c r="S681" s="17">
        <v>1239.8180962312833</v>
      </c>
      <c r="T681" s="29">
        <v>22.629455208141316</v>
      </c>
      <c r="V681" s="29">
        <v>22.629455208141316</v>
      </c>
      <c r="X681" s="29">
        <v>1.8165016278815693</v>
      </c>
      <c r="Y681" s="29">
        <v>34.007969123141599</v>
      </c>
      <c r="AF681">
        <v>61.990904811564164</v>
      </c>
      <c r="AG681">
        <v>19.235036926920117</v>
      </c>
      <c r="AH681">
        <v>19.235036926920117</v>
      </c>
      <c r="AI681">
        <v>0</v>
      </c>
      <c r="AJ681">
        <v>0</v>
      </c>
      <c r="AK681">
        <v>0</v>
      </c>
      <c r="AL681" t="s">
        <v>214</v>
      </c>
      <c r="AM681">
        <v>36.330032557631384</v>
      </c>
    </row>
    <row r="682" spans="2:39">
      <c r="B682">
        <v>675</v>
      </c>
      <c r="C682" t="s">
        <v>27</v>
      </c>
      <c r="D682" t="s">
        <v>66</v>
      </c>
      <c r="E682" t="s">
        <v>207</v>
      </c>
      <c r="H682" t="s">
        <v>135</v>
      </c>
      <c r="I682" t="s">
        <v>19</v>
      </c>
      <c r="M682" s="29">
        <v>41.63819758298002</v>
      </c>
      <c r="N682" s="29"/>
      <c r="O682" s="29">
        <f>Table2[[#This Row],[Hot water demand (MWh)]]+Table2[[#This Row],[Space heating demand (MWh)]]</f>
        <v>41.63819758298002</v>
      </c>
      <c r="P682" s="29">
        <v>68.015938246283199</v>
      </c>
      <c r="Q682" s="29">
        <v>3.6330032557631387</v>
      </c>
      <c r="S682" s="17">
        <v>1239.8180962312833</v>
      </c>
      <c r="T682" s="29">
        <v>45.258910416282632</v>
      </c>
      <c r="V682" s="29">
        <v>45.258910416282632</v>
      </c>
      <c r="X682" s="29">
        <v>3.6330032557631387</v>
      </c>
      <c r="Y682" s="29">
        <v>68.015938246283199</v>
      </c>
      <c r="AF682">
        <v>123.98180962312833</v>
      </c>
      <c r="AG682">
        <v>41.63819758298002</v>
      </c>
      <c r="AH682">
        <v>0</v>
      </c>
      <c r="AI682">
        <v>0</v>
      </c>
      <c r="AJ682">
        <v>41.63819758298002</v>
      </c>
      <c r="AK682">
        <v>0</v>
      </c>
      <c r="AL682" t="s">
        <v>216</v>
      </c>
      <c r="AM682">
        <v>72.660065115262768</v>
      </c>
    </row>
    <row r="683" spans="2:39">
      <c r="B683">
        <v>676</v>
      </c>
      <c r="C683" t="s">
        <v>27</v>
      </c>
      <c r="D683" t="s">
        <v>67</v>
      </c>
      <c r="E683" t="s">
        <v>207</v>
      </c>
      <c r="H683" t="s">
        <v>131</v>
      </c>
      <c r="I683" t="s">
        <v>19</v>
      </c>
      <c r="M683" s="29">
        <v>3614.3276717845733</v>
      </c>
      <c r="N683" s="29"/>
      <c r="O683" s="29">
        <f>Table2[[#This Row],[Hot water demand (MWh)]]+Table2[[#This Row],[Space heating demand (MWh)]]</f>
        <v>3614.3276717845733</v>
      </c>
      <c r="P683" s="29">
        <v>2196.4410079290892</v>
      </c>
      <c r="Q683" s="29">
        <v>343.49652160733791</v>
      </c>
      <c r="S683" s="17">
        <v>142.17774893668644</v>
      </c>
      <c r="T683" s="29">
        <v>3928.6170345484493</v>
      </c>
      <c r="V683" s="29">
        <v>3928.6170345484493</v>
      </c>
      <c r="X683" s="29">
        <v>343.49652160733791</v>
      </c>
      <c r="Y683" s="29">
        <v>2196.4410079290892</v>
      </c>
      <c r="AF683">
        <v>99.524424255680501</v>
      </c>
      <c r="AG683">
        <v>3614.3276717845733</v>
      </c>
      <c r="AH683">
        <v>0</v>
      </c>
      <c r="AI683">
        <v>361.43276717845737</v>
      </c>
      <c r="AJ683">
        <v>2530.0293702492013</v>
      </c>
      <c r="AK683">
        <v>722.86553435691474</v>
      </c>
      <c r="AL683" t="s">
        <v>212</v>
      </c>
      <c r="AM683">
        <v>2862.4710133944827</v>
      </c>
    </row>
    <row r="684" spans="2:39">
      <c r="B684">
        <v>677</v>
      </c>
      <c r="C684" t="s">
        <v>27</v>
      </c>
      <c r="D684" t="s">
        <v>67</v>
      </c>
      <c r="E684" t="s">
        <v>207</v>
      </c>
      <c r="H684" t="s">
        <v>132</v>
      </c>
      <c r="I684" t="s">
        <v>19</v>
      </c>
      <c r="M684" s="29">
        <v>561.23100493549271</v>
      </c>
      <c r="N684" s="29"/>
      <c r="O684" s="29">
        <f>Table2[[#This Row],[Hot water demand (MWh)]]+Table2[[#This Row],[Space heating demand (MWh)]]</f>
        <v>561.23100493549271</v>
      </c>
      <c r="P684" s="29">
        <v>627.55457369402563</v>
      </c>
      <c r="Q684" s="29">
        <v>98.14186331638227</v>
      </c>
      <c r="S684" s="17">
        <v>142.17774893668644</v>
      </c>
      <c r="T684" s="29">
        <v>1122.4620098709854</v>
      </c>
      <c r="V684" s="29">
        <v>1122.4620098709854</v>
      </c>
      <c r="X684" s="29">
        <v>98.14186331638227</v>
      </c>
      <c r="Y684" s="29">
        <v>627.55457369402563</v>
      </c>
      <c r="AF684">
        <v>28.435549787337287</v>
      </c>
      <c r="AG684">
        <v>561.23100493549271</v>
      </c>
      <c r="AH684">
        <v>0</v>
      </c>
      <c r="AI684">
        <v>561.23100493549271</v>
      </c>
      <c r="AJ684">
        <v>0</v>
      </c>
      <c r="AK684">
        <v>0</v>
      </c>
      <c r="AL684" t="s">
        <v>213</v>
      </c>
      <c r="AM684">
        <v>817.84886096985224</v>
      </c>
    </row>
    <row r="685" spans="2:39">
      <c r="B685">
        <v>678</v>
      </c>
      <c r="C685" t="s">
        <v>27</v>
      </c>
      <c r="D685" t="s">
        <v>67</v>
      </c>
      <c r="E685" t="s">
        <v>207</v>
      </c>
      <c r="H685" t="s">
        <v>137</v>
      </c>
      <c r="I685" t="s">
        <v>19</v>
      </c>
      <c r="M685" s="29">
        <v>258.16626227032668</v>
      </c>
      <c r="N685" s="29"/>
      <c r="O685" s="29">
        <f>Table2[[#This Row],[Hot water demand (MWh)]]+Table2[[#This Row],[Space heating demand (MWh)]]</f>
        <v>258.16626227032668</v>
      </c>
      <c r="P685" s="29">
        <v>156.88864342350641</v>
      </c>
      <c r="Q685" s="29">
        <v>24.535465829095568</v>
      </c>
      <c r="S685" s="17">
        <v>142.17774893668644</v>
      </c>
      <c r="T685" s="29">
        <v>280.61550246774635</v>
      </c>
      <c r="V685" s="29">
        <v>280.61550246774635</v>
      </c>
      <c r="X685" s="29">
        <v>24.535465829095568</v>
      </c>
      <c r="Y685" s="29">
        <v>156.88864342350641</v>
      </c>
      <c r="AF685">
        <v>7.1088874468343217</v>
      </c>
      <c r="AG685">
        <v>258.16626227032668</v>
      </c>
      <c r="AH685">
        <v>0</v>
      </c>
      <c r="AI685">
        <v>0</v>
      </c>
      <c r="AJ685">
        <v>258.16626227032668</v>
      </c>
      <c r="AK685">
        <v>0</v>
      </c>
      <c r="AL685" t="s">
        <v>218</v>
      </c>
      <c r="AM685">
        <v>204.46221524246306</v>
      </c>
    </row>
    <row r="686" spans="2:39">
      <c r="B686">
        <v>679</v>
      </c>
      <c r="C686" t="s">
        <v>27</v>
      </c>
      <c r="D686" t="s">
        <v>67</v>
      </c>
      <c r="E686" t="s">
        <v>207</v>
      </c>
      <c r="H686" t="s">
        <v>133</v>
      </c>
      <c r="I686" t="s">
        <v>19</v>
      </c>
      <c r="M686" s="29">
        <v>0</v>
      </c>
      <c r="N686" s="29"/>
      <c r="O686" s="29">
        <f>Table2[[#This Row],[Hot water demand (MWh)]]+Table2[[#This Row],[Space heating demand (MWh)]]</f>
        <v>0</v>
      </c>
      <c r="P686" s="29">
        <v>0</v>
      </c>
      <c r="Q686" s="29">
        <v>0</v>
      </c>
      <c r="S686" s="17">
        <v>0</v>
      </c>
      <c r="T686" s="29">
        <v>0</v>
      </c>
      <c r="V686" s="29">
        <v>0</v>
      </c>
      <c r="X686" s="29">
        <v>0</v>
      </c>
      <c r="Y686" s="29">
        <v>0</v>
      </c>
      <c r="AF686">
        <v>0</v>
      </c>
      <c r="AG686">
        <v>0</v>
      </c>
      <c r="AH686">
        <v>0</v>
      </c>
      <c r="AI686">
        <v>0</v>
      </c>
      <c r="AJ686">
        <v>0</v>
      </c>
      <c r="AK686">
        <v>0</v>
      </c>
      <c r="AL686" t="s">
        <v>214</v>
      </c>
      <c r="AM686">
        <v>0</v>
      </c>
    </row>
    <row r="687" spans="2:39">
      <c r="B687">
        <v>680</v>
      </c>
      <c r="C687" t="s">
        <v>27</v>
      </c>
      <c r="D687" t="s">
        <v>67</v>
      </c>
      <c r="E687" t="s">
        <v>207</v>
      </c>
      <c r="H687" t="s">
        <v>135</v>
      </c>
      <c r="I687" t="s">
        <v>19</v>
      </c>
      <c r="M687" s="29">
        <v>258.16626227032668</v>
      </c>
      <c r="N687" s="29"/>
      <c r="O687" s="29">
        <f>Table2[[#This Row],[Hot water demand (MWh)]]+Table2[[#This Row],[Space heating demand (MWh)]]</f>
        <v>258.16626227032668</v>
      </c>
      <c r="P687" s="29">
        <v>156.88864342350641</v>
      </c>
      <c r="Q687" s="29">
        <v>24.535465829095568</v>
      </c>
      <c r="S687" s="17">
        <v>142.17774893668644</v>
      </c>
      <c r="T687" s="29">
        <v>280.61550246774635</v>
      </c>
      <c r="V687" s="29">
        <v>280.61550246774635</v>
      </c>
      <c r="X687" s="29">
        <v>24.535465829095568</v>
      </c>
      <c r="Y687" s="29">
        <v>156.88864342350641</v>
      </c>
      <c r="AF687">
        <v>7.1088874468343217</v>
      </c>
      <c r="AG687">
        <v>258.16626227032668</v>
      </c>
      <c r="AH687">
        <v>0</v>
      </c>
      <c r="AI687">
        <v>0</v>
      </c>
      <c r="AJ687">
        <v>258.16626227032668</v>
      </c>
      <c r="AK687">
        <v>0</v>
      </c>
      <c r="AL687" t="s">
        <v>216</v>
      </c>
      <c r="AM687">
        <v>204.46221524246306</v>
      </c>
    </row>
    <row r="689" spans="1:28">
      <c r="AA689" t="s">
        <v>76</v>
      </c>
      <c r="AB689" s="42" cm="1">
        <f t="array" ref="AB689">SUMPRODUCT(Table2[Space constrained %],Table2[Stock],--(Table2[Subsector]="Residential"),--(Table2[Building structure]=AA689))/SUMPRODUCT(Table2[Stock],--(Table2[Subsector]="Residential"),--(Table2[Building structure]=AA689))</f>
        <v>0.15436073477918935</v>
      </c>
    </row>
    <row r="690" spans="1:28">
      <c r="D690" t="s">
        <v>219</v>
      </c>
      <c r="AA690" t="s">
        <v>220</v>
      </c>
      <c r="AB690" s="42" cm="1">
        <f t="array" ref="AB690">SUMPRODUCT(Table2[Space constrained %],Table2[Stock],--(Table2[Subsector]="Residential"),--(Table2[Building structure]=AA690))/SUMPRODUCT(Table2[Stock],--(Table2[Subsector]="Residential"),--(Table2[Building structure]=AA690))</f>
        <v>0.19429467590373262</v>
      </c>
    </row>
    <row r="691" spans="1:28">
      <c r="A691" s="62"/>
      <c r="C691" t="str" cm="1">
        <f t="array" ref="C691:C695">_xlfn.UNIQUE(Table2[Subsector])</f>
        <v>Commercial</v>
      </c>
      <c r="D691" s="29" cm="1">
        <f t="array" ref="D691">SUMPRODUCT(Table2[Total heating demand (MWh)],Table2[Stock],--(Table2[Subsector]=$C691))/SUMPRODUCT(Table2[Stock],--(Table2[Subsector]=$C691))</f>
        <v>42.254064343688476</v>
      </c>
      <c r="AA691" t="s">
        <v>221</v>
      </c>
      <c r="AB691" s="42" cm="1">
        <f t="array" ref="AB691">SUMPRODUCT(Table2[Space constrained %],Table2[Stock],--(Table2[Subsector]="Residential"),--(Table2[Building structure]=AA691))/SUMPRODUCT(Table2[Stock],--(Table2[Subsector]="Residential"),--(Table2[Building structure]=AA691))</f>
        <v>0.15798488005438105</v>
      </c>
    </row>
    <row r="692" spans="1:28">
      <c r="C692" t="str">
        <v>Public</v>
      </c>
      <c r="D692" s="29" cm="1">
        <f t="array" ref="D692">SUMPRODUCT(Table2[Total heating demand (MWh)],Table2[Stock],--(Table2[Subsector]=$C692))/SUMPRODUCT(Table2[Stock],--(Table2[Subsector]=$C692))</f>
        <v>145.15256540294223</v>
      </c>
      <c r="AA692" t="s">
        <v>222</v>
      </c>
      <c r="AB692" s="42" cm="1">
        <f t="array" ref="AB692">SUMPRODUCT(Table2[Space constrained %],Table2[Stock],--(Table2[Subsector]="Residential"),--(Table2[Building structure]=AA692))/SUMPRODUCT(Table2[Stock],--(Table2[Subsector]="Residential"),--(Table2[Building structure]=AA692))</f>
        <v>0.1495285055856572</v>
      </c>
    </row>
    <row r="693" spans="1:28">
      <c r="C693" t="str">
        <v>Residential</v>
      </c>
      <c r="D693" s="29" cm="1">
        <f t="array" ref="D693">SUMPRODUCT(Table2[Total heating demand (MWh)],Table2[Stock],--(Table2[Subsector]=$C693))/SUMPRODUCT(Table2[Stock],--(Table2[Subsector]=$C693))</f>
        <v>10.347350492857768</v>
      </c>
      <c r="AB693" s="66"/>
    </row>
    <row r="694" spans="1:28">
      <c r="C694" t="str">
        <v>Agriculture</v>
      </c>
      <c r="D694" s="29" cm="1">
        <f t="array" ref="D694">SUMPRODUCT(Table2[Total heating demand (MWh)],Table2[Stock],--(Table2[Subsector]=$C694))/SUMPRODUCT(Table2[Stock],--(Table2[Subsector]=$C694))</f>
        <v>31.185872943356525</v>
      </c>
      <c r="AA694" t="s">
        <v>223</v>
      </c>
      <c r="AB694" s="42" cm="1">
        <f t="array" ref="AB694">SUMPRODUCT(Table2[Space constrained %],Table2[Stock],--(Table2[Subsector]="Residential"))/SUMPRODUCT(Table2[Stock],--(Table2[Subsector]="Residential"))</f>
        <v>0.17135651200509855</v>
      </c>
    </row>
    <row r="695" spans="1:28">
      <c r="C695" t="str">
        <v>Industry</v>
      </c>
      <c r="D695" s="29" cm="1">
        <f t="array" ref="D695">SUMPRODUCT(Table2[Total heating demand (MWh)],Table2[Stock],--(Table2[Subsector]=$C695))/SUMPRODUCT(Table2[Stock],--(Table2[Subsector]=$C695))</f>
        <v>1070.6838020746541</v>
      </c>
    </row>
  </sheetData>
  <phoneticPr fontId="16"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B2B06-2E28-44D4-BDA7-73105CFB6230}">
  <dimension ref="B2:N25"/>
  <sheetViews>
    <sheetView showGridLines="0" zoomScaleNormal="100" workbookViewId="0">
      <selection activeCell="I12" sqref="I12"/>
    </sheetView>
  </sheetViews>
  <sheetFormatPr defaultColWidth="9.140625" defaultRowHeight="15"/>
  <cols>
    <col min="2" max="2" width="21.42578125" customWidth="1"/>
    <col min="3" max="3" width="40.140625" bestFit="1" customWidth="1"/>
    <col min="4" max="4" width="18.140625" bestFit="1" customWidth="1"/>
    <col min="5" max="5" width="20.140625" bestFit="1" customWidth="1"/>
    <col min="6" max="7" width="17.140625" customWidth="1"/>
  </cols>
  <sheetData>
    <row r="2" spans="2:14" ht="18" thickBot="1">
      <c r="B2" s="6" t="s">
        <v>224</v>
      </c>
      <c r="C2" s="6"/>
      <c r="D2" s="6"/>
      <c r="E2" s="6"/>
      <c r="F2" s="6"/>
      <c r="G2" s="6"/>
      <c r="H2" s="6"/>
      <c r="I2" s="6"/>
      <c r="J2" s="6"/>
      <c r="K2" s="6"/>
      <c r="L2" s="6"/>
      <c r="M2" s="6"/>
      <c r="N2" s="6"/>
    </row>
    <row r="3" spans="2:14" ht="15.75" thickTop="1">
      <c r="B3" s="7" t="s">
        <v>225</v>
      </c>
      <c r="C3" s="5"/>
      <c r="D3" s="5"/>
      <c r="E3" s="5"/>
      <c r="F3" s="5"/>
      <c r="G3" s="5"/>
      <c r="H3" s="5"/>
      <c r="I3" s="5"/>
      <c r="J3" s="5"/>
      <c r="K3" s="5"/>
      <c r="L3" s="5"/>
      <c r="M3" s="5"/>
      <c r="N3" s="5"/>
    </row>
    <row r="5" spans="2:14" ht="18" thickBot="1">
      <c r="B5" s="26" t="s">
        <v>226</v>
      </c>
      <c r="C5" s="26"/>
      <c r="D5" s="26"/>
      <c r="E5" s="26"/>
      <c r="F5" s="26"/>
      <c r="G5" s="26"/>
      <c r="H5" s="26"/>
    </row>
    <row r="6" spans="2:14" ht="16.5" thickTop="1">
      <c r="B6" s="87" t="s">
        <v>227</v>
      </c>
      <c r="C6" s="87"/>
      <c r="D6" s="87"/>
      <c r="E6" s="87"/>
      <c r="F6" s="87"/>
      <c r="G6" s="87"/>
      <c r="H6" s="87"/>
    </row>
    <row r="7" spans="2:14">
      <c r="B7" s="18"/>
      <c r="C7" s="18"/>
      <c r="D7" s="18"/>
      <c r="E7" s="18"/>
      <c r="F7" s="18"/>
      <c r="G7" s="18"/>
      <c r="H7" s="18"/>
    </row>
    <row r="8" spans="2:14">
      <c r="B8" s="88" t="s">
        <v>228</v>
      </c>
      <c r="C8" s="88"/>
      <c r="D8" s="88"/>
      <c r="E8" s="88"/>
      <c r="F8" s="88"/>
      <c r="G8" s="88"/>
      <c r="H8" s="88"/>
    </row>
    <row r="9" spans="2:14">
      <c r="B9" s="44"/>
      <c r="C9" s="44"/>
      <c r="D9" s="44"/>
      <c r="E9" s="44"/>
      <c r="F9" s="44"/>
      <c r="G9" s="44"/>
      <c r="H9" s="44"/>
    </row>
    <row r="10" spans="2:14" ht="60">
      <c r="B10" s="18"/>
      <c r="C10" s="45" t="s">
        <v>229</v>
      </c>
      <c r="D10" s="46" t="s">
        <v>230</v>
      </c>
      <c r="E10" s="47" t="s">
        <v>231</v>
      </c>
      <c r="F10" s="48" t="s">
        <v>232</v>
      </c>
      <c r="G10" s="48" t="s">
        <v>233</v>
      </c>
      <c r="H10" s="18"/>
    </row>
    <row r="11" spans="2:14">
      <c r="B11" s="18">
        <v>1</v>
      </c>
      <c r="C11" s="49" t="s">
        <v>234</v>
      </c>
      <c r="D11" s="50" t="s">
        <v>235</v>
      </c>
      <c r="E11" s="51" t="s">
        <v>236</v>
      </c>
      <c r="F11" s="52">
        <v>266.57523809523809</v>
      </c>
      <c r="G11" s="52">
        <v>5468.1085769142855</v>
      </c>
      <c r="H11" s="18"/>
    </row>
    <row r="12" spans="2:14">
      <c r="B12" s="18">
        <v>2</v>
      </c>
      <c r="C12" s="19" t="s">
        <v>237</v>
      </c>
      <c r="D12" s="20" t="s">
        <v>235</v>
      </c>
      <c r="E12" s="21" t="s">
        <v>236</v>
      </c>
      <c r="F12" s="52">
        <v>210.45841269841262</v>
      </c>
      <c r="G12" s="52">
        <v>4317.0155629714272</v>
      </c>
      <c r="H12" s="18"/>
    </row>
    <row r="13" spans="2:14">
      <c r="B13" s="18">
        <v>3</v>
      </c>
      <c r="C13" s="19" t="s">
        <v>238</v>
      </c>
      <c r="D13" s="20" t="s">
        <v>235</v>
      </c>
      <c r="E13" s="21" t="s">
        <v>239</v>
      </c>
      <c r="F13" s="52">
        <v>1162.3579591836751</v>
      </c>
      <c r="G13" s="52">
        <v>23842.797896277589</v>
      </c>
      <c r="H13" s="18"/>
    </row>
    <row r="14" spans="2:14">
      <c r="B14" s="18">
        <v>4</v>
      </c>
      <c r="C14" s="22" t="s">
        <v>240</v>
      </c>
      <c r="D14" s="23" t="s">
        <v>235</v>
      </c>
      <c r="E14" s="24" t="s">
        <v>236</v>
      </c>
      <c r="F14" s="52">
        <v>188.45078282828283</v>
      </c>
      <c r="G14" s="52">
        <v>3865.5853757181821</v>
      </c>
      <c r="H14" s="18"/>
    </row>
    <row r="15" spans="2:14">
      <c r="B15" s="18"/>
      <c r="C15" s="19" t="s">
        <v>241</v>
      </c>
      <c r="D15" s="20" t="s">
        <v>235</v>
      </c>
      <c r="E15" s="21" t="s">
        <v>236</v>
      </c>
      <c r="F15" s="52">
        <v>206.69695916165827</v>
      </c>
      <c r="G15" s="52">
        <v>4239.858972985965</v>
      </c>
      <c r="H15" s="18"/>
    </row>
    <row r="16" spans="2:14">
      <c r="B16" s="18">
        <v>5</v>
      </c>
      <c r="C16" s="19" t="s">
        <v>242</v>
      </c>
      <c r="D16" s="20" t="s">
        <v>235</v>
      </c>
      <c r="E16" s="21" t="s">
        <v>236</v>
      </c>
      <c r="F16" s="52">
        <v>217.18108995210142</v>
      </c>
      <c r="G16" s="52">
        <v>4454.9140767770832</v>
      </c>
      <c r="H16" s="18"/>
    </row>
    <row r="17" spans="2:8">
      <c r="B17" s="18">
        <v>6</v>
      </c>
      <c r="C17" s="49" t="s">
        <v>243</v>
      </c>
      <c r="D17" s="50" t="s">
        <v>235</v>
      </c>
      <c r="E17" s="53" t="s">
        <v>236</v>
      </c>
      <c r="F17" s="52">
        <v>342.34666666666601</v>
      </c>
      <c r="G17" s="52">
        <v>7022.3654591999866</v>
      </c>
      <c r="H17" s="18"/>
    </row>
    <row r="18" spans="2:8">
      <c r="B18" s="18">
        <v>7</v>
      </c>
      <c r="C18" s="22" t="s">
        <v>244</v>
      </c>
      <c r="D18" s="23" t="s">
        <v>235</v>
      </c>
      <c r="E18" s="24" t="s">
        <v>236</v>
      </c>
      <c r="F18" s="52">
        <v>186.57015873015874</v>
      </c>
      <c r="G18" s="52">
        <v>3827.0091867428573</v>
      </c>
      <c r="H18" s="18"/>
    </row>
    <row r="19" spans="2:8">
      <c r="B19" s="18"/>
      <c r="C19" s="22" t="s">
        <v>245</v>
      </c>
      <c r="D19" s="23" t="s">
        <v>235</v>
      </c>
      <c r="E19" s="24" t="s">
        <v>236</v>
      </c>
      <c r="F19" s="52">
        <v>429.08000000000106</v>
      </c>
      <c r="G19" s="52">
        <v>8801.4777552000232</v>
      </c>
      <c r="H19" s="18"/>
    </row>
    <row r="20" spans="2:8">
      <c r="B20" s="18">
        <v>8</v>
      </c>
      <c r="C20" s="49" t="s">
        <v>246</v>
      </c>
      <c r="D20" s="50" t="s">
        <v>235</v>
      </c>
      <c r="E20" s="53" t="s">
        <v>236</v>
      </c>
      <c r="F20" s="52">
        <v>188.66894409937888</v>
      </c>
      <c r="G20" s="52">
        <v>3870.0603957018634</v>
      </c>
      <c r="H20" s="18"/>
    </row>
    <row r="21" spans="2:8">
      <c r="B21" s="18">
        <v>9</v>
      </c>
      <c r="C21" s="19" t="s">
        <v>247</v>
      </c>
      <c r="D21" s="20" t="s">
        <v>235</v>
      </c>
      <c r="E21" s="21" t="s">
        <v>248</v>
      </c>
      <c r="F21" s="52">
        <v>196.99111111111114</v>
      </c>
      <c r="G21" s="52">
        <v>4040.7683472000003</v>
      </c>
      <c r="H21" s="18"/>
    </row>
    <row r="22" spans="2:8">
      <c r="B22" s="18">
        <v>10</v>
      </c>
      <c r="C22" s="54" t="s">
        <v>249</v>
      </c>
      <c r="D22" s="55" t="s">
        <v>250</v>
      </c>
      <c r="E22" s="56" t="s">
        <v>236</v>
      </c>
      <c r="F22" s="57">
        <v>67.470204616036483</v>
      </c>
      <c r="G22" s="57">
        <v>2127.7403727713267</v>
      </c>
      <c r="H22" s="18"/>
    </row>
    <row r="23" spans="2:8">
      <c r="B23" s="18">
        <v>11</v>
      </c>
      <c r="C23" s="58" t="s">
        <v>251</v>
      </c>
      <c r="D23" s="59" t="s">
        <v>252</v>
      </c>
      <c r="E23" s="60" t="s">
        <v>236</v>
      </c>
      <c r="F23" s="25">
        <v>34.791517018356608</v>
      </c>
      <c r="G23" s="61">
        <v>1097.1852806908939</v>
      </c>
      <c r="H23" s="18"/>
    </row>
    <row r="24" spans="2:8">
      <c r="B24" s="18"/>
      <c r="C24" s="18"/>
      <c r="D24" s="18"/>
      <c r="E24" s="18"/>
      <c r="F24" s="18"/>
      <c r="G24" s="18"/>
      <c r="H24" s="18"/>
    </row>
    <row r="25" spans="2:8">
      <c r="B25" s="18"/>
      <c r="C25" s="18"/>
      <c r="D25" s="18"/>
      <c r="E25" s="18"/>
      <c r="F25" s="18"/>
      <c r="G25" s="18"/>
      <c r="H25" s="18"/>
    </row>
  </sheetData>
  <mergeCells count="2">
    <mergeCell ref="B6:H6"/>
    <mergeCell ref="B8:H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A28DD-4727-4B42-83E6-29FF55D223A3}">
  <dimension ref="B2:M39"/>
  <sheetViews>
    <sheetView showGridLines="0" workbookViewId="0">
      <selection activeCell="A7" sqref="A7"/>
    </sheetView>
  </sheetViews>
  <sheetFormatPr defaultColWidth="9.140625" defaultRowHeight="15"/>
  <cols>
    <col min="2" max="2" width="15.42578125" customWidth="1"/>
    <col min="3" max="3" width="55.42578125" bestFit="1" customWidth="1"/>
    <col min="4" max="4" width="54.85546875" bestFit="1" customWidth="1"/>
    <col min="5" max="5" width="12" bestFit="1" customWidth="1"/>
  </cols>
  <sheetData>
    <row r="2" spans="2:13" ht="18" thickBot="1">
      <c r="B2" s="6" t="s">
        <v>253</v>
      </c>
      <c r="C2" s="6"/>
      <c r="D2" s="6"/>
      <c r="E2" s="6"/>
      <c r="F2" s="6"/>
      <c r="G2" s="6"/>
      <c r="H2" s="6"/>
      <c r="I2" s="6"/>
      <c r="J2" s="6"/>
      <c r="K2" s="6"/>
      <c r="L2" s="6"/>
      <c r="M2" s="6"/>
    </row>
    <row r="3" spans="2:13" ht="15.75" thickTop="1">
      <c r="B3" s="7" t="s">
        <v>254</v>
      </c>
      <c r="C3" s="5"/>
      <c r="D3" s="5"/>
      <c r="E3" s="5"/>
      <c r="F3" s="5"/>
      <c r="G3" s="5"/>
      <c r="H3" s="5"/>
      <c r="I3" s="5"/>
      <c r="J3" s="5"/>
      <c r="K3" s="5"/>
      <c r="L3" s="5"/>
      <c r="M3" s="5"/>
    </row>
    <row r="5" spans="2:13" ht="18" thickBot="1">
      <c r="B5" s="8" t="s">
        <v>255</v>
      </c>
      <c r="C5" s="8"/>
      <c r="D5" s="8"/>
      <c r="E5" s="8"/>
      <c r="F5" s="8"/>
      <c r="G5" s="8"/>
      <c r="H5" s="8"/>
      <c r="I5" s="8"/>
      <c r="J5" s="8"/>
      <c r="K5" s="8"/>
      <c r="L5" s="8"/>
      <c r="M5" s="8"/>
    </row>
    <row r="6" spans="2:13" ht="15.75" thickTop="1"/>
    <row r="7" spans="2:13">
      <c r="B7" s="3" t="s">
        <v>256</v>
      </c>
      <c r="C7" t="s">
        <v>257</v>
      </c>
      <c r="D7" t="s">
        <v>258</v>
      </c>
    </row>
    <row r="8" spans="2:13">
      <c r="B8">
        <v>2019</v>
      </c>
      <c r="C8" s="29">
        <v>2.0148000000000001</v>
      </c>
      <c r="D8" s="29">
        <v>0.29673967267281542</v>
      </c>
      <c r="E8" s="4"/>
    </row>
    <row r="9" spans="2:13">
      <c r="B9">
        <v>2020</v>
      </c>
      <c r="C9" s="29">
        <v>2.8908</v>
      </c>
      <c r="D9" s="29">
        <v>0.41344804958638387</v>
      </c>
    </row>
    <row r="10" spans="2:13">
      <c r="B10">
        <v>2021</v>
      </c>
      <c r="C10" s="29">
        <v>3.9420000000000002</v>
      </c>
      <c r="D10" s="29">
        <v>0.55349810188266613</v>
      </c>
    </row>
    <row r="11" spans="2:13">
      <c r="B11">
        <v>2022</v>
      </c>
      <c r="C11" s="29">
        <v>5.1683999999999992</v>
      </c>
      <c r="D11" s="29">
        <v>0.71688982956166192</v>
      </c>
    </row>
    <row r="12" spans="2:13">
      <c r="B12">
        <v>2023</v>
      </c>
      <c r="C12" s="29">
        <v>5.8691999999999993</v>
      </c>
      <c r="D12" s="29">
        <v>0.81025653109251661</v>
      </c>
    </row>
    <row r="13" spans="2:13">
      <c r="B13">
        <v>2024</v>
      </c>
      <c r="C13" s="29">
        <v>6.6576000000000004</v>
      </c>
      <c r="D13" s="29">
        <v>0.91529407031472831</v>
      </c>
    </row>
    <row r="14" spans="2:13">
      <c r="B14">
        <v>2025</v>
      </c>
      <c r="C14" s="29">
        <v>7.1832000000000011</v>
      </c>
      <c r="D14" s="29">
        <v>0.9853190964628693</v>
      </c>
    </row>
    <row r="15" spans="2:13">
      <c r="B15">
        <v>2026</v>
      </c>
      <c r="C15" s="29">
        <v>7.7087999999999992</v>
      </c>
      <c r="D15" s="29">
        <v>1.0553441226110105</v>
      </c>
    </row>
    <row r="16" spans="2:13">
      <c r="B16">
        <v>2027</v>
      </c>
      <c r="C16" s="29">
        <v>8.2344000000000008</v>
      </c>
      <c r="D16" s="29">
        <v>1.1253691487591513</v>
      </c>
    </row>
    <row r="17" spans="2:7">
      <c r="B17">
        <v>2028</v>
      </c>
      <c r="C17" s="29">
        <v>8.8475999999999999</v>
      </c>
      <c r="D17" s="29">
        <v>1.2070650125986497</v>
      </c>
    </row>
    <row r="18" spans="2:7">
      <c r="B18">
        <v>2029</v>
      </c>
      <c r="C18" s="29">
        <v>9.2855999999999987</v>
      </c>
      <c r="D18" s="29">
        <v>1.2654192010554339</v>
      </c>
      <c r="G18" s="3"/>
    </row>
    <row r="19" spans="2:7">
      <c r="B19">
        <v>2030</v>
      </c>
      <c r="C19" s="29">
        <v>9.4559577889447191</v>
      </c>
      <c r="D19" s="29">
        <v>1.288115754756715</v>
      </c>
    </row>
    <row r="20" spans="2:7">
      <c r="B20">
        <v>2031</v>
      </c>
      <c r="C20" s="29">
        <v>9.6263155778894376</v>
      </c>
      <c r="D20" s="29">
        <v>1.3108123084579963</v>
      </c>
    </row>
    <row r="21" spans="2:7">
      <c r="B21">
        <v>2032</v>
      </c>
      <c r="C21" s="29">
        <v>9.7966733668341579</v>
      </c>
      <c r="D21" s="29">
        <v>1.3335088621592774</v>
      </c>
    </row>
    <row r="22" spans="2:7">
      <c r="B22">
        <v>2033</v>
      </c>
      <c r="C22" s="29">
        <v>9.9670311557788747</v>
      </c>
      <c r="D22" s="29">
        <v>1.356205415860559</v>
      </c>
    </row>
    <row r="23" spans="2:7">
      <c r="B23">
        <v>2034</v>
      </c>
      <c r="C23" s="29">
        <v>10.137388944723597</v>
      </c>
      <c r="D23" s="29">
        <v>1.3789019695618403</v>
      </c>
    </row>
    <row r="24" spans="2:7">
      <c r="B24">
        <v>2035</v>
      </c>
      <c r="C24" s="29">
        <v>10.307746733668315</v>
      </c>
      <c r="D24" s="29">
        <v>1.4015985232631214</v>
      </c>
    </row>
    <row r="25" spans="2:7">
      <c r="B25">
        <v>2036</v>
      </c>
      <c r="C25" s="29">
        <v>10.478104522613034</v>
      </c>
      <c r="D25" s="29">
        <v>1.4242950769644027</v>
      </c>
    </row>
    <row r="26" spans="2:7">
      <c r="B26">
        <v>2037</v>
      </c>
      <c r="C26" s="29">
        <v>10.648462311557751</v>
      </c>
      <c r="D26" s="29">
        <v>1.446991630665684</v>
      </c>
    </row>
    <row r="27" spans="2:7">
      <c r="B27">
        <v>2038</v>
      </c>
      <c r="C27" s="29">
        <v>10.818820100502471</v>
      </c>
      <c r="D27" s="29">
        <v>1.4696881843669656</v>
      </c>
    </row>
    <row r="28" spans="2:7">
      <c r="B28">
        <v>2039</v>
      </c>
      <c r="C28" s="29">
        <v>10.989177889447191</v>
      </c>
      <c r="D28" s="29">
        <v>1.4923847380682467</v>
      </c>
    </row>
    <row r="29" spans="2:7">
      <c r="B29">
        <v>2040</v>
      </c>
      <c r="C29" s="29">
        <v>11.15953567839191</v>
      </c>
      <c r="D29" s="29">
        <v>1.515081291769528</v>
      </c>
    </row>
    <row r="30" spans="2:7">
      <c r="B30">
        <v>2041</v>
      </c>
      <c r="C30" s="29">
        <v>11.329893467336628</v>
      </c>
      <c r="D30" s="29">
        <v>1.5377778454708093</v>
      </c>
    </row>
    <row r="31" spans="2:7">
      <c r="B31">
        <v>2042</v>
      </c>
      <c r="C31" s="29">
        <v>11.500251256281347</v>
      </c>
      <c r="D31" s="29">
        <v>1.5604743991720906</v>
      </c>
    </row>
    <row r="32" spans="2:7">
      <c r="B32">
        <v>2043</v>
      </c>
      <c r="C32" s="29">
        <v>11.670609045226065</v>
      </c>
      <c r="D32" s="29">
        <v>1.583170952873372</v>
      </c>
    </row>
    <row r="33" spans="2:4">
      <c r="B33">
        <v>2044</v>
      </c>
      <c r="C33" s="29">
        <v>11.840966834170784</v>
      </c>
      <c r="D33" s="29">
        <v>1.605867506574653</v>
      </c>
    </row>
    <row r="34" spans="2:4">
      <c r="B34">
        <v>2045</v>
      </c>
      <c r="C34" s="29">
        <v>12.011324623115504</v>
      </c>
      <c r="D34" s="29">
        <v>1.6285640602759346</v>
      </c>
    </row>
    <row r="35" spans="2:4">
      <c r="B35">
        <v>2046</v>
      </c>
      <c r="C35" s="29">
        <v>12.181682412060221</v>
      </c>
      <c r="D35" s="29">
        <v>1.6512606139772159</v>
      </c>
    </row>
    <row r="36" spans="2:4">
      <c r="B36">
        <v>2047</v>
      </c>
      <c r="C36" s="29">
        <v>12.352040201004939</v>
      </c>
      <c r="D36" s="29">
        <v>1.673957167678497</v>
      </c>
    </row>
    <row r="37" spans="2:4">
      <c r="B37">
        <v>2048</v>
      </c>
      <c r="C37" s="29">
        <v>12.522397989949662</v>
      </c>
      <c r="D37" s="29">
        <v>1.6966537213797785</v>
      </c>
    </row>
    <row r="38" spans="2:4">
      <c r="B38">
        <v>2049</v>
      </c>
      <c r="C38" s="29">
        <v>12.69275577889438</v>
      </c>
      <c r="D38" s="29">
        <v>1.7193502750810596</v>
      </c>
    </row>
    <row r="39" spans="2:4">
      <c r="B39">
        <v>2050</v>
      </c>
      <c r="C39" s="29">
        <v>12.863113567839099</v>
      </c>
      <c r="D39" s="29">
        <v>1.7420468287823407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5E810519F8464DB81EB8D073E8F8D6" ma:contentTypeVersion="11" ma:contentTypeDescription="Create a new document." ma:contentTypeScope="" ma:versionID="3f3aa7508acfd2d77a3a95653a55c0c7">
  <xsd:schema xmlns:xsd="http://www.w3.org/2001/XMLSchema" xmlns:xs="http://www.w3.org/2001/XMLSchema" xmlns:p="http://schemas.microsoft.com/office/2006/metadata/properties" xmlns:ns2="bf07c28a-81f4-41f7-8a71-b31f71551aec" xmlns:ns3="53d0b0ee-fdb7-40b4-9712-cdf210167327" targetNamespace="http://schemas.microsoft.com/office/2006/metadata/properties" ma:root="true" ma:fieldsID="4706a407044ab15171385dca864be637" ns2:_="" ns3:_="">
    <xsd:import namespace="bf07c28a-81f4-41f7-8a71-b31f71551aec"/>
    <xsd:import namespace="53d0b0ee-fdb7-40b4-9712-cdf21016732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07c28a-81f4-41f7-8a71-b31f71551a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d0b0ee-fdb7-40b4-9712-cdf21016732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53d0b0ee-fdb7-40b4-9712-cdf210167327">
      <UserInfo>
        <DisplayName>Buckley Helena</DisplayName>
        <AccountId>126</AccountId>
        <AccountType/>
      </UserInfo>
      <UserInfo>
        <DisplayName>Clancy Matthew</DisplayName>
        <AccountId>14</AccountId>
        <AccountType/>
      </UserInfo>
    </SharedWithUsers>
  </documentManagement>
</p:properties>
</file>

<file path=customXml/itemProps1.xml><?xml version="1.0" encoding="utf-8"?>
<ds:datastoreItem xmlns:ds="http://schemas.openxmlformats.org/officeDocument/2006/customXml" ds:itemID="{104451F1-CEF1-4B15-B39D-D9746BB2AD80}"/>
</file>

<file path=customXml/itemProps2.xml><?xml version="1.0" encoding="utf-8"?>
<ds:datastoreItem xmlns:ds="http://schemas.openxmlformats.org/officeDocument/2006/customXml" ds:itemID="{072F5891-9251-49DE-A14F-CAD8883BCA57}"/>
</file>

<file path=customXml/itemProps3.xml><?xml version="1.0" encoding="utf-8"?>
<ds:datastoreItem xmlns:ds="http://schemas.openxmlformats.org/officeDocument/2006/customXml" ds:itemID="{45671036-9EAD-43B8-8B92-3A4BF48497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Clancy Matthew</dc:creator>
  <cp:keywords/>
  <dc:description/>
  <cp:lastModifiedBy/>
  <cp:revision/>
  <dcterms:created xsi:type="dcterms:W3CDTF">2017-05-23T15:05:48Z</dcterms:created>
  <dcterms:modified xsi:type="dcterms:W3CDTF">2022-02-21T23:05:07Z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0x010100635E810519F8464DB81EB8D073E8F8D6</vt:lpwstr>
  </property>
</Properties>
</file>