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parfoiscom.sharepoint.com/sites/Iniciativaseprojetosestrategicos-IN.014.ArtificialintelligenceAIintegration/Documentos Partilhados/IN.014.Artificial intelligence (AI) integration/"/>
    </mc:Choice>
  </mc:AlternateContent>
  <xr:revisionPtr revIDLastSave="2131" documentId="8_{0EA14328-FEDF-40D5-B651-4B1EA9E407C7}" xr6:coauthVersionLast="47" xr6:coauthVersionMax="47" xr10:uidLastSave="{08872C61-1336-40B2-AB22-D12A6E190F4F}"/>
  <bookViews>
    <workbookView xWindow="28680" yWindow="-120" windowWidth="29040" windowHeight="15720" activeTab="1" xr2:uid="{AA5F297A-38D3-41E6-82E1-053B5AABFC2F}"/>
  </bookViews>
  <sheets>
    <sheet name="FICHA PROJETO" sheetId="1" r:id="rId1"/>
    <sheet name="PLANEAMENTO" sheetId="3" r:id="rId2"/>
    <sheet name="SEGUIMIENTO" sheetId="5" r:id="rId3"/>
    <sheet name="RISCOS" sheetId="7" r:id="rId4"/>
    <sheet name="FICHA PBI" sheetId="4" r:id="rId5"/>
    <sheet name="Valores" sheetId="2" r:id="rId6"/>
  </sheets>
  <definedNames>
    <definedName name="_xlnm._FilterDatabase" localSheetId="1" hidden="1">PLANEAMENTO!$A$5:$X$76</definedName>
    <definedName name="ActualBeyond">PeriodInActual*(PLANEAMENTO!#REF!&gt;0)</definedName>
    <definedName name="PercentComplete">PercentCompleteBeyond*PeriodInPlan</definedName>
    <definedName name="PercentCompleteBeyond">(PLANEAMENTO!#REF!=MEDIAN(PLANEAMENTO!#REF!, PLANEAMENTO!#REF!, PLANEAMENTO!#REF!+ PLANEAMENTO!#REF!)*( PLANEAMENTO!#REF!&gt;0))*((PLANEAMENTO!#REF!&lt;(INT(PLANEAMENTO!#REF!+PLANEAMENTO!#REF!*PLANEAMENTO!$T8)))+( PLANEAMENTO!#REF!=PLANEAMENTO!#REF!))*(PLANEAMENTO!$T8&gt;0)</definedName>
    <definedName name="PeriodInActual">PLANEAMENTO!#REF!=MEDIAN(PLANEAMENTO!#REF!, PLANEAMENTO!#REF!, PLANEAMENTO!#REF!+ PLANEAMENTO!#REF!-1)</definedName>
    <definedName name="PeriodInPlan">PLANEAMENTO!#REF!=MEDIAN(PLANEAMENTO!#REF!, PLANEAMENTO!#REF!, PLANEAMENTO!#REF!+ PLANEAMENTO!#REF!-1)</definedName>
    <definedName name="Plan">PeriodInPlan*(PLANEAMENTO!#REF!&gt;0)</definedName>
    <definedName name="Real">(PeriodInActual*(PLANEAMENTO!#REF!&gt;0))*PeriodInPlan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5" l="1"/>
  <c r="A45" i="5"/>
  <c r="B44" i="5"/>
  <c r="A44" i="5"/>
  <c r="B43" i="5"/>
  <c r="A43" i="5"/>
  <c r="B42" i="5"/>
  <c r="A42" i="5"/>
  <c r="A41" i="5"/>
  <c r="A40" i="5"/>
  <c r="A39" i="5"/>
  <c r="A38" i="5"/>
  <c r="A37" i="5"/>
  <c r="A36" i="5"/>
  <c r="A35" i="5"/>
  <c r="A34" i="5"/>
  <c r="A33" i="5"/>
  <c r="A32" i="5"/>
  <c r="B31" i="5"/>
  <c r="B32" i="5" s="1"/>
  <c r="B33" i="5" s="1"/>
  <c r="B34" i="5" s="1"/>
  <c r="B35" i="5" s="1"/>
  <c r="B36" i="5" s="1"/>
  <c r="B37" i="5" s="1"/>
  <c r="B38" i="5" s="1"/>
  <c r="B39" i="5" s="1"/>
  <c r="B40" i="5" s="1"/>
  <c r="B41" i="5" s="1"/>
  <c r="A31" i="5"/>
  <c r="L54" i="3"/>
  <c r="C52" i="3"/>
  <c r="C51" i="3"/>
  <c r="C50" i="3"/>
  <c r="C49" i="3"/>
  <c r="C48" i="3"/>
  <c r="C46" i="3"/>
  <c r="C45" i="3"/>
  <c r="C44" i="3"/>
  <c r="C43" i="3"/>
  <c r="C42" i="3"/>
  <c r="G52" i="3"/>
  <c r="H52" i="3" s="1"/>
  <c r="V51" i="3"/>
  <c r="T51" i="3"/>
  <c r="S51" i="3"/>
  <c r="G51" i="3"/>
  <c r="U50" i="3"/>
  <c r="T50" i="3"/>
  <c r="O50" i="3"/>
  <c r="G50" i="3"/>
  <c r="H50" i="3" s="1"/>
  <c r="U49" i="3"/>
  <c r="T49" i="3"/>
  <c r="O49" i="3"/>
  <c r="G49" i="3"/>
  <c r="H49" i="3" s="1"/>
  <c r="U48" i="3"/>
  <c r="T48" i="3"/>
  <c r="O48" i="3"/>
  <c r="G48" i="3"/>
  <c r="H48" i="3" s="1"/>
  <c r="M47" i="3"/>
  <c r="J47" i="3"/>
  <c r="H47" i="3"/>
  <c r="F47" i="3"/>
  <c r="C47" i="3"/>
  <c r="L46" i="3"/>
  <c r="G46" i="3"/>
  <c r="H46" i="3" s="1"/>
  <c r="U45" i="3"/>
  <c r="T45" i="3"/>
  <c r="O45" i="3"/>
  <c r="G45" i="3"/>
  <c r="H45" i="3" s="1"/>
  <c r="U44" i="3"/>
  <c r="T44" i="3"/>
  <c r="O44" i="3"/>
  <c r="G44" i="3"/>
  <c r="H44" i="3" s="1"/>
  <c r="U43" i="3"/>
  <c r="T43" i="3"/>
  <c r="O43" i="3"/>
  <c r="G43" i="3"/>
  <c r="H43" i="3" s="1"/>
  <c r="U42" i="3"/>
  <c r="T42" i="3"/>
  <c r="O42" i="3"/>
  <c r="G42" i="3"/>
  <c r="H42" i="3" s="1"/>
  <c r="M41" i="3"/>
  <c r="L41" i="3"/>
  <c r="J41" i="3"/>
  <c r="H41" i="3"/>
  <c r="F41" i="3"/>
  <c r="C41" i="3"/>
  <c r="A30" i="5"/>
  <c r="A29" i="5"/>
  <c r="A28" i="5"/>
  <c r="A27" i="5"/>
  <c r="A26" i="5"/>
  <c r="A25" i="5"/>
  <c r="A24" i="5"/>
  <c r="B23" i="5"/>
  <c r="A23" i="5"/>
  <c r="A22" i="5"/>
  <c r="A21" i="5"/>
  <c r="A20" i="5"/>
  <c r="A19" i="5"/>
  <c r="A18" i="5"/>
  <c r="A17" i="5"/>
  <c r="L26" i="3"/>
  <c r="A16" i="5"/>
  <c r="A15" i="5"/>
  <c r="L33" i="3"/>
  <c r="L27" i="3"/>
  <c r="A14" i="5"/>
  <c r="A13" i="5"/>
  <c r="A12" i="5"/>
  <c r="A11" i="5"/>
  <c r="A10" i="5"/>
  <c r="F24" i="3"/>
  <c r="L23" i="3"/>
  <c r="L20" i="3"/>
  <c r="A9" i="5"/>
  <c r="A8" i="5"/>
  <c r="A7" i="5"/>
  <c r="I2" i="4"/>
  <c r="H2" i="4"/>
  <c r="G2" i="4"/>
  <c r="F2" i="4"/>
  <c r="E2" i="4"/>
  <c r="D2" i="4"/>
  <c r="A6" i="5"/>
  <c r="A5" i="5"/>
  <c r="Q17" i="3"/>
  <c r="O17" i="3" s="1"/>
  <c r="U17" i="3"/>
  <c r="T17" i="3"/>
  <c r="G17" i="3"/>
  <c r="H17" i="3"/>
  <c r="F33" i="3"/>
  <c r="A3" i="5"/>
  <c r="A4" i="5"/>
  <c r="A2" i="5"/>
  <c r="L7" i="3"/>
  <c r="L13" i="3"/>
  <c r="Q10" i="3"/>
  <c r="U10" i="3"/>
  <c r="Q11" i="3"/>
  <c r="O11" i="3" s="1"/>
  <c r="J65" i="3"/>
  <c r="F65" i="3"/>
  <c r="J59" i="3"/>
  <c r="F59" i="3"/>
  <c r="G39" i="3"/>
  <c r="H39" i="3" s="1"/>
  <c r="G40" i="3"/>
  <c r="H40" i="3" s="1"/>
  <c r="G54" i="3"/>
  <c r="H54" i="3" s="1"/>
  <c r="G55" i="3"/>
  <c r="H55" i="3" s="1"/>
  <c r="G56" i="3"/>
  <c r="H56" i="3" s="1"/>
  <c r="G57" i="3"/>
  <c r="H57" i="3" s="1"/>
  <c r="G58" i="3"/>
  <c r="H58" i="3" s="1"/>
  <c r="N68" i="3"/>
  <c r="N69" i="3"/>
  <c r="N71" i="3"/>
  <c r="N73" i="3"/>
  <c r="N76" i="3"/>
  <c r="M65" i="3"/>
  <c r="M59" i="3"/>
  <c r="T54" i="3"/>
  <c r="T55" i="3"/>
  <c r="T56" i="3"/>
  <c r="T57" i="3"/>
  <c r="V63" i="3"/>
  <c r="S63" i="3"/>
  <c r="V64" i="3"/>
  <c r="V66" i="3"/>
  <c r="S66" i="3"/>
  <c r="V67" i="3"/>
  <c r="S67" i="3"/>
  <c r="V68" i="3"/>
  <c r="S68" i="3"/>
  <c r="V69" i="3"/>
  <c r="V70" i="3"/>
  <c r="S70" i="3"/>
  <c r="V71" i="3"/>
  <c r="W71" i="3"/>
  <c r="V72" i="3"/>
  <c r="S72" i="3"/>
  <c r="V73" i="3"/>
  <c r="V74" i="3"/>
  <c r="S74" i="3"/>
  <c r="V75" i="3"/>
  <c r="S75" i="3"/>
  <c r="V76" i="3"/>
  <c r="S76" i="3"/>
  <c r="M53" i="3"/>
  <c r="M6" i="3" s="1"/>
  <c r="J53" i="3"/>
  <c r="F53" i="3"/>
  <c r="F38" i="3"/>
  <c r="G35" i="3"/>
  <c r="H35" i="3"/>
  <c r="N35" i="3"/>
  <c r="T35" i="3"/>
  <c r="V35" i="3"/>
  <c r="T10" i="3"/>
  <c r="T11" i="3"/>
  <c r="U11" i="3"/>
  <c r="S35" i="3"/>
  <c r="S64" i="3"/>
  <c r="S69" i="3"/>
  <c r="S71" i="3"/>
  <c r="S73" i="3"/>
  <c r="G10" i="3"/>
  <c r="H10" i="3"/>
  <c r="G11" i="3"/>
  <c r="H11" i="3"/>
  <c r="T36" i="3"/>
  <c r="G36" i="3"/>
  <c r="H36" i="3"/>
  <c r="T39" i="3"/>
  <c r="M38" i="3"/>
  <c r="J38" i="3"/>
  <c r="J33" i="3"/>
  <c r="M33" i="3"/>
  <c r="G37" i="3"/>
  <c r="H37" i="3"/>
  <c r="T34" i="3"/>
  <c r="G34" i="3"/>
  <c r="H34" i="3"/>
  <c r="J27" i="3"/>
  <c r="M24" i="3"/>
  <c r="J24" i="3"/>
  <c r="J20" i="3"/>
  <c r="G32" i="3"/>
  <c r="H32" i="3"/>
  <c r="T31" i="3"/>
  <c r="G31" i="3"/>
  <c r="H31" i="3"/>
  <c r="T30" i="3"/>
  <c r="G30" i="3"/>
  <c r="H30" i="3"/>
  <c r="N30" i="3"/>
  <c r="T29" i="3"/>
  <c r="G29" i="3"/>
  <c r="H29" i="3"/>
  <c r="T28" i="3"/>
  <c r="G28" i="3"/>
  <c r="H28" i="3"/>
  <c r="N28" i="3"/>
  <c r="V28" i="3"/>
  <c r="S28" i="3"/>
  <c r="M27" i="3"/>
  <c r="F27" i="3"/>
  <c r="T27" i="3" s="1"/>
  <c r="G26" i="3"/>
  <c r="H26" i="3"/>
  <c r="T25" i="3"/>
  <c r="G25" i="3"/>
  <c r="H25" i="3"/>
  <c r="T23" i="3"/>
  <c r="T22" i="3"/>
  <c r="T19" i="3"/>
  <c r="T18" i="3"/>
  <c r="T16" i="3"/>
  <c r="G23" i="3"/>
  <c r="H23" i="3"/>
  <c r="G22" i="3"/>
  <c r="H22" i="3"/>
  <c r="N22" i="3"/>
  <c r="G21" i="3"/>
  <c r="H21" i="3"/>
  <c r="G19" i="3"/>
  <c r="H19" i="3"/>
  <c r="G18" i="3"/>
  <c r="H18" i="3"/>
  <c r="G16" i="3"/>
  <c r="H16" i="3"/>
  <c r="G15" i="3"/>
  <c r="H15" i="3"/>
  <c r="G14" i="3"/>
  <c r="H14" i="3"/>
  <c r="M20" i="3"/>
  <c r="M13" i="3"/>
  <c r="M7" i="3"/>
  <c r="F20" i="3"/>
  <c r="O35" i="3"/>
  <c r="V30" i="3"/>
  <c r="S30" i="3"/>
  <c r="U22" i="3"/>
  <c r="V22" i="3"/>
  <c r="S22" i="3"/>
  <c r="N10" i="3"/>
  <c r="V10" i="3"/>
  <c r="S10" i="3"/>
  <c r="N17" i="3"/>
  <c r="V17" i="3"/>
  <c r="S17" i="3"/>
  <c r="O10" i="3"/>
  <c r="W73" i="3"/>
  <c r="W40" i="3"/>
  <c r="G59" i="3"/>
  <c r="W69" i="3"/>
  <c r="N11" i="3"/>
  <c r="V11" i="3"/>
  <c r="S11" i="3"/>
  <c r="V65" i="3"/>
  <c r="S65" i="3"/>
  <c r="W76" i="3"/>
  <c r="W68" i="3"/>
  <c r="W66" i="3"/>
  <c r="U35" i="3"/>
  <c r="G53" i="3"/>
  <c r="O30" i="3"/>
  <c r="U30" i="3"/>
  <c r="N36" i="3"/>
  <c r="H33" i="3"/>
  <c r="N40" i="3"/>
  <c r="V40" i="3" s="1"/>
  <c r="S40" i="3" s="1"/>
  <c r="N39" i="3"/>
  <c r="H38" i="3"/>
  <c r="T33" i="3"/>
  <c r="N34" i="3"/>
  <c r="V34" i="3" s="1"/>
  <c r="S34" i="3" s="1"/>
  <c r="W37" i="3"/>
  <c r="N37" i="3"/>
  <c r="V37" i="3" s="1"/>
  <c r="S37" i="3" s="1"/>
  <c r="H24" i="3"/>
  <c r="G33" i="3"/>
  <c r="W32" i="3"/>
  <c r="N32" i="3"/>
  <c r="V32" i="3" s="1"/>
  <c r="S32" i="3" s="1"/>
  <c r="N31" i="3"/>
  <c r="H27" i="3"/>
  <c r="G27" i="3"/>
  <c r="N29" i="3"/>
  <c r="G24" i="3"/>
  <c r="N26" i="3"/>
  <c r="W26" i="3"/>
  <c r="N25" i="3"/>
  <c r="V25" i="3"/>
  <c r="S25" i="3"/>
  <c r="N23" i="3"/>
  <c r="W23" i="3"/>
  <c r="N18" i="3"/>
  <c r="N19" i="3"/>
  <c r="W19" i="3"/>
  <c r="N21" i="3"/>
  <c r="N16" i="3"/>
  <c r="J7" i="3"/>
  <c r="F7" i="3"/>
  <c r="G8" i="3"/>
  <c r="H8" i="3"/>
  <c r="T8" i="3"/>
  <c r="G9" i="3"/>
  <c r="H9" i="3"/>
  <c r="T9" i="3"/>
  <c r="G12" i="3"/>
  <c r="H12" i="3"/>
  <c r="T12" i="3"/>
  <c r="T32" i="3"/>
  <c r="V31" i="3"/>
  <c r="S31" i="3"/>
  <c r="V26" i="3"/>
  <c r="S26" i="3"/>
  <c r="V29" i="3"/>
  <c r="S29" i="3"/>
  <c r="V23" i="3"/>
  <c r="S23" i="3"/>
  <c r="V19" i="3"/>
  <c r="S19" i="3"/>
  <c r="V18" i="3"/>
  <c r="S18" i="3"/>
  <c r="W12" i="3"/>
  <c r="N12" i="3"/>
  <c r="U16" i="3"/>
  <c r="V16" i="3"/>
  <c r="S16" i="3"/>
  <c r="O36" i="3"/>
  <c r="U36" i="3"/>
  <c r="O32" i="3"/>
  <c r="U32" i="3"/>
  <c r="O29" i="3"/>
  <c r="U29" i="3"/>
  <c r="O18" i="3"/>
  <c r="U18" i="3"/>
  <c r="N38" i="3"/>
  <c r="V38" i="3" s="1"/>
  <c r="S38" i="3" s="1"/>
  <c r="N33" i="3"/>
  <c r="V33" i="3"/>
  <c r="S33" i="3"/>
  <c r="N24" i="3"/>
  <c r="V24" i="3"/>
  <c r="S24" i="3"/>
  <c r="N27" i="3"/>
  <c r="V27" i="3"/>
  <c r="S27" i="3"/>
  <c r="N8" i="3"/>
  <c r="N9" i="3"/>
  <c r="A8" i="7"/>
  <c r="A7" i="7"/>
  <c r="A6" i="7"/>
  <c r="A5" i="7"/>
  <c r="A4" i="7"/>
  <c r="A3" i="7"/>
  <c r="J13" i="3"/>
  <c r="O16" i="3"/>
  <c r="U28" i="3"/>
  <c r="L37" i="3"/>
  <c r="L40" i="3"/>
  <c r="O28" i="3"/>
  <c r="V8" i="3"/>
  <c r="S8" i="3"/>
  <c r="N7" i="3"/>
  <c r="V9" i="3"/>
  <c r="S9" i="3"/>
  <c r="V12" i="3"/>
  <c r="S12" i="3"/>
  <c r="T20" i="3"/>
  <c r="G20" i="3"/>
  <c r="F13" i="3"/>
  <c r="H7" i="3"/>
  <c r="L38" i="3"/>
  <c r="T38" i="3"/>
  <c r="T40" i="3"/>
  <c r="U39" i="3"/>
  <c r="U34" i="3"/>
  <c r="U25" i="3"/>
  <c r="O34" i="3"/>
  <c r="O39" i="3"/>
  <c r="O25" i="3"/>
  <c r="O22" i="3"/>
  <c r="G8" i="7"/>
  <c r="I8" i="7"/>
  <c r="H7" i="7"/>
  <c r="G7" i="7"/>
  <c r="I7" i="7"/>
  <c r="G6" i="7"/>
  <c r="I6" i="7"/>
  <c r="H8" i="7"/>
  <c r="H6" i="7"/>
  <c r="C2" i="4"/>
  <c r="B2" i="4"/>
  <c r="G5" i="7"/>
  <c r="I5" i="7"/>
  <c r="H5" i="7"/>
  <c r="T15" i="3"/>
  <c r="T14" i="3"/>
  <c r="T21" i="3"/>
  <c r="A2" i="7"/>
  <c r="G4" i="7"/>
  <c r="H4" i="7"/>
  <c r="G3" i="7"/>
  <c r="I3" i="7"/>
  <c r="G2" i="7"/>
  <c r="I2" i="7"/>
  <c r="I4" i="7"/>
  <c r="H3" i="7"/>
  <c r="H2" i="7"/>
  <c r="N15" i="3"/>
  <c r="N14" i="3"/>
  <c r="N13" i="3"/>
  <c r="H13" i="3"/>
  <c r="V21" i="3"/>
  <c r="S21" i="3"/>
  <c r="V15" i="3"/>
  <c r="S15" i="3"/>
  <c r="V14" i="3"/>
  <c r="S14" i="3"/>
  <c r="U21" i="3"/>
  <c r="O21" i="3"/>
  <c r="C6" i="3"/>
  <c r="C53" i="3"/>
  <c r="C65" i="3"/>
  <c r="C59" i="3"/>
  <c r="C33" i="3"/>
  <c r="C35" i="3"/>
  <c r="C38" i="3"/>
  <c r="C24" i="3"/>
  <c r="C27" i="3"/>
  <c r="C20" i="3"/>
  <c r="C7" i="3"/>
  <c r="C13" i="3"/>
  <c r="C17" i="3"/>
  <c r="D6" i="3"/>
  <c r="C2" i="3"/>
  <c r="C72" i="3"/>
  <c r="C70" i="3"/>
  <c r="C74" i="3"/>
  <c r="C71" i="3"/>
  <c r="C73" i="3"/>
  <c r="C75" i="3"/>
  <c r="C76" i="3"/>
  <c r="C67" i="3"/>
  <c r="C68" i="3"/>
  <c r="C63" i="3"/>
  <c r="C62" i="3"/>
  <c r="C56" i="3"/>
  <c r="C57" i="3"/>
  <c r="C61" i="3"/>
  <c r="C64" i="3"/>
  <c r="C60" i="3"/>
  <c r="C69" i="3"/>
  <c r="C66" i="3"/>
  <c r="C55" i="3"/>
  <c r="C58" i="3"/>
  <c r="C54" i="3"/>
  <c r="C39" i="3"/>
  <c r="C40" i="3"/>
  <c r="C10" i="3"/>
  <c r="C11" i="3"/>
  <c r="C36" i="3"/>
  <c r="C37" i="3"/>
  <c r="C34" i="3"/>
  <c r="C26" i="3"/>
  <c r="C25" i="3"/>
  <c r="C32" i="3"/>
  <c r="C31" i="3"/>
  <c r="C30" i="3"/>
  <c r="C28" i="3"/>
  <c r="C29" i="3"/>
  <c r="C23" i="3"/>
  <c r="C22" i="3"/>
  <c r="C16" i="3"/>
  <c r="C18" i="3"/>
  <c r="C19" i="3"/>
  <c r="C21" i="3"/>
  <c r="C8" i="3"/>
  <c r="C12" i="3"/>
  <c r="C9" i="3"/>
  <c r="C14" i="3"/>
  <c r="C15" i="3"/>
  <c r="A2" i="4"/>
  <c r="Q2" i="4"/>
  <c r="P2" i="4"/>
  <c r="Y2" i="4"/>
  <c r="X2" i="4"/>
  <c r="W2" i="4"/>
  <c r="V2" i="4"/>
  <c r="U2" i="4"/>
  <c r="R2" i="4"/>
  <c r="O2" i="4"/>
  <c r="N2" i="4"/>
  <c r="M2" i="4"/>
  <c r="L2" i="4"/>
  <c r="K2" i="4"/>
  <c r="J2" i="4"/>
  <c r="D45" i="2"/>
  <c r="D44" i="2"/>
  <c r="D43" i="2"/>
  <c r="D42" i="2"/>
  <c r="D41" i="2"/>
  <c r="D40" i="2"/>
  <c r="D39" i="2"/>
  <c r="D38" i="2"/>
  <c r="D37" i="2"/>
  <c r="D36" i="2"/>
  <c r="D35" i="2"/>
  <c r="D34" i="2"/>
  <c r="D33" i="2"/>
  <c r="D32" i="2"/>
  <c r="D31" i="2"/>
  <c r="D30" i="2"/>
  <c r="D29" i="2"/>
  <c r="D28" i="2"/>
  <c r="D27" i="2"/>
  <c r="D26" i="2"/>
  <c r="D25" i="2"/>
  <c r="D24" i="2"/>
  <c r="D23" i="2"/>
  <c r="D22" i="2"/>
  <c r="D21" i="2"/>
  <c r="D20" i="2"/>
  <c r="D19" i="2"/>
  <c r="D5" i="2"/>
  <c r="D4" i="2"/>
  <c r="E5" i="2"/>
  <c r="C5" i="2"/>
  <c r="D3" i="2"/>
  <c r="C3" i="2"/>
  <c r="E4" i="2"/>
  <c r="C4" i="2"/>
  <c r="V7" i="3"/>
  <c r="S7" i="3"/>
  <c r="H20" i="3"/>
  <c r="T13" i="3"/>
  <c r="G13" i="3"/>
  <c r="N20" i="3"/>
  <c r="V13" i="3"/>
  <c r="S13" i="3"/>
  <c r="V20" i="3"/>
  <c r="S20" i="3"/>
  <c r="T7" i="3"/>
  <c r="G7" i="3"/>
  <c r="L24" i="3"/>
  <c r="T24" i="3" s="1"/>
  <c r="T26" i="3"/>
  <c r="T37" i="3"/>
  <c r="B24" i="5" l="1"/>
  <c r="B25" i="5" s="1"/>
  <c r="B26" i="5" s="1"/>
  <c r="B27" i="5" s="1"/>
  <c r="B28" i="5" s="1"/>
  <c r="J2" i="3"/>
  <c r="G38" i="3"/>
  <c r="G65" i="3"/>
  <c r="I14" i="3"/>
  <c r="Q76" i="3"/>
  <c r="P30" i="3"/>
  <c r="P35" i="3"/>
  <c r="I11" i="3"/>
  <c r="W11" i="3" s="1"/>
  <c r="I39" i="3"/>
  <c r="P69" i="3"/>
  <c r="Q69" i="3" s="1"/>
  <c r="G41" i="3"/>
  <c r="G47" i="3"/>
  <c r="F6" i="3"/>
  <c r="H13" i="1" s="1"/>
  <c r="S2" i="4" s="1"/>
  <c r="J6" i="3"/>
  <c r="N58" i="3"/>
  <c r="V58" i="3" s="1"/>
  <c r="S58" i="3" s="1"/>
  <c r="W58" i="3"/>
  <c r="N64" i="3"/>
  <c r="W64" i="3"/>
  <c r="T41" i="3"/>
  <c r="N42" i="3"/>
  <c r="I42" i="3"/>
  <c r="N43" i="3"/>
  <c r="I43" i="3"/>
  <c r="W43" i="3" s="1"/>
  <c r="N44" i="3"/>
  <c r="I44" i="3"/>
  <c r="W44" i="3" s="1"/>
  <c r="N45" i="3"/>
  <c r="I45" i="3"/>
  <c r="W45" i="3" s="1"/>
  <c r="W46" i="3"/>
  <c r="N46" i="3"/>
  <c r="V46" i="3" s="1"/>
  <c r="S46" i="3" s="1"/>
  <c r="T46" i="3"/>
  <c r="P46" i="3"/>
  <c r="Q46" i="3" s="1"/>
  <c r="O46" i="3" s="1"/>
  <c r="N48" i="3"/>
  <c r="I48" i="3"/>
  <c r="N49" i="3"/>
  <c r="I49" i="3"/>
  <c r="W49" i="3" s="1"/>
  <c r="N50" i="3"/>
  <c r="I50" i="3"/>
  <c r="W50" i="3" s="1"/>
  <c r="N51" i="3"/>
  <c r="P51" i="3" s="1"/>
  <c r="Q51" i="3" s="1"/>
  <c r="W51" i="3"/>
  <c r="W52" i="3"/>
  <c r="N52" i="3"/>
  <c r="V52" i="3" s="1"/>
  <c r="S52" i="3" s="1"/>
  <c r="N75" i="3"/>
  <c r="P75" i="3" s="1"/>
  <c r="Q75" i="3" s="1"/>
  <c r="W75" i="3"/>
  <c r="N74" i="3"/>
  <c r="P74" i="3" s="1"/>
  <c r="Q74" i="3" s="1"/>
  <c r="W74" i="3"/>
  <c r="N72" i="3"/>
  <c r="P72" i="3" s="1"/>
  <c r="Q72" i="3" s="1"/>
  <c r="W72" i="3"/>
  <c r="N70" i="3"/>
  <c r="P70" i="3" s="1"/>
  <c r="Q70" i="3" s="1"/>
  <c r="W70" i="3"/>
  <c r="L71" i="3"/>
  <c r="N67" i="3"/>
  <c r="P67" i="3" s="1"/>
  <c r="Q67" i="3" s="1"/>
  <c r="H65" i="3"/>
  <c r="N66" i="3"/>
  <c r="N63" i="3"/>
  <c r="P63" i="3" s="1"/>
  <c r="Q63" i="3" s="1"/>
  <c r="W63" i="3"/>
  <c r="N62" i="3"/>
  <c r="W62" i="3"/>
  <c r="W61" i="3"/>
  <c r="H59" i="3"/>
  <c r="N60" i="3"/>
  <c r="N57" i="3"/>
  <c r="I57" i="3"/>
  <c r="W57" i="3" s="1"/>
  <c r="I56" i="3"/>
  <c r="W56" i="3" s="1"/>
  <c r="N56" i="3"/>
  <c r="N54" i="3"/>
  <c r="I54" i="3"/>
  <c r="W54" i="3" s="1"/>
  <c r="H53" i="3"/>
  <c r="H6" i="3" s="1"/>
  <c r="I55" i="3"/>
  <c r="W55" i="3" s="1"/>
  <c r="N55" i="3"/>
  <c r="V55" i="3" s="1"/>
  <c r="S55" i="3" s="1"/>
  <c r="I53" i="3"/>
  <c r="V36" i="3"/>
  <c r="S36" i="3" s="1"/>
  <c r="P36" i="3"/>
  <c r="V39" i="3"/>
  <c r="S39" i="3" s="1"/>
  <c r="P39" i="3"/>
  <c r="I35" i="3" l="1"/>
  <c r="W35" i="3" s="1"/>
  <c r="I15" i="3"/>
  <c r="W15" i="3" s="1"/>
  <c r="P22" i="3"/>
  <c r="I10" i="3"/>
  <c r="W10" i="3" s="1"/>
  <c r="I17" i="3"/>
  <c r="W17" i="3" s="1"/>
  <c r="I36" i="3"/>
  <c r="W36" i="3" s="1"/>
  <c r="I34" i="3"/>
  <c r="I31" i="3"/>
  <c r="W31" i="3" s="1"/>
  <c r="P28" i="3"/>
  <c r="I29" i="3"/>
  <c r="W29" i="3" s="1"/>
  <c r="I28" i="3"/>
  <c r="I30" i="3"/>
  <c r="W30" i="3" s="1"/>
  <c r="I25" i="3"/>
  <c r="I18" i="3"/>
  <c r="W18" i="3" s="1"/>
  <c r="I21" i="3"/>
  <c r="I16" i="3"/>
  <c r="W16" i="3" s="1"/>
  <c r="I22" i="3"/>
  <c r="W22" i="3" s="1"/>
  <c r="I8" i="3"/>
  <c r="W8" i="3" s="1"/>
  <c r="I9" i="3"/>
  <c r="W9" i="3" s="1"/>
  <c r="P31" i="3"/>
  <c r="Q31" i="3" s="1"/>
  <c r="P32" i="3"/>
  <c r="P29" i="3"/>
  <c r="P23" i="3"/>
  <c r="Q23" i="3" s="1"/>
  <c r="P19" i="3"/>
  <c r="Q19" i="3" s="1"/>
  <c r="P18" i="3"/>
  <c r="P16" i="3"/>
  <c r="P34" i="3"/>
  <c r="P8" i="3"/>
  <c r="P9" i="3"/>
  <c r="Q9" i="3" s="1"/>
  <c r="P12" i="3"/>
  <c r="Q12" i="3" s="1"/>
  <c r="P40" i="3"/>
  <c r="P15" i="3"/>
  <c r="Q15" i="3" s="1"/>
  <c r="P14" i="3"/>
  <c r="P21" i="3"/>
  <c r="P20" i="3" s="1"/>
  <c r="P26" i="3"/>
  <c r="Q26" i="3" s="1"/>
  <c r="P37" i="3"/>
  <c r="Q37" i="3" s="1"/>
  <c r="P25" i="3"/>
  <c r="P24" i="3" s="1"/>
  <c r="O69" i="3"/>
  <c r="W39" i="3"/>
  <c r="I38" i="3"/>
  <c r="W38" i="3" s="1"/>
  <c r="I13" i="3"/>
  <c r="W13" i="3" s="1"/>
  <c r="W14" i="3"/>
  <c r="I7" i="3"/>
  <c r="W7" i="3" s="1"/>
  <c r="I13" i="1"/>
  <c r="T2" i="4" s="1"/>
  <c r="G6" i="3"/>
  <c r="W53" i="3"/>
  <c r="Q52" i="3"/>
  <c r="U52" i="3" s="1"/>
  <c r="L52" i="3"/>
  <c r="U51" i="3"/>
  <c r="O51" i="3"/>
  <c r="Q47" i="3"/>
  <c r="U47" i="3" s="1"/>
  <c r="V50" i="3"/>
  <c r="S50" i="3" s="1"/>
  <c r="P50" i="3"/>
  <c r="V49" i="3"/>
  <c r="S49" i="3" s="1"/>
  <c r="P49" i="3"/>
  <c r="W48" i="3"/>
  <c r="I47" i="3"/>
  <c r="W47" i="3" s="1"/>
  <c r="V48" i="3"/>
  <c r="S48" i="3" s="1"/>
  <c r="P48" i="3"/>
  <c r="P47" i="3" s="1"/>
  <c r="N47" i="3"/>
  <c r="V47" i="3" s="1"/>
  <c r="S47" i="3" s="1"/>
  <c r="U46" i="3"/>
  <c r="Q41" i="3"/>
  <c r="V45" i="3"/>
  <c r="S45" i="3" s="1"/>
  <c r="P45" i="3"/>
  <c r="V44" i="3"/>
  <c r="S44" i="3" s="1"/>
  <c r="P44" i="3"/>
  <c r="V43" i="3"/>
  <c r="S43" i="3" s="1"/>
  <c r="P43" i="3"/>
  <c r="W42" i="3"/>
  <c r="I41" i="3"/>
  <c r="W41" i="3" s="1"/>
  <c r="V42" i="3"/>
  <c r="S42" i="3" s="1"/>
  <c r="P42" i="3"/>
  <c r="N41" i="3"/>
  <c r="V41" i="3" s="1"/>
  <c r="S41" i="3" s="1"/>
  <c r="P54" i="3"/>
  <c r="V54" i="3"/>
  <c r="S54" i="3" s="1"/>
  <c r="P56" i="3"/>
  <c r="V56" i="3"/>
  <c r="S56" i="3" s="1"/>
  <c r="P57" i="3"/>
  <c r="Q57" i="3" s="1"/>
  <c r="V57" i="3"/>
  <c r="S57" i="3" s="1"/>
  <c r="I59" i="3"/>
  <c r="W60" i="3"/>
  <c r="P60" i="3"/>
  <c r="Q60" i="3" s="1"/>
  <c r="N59" i="3"/>
  <c r="V59" i="3" s="1"/>
  <c r="S59" i="3" s="1"/>
  <c r="V60" i="3"/>
  <c r="S60" i="3" s="1"/>
  <c r="V61" i="3"/>
  <c r="S61" i="3" s="1"/>
  <c r="P62" i="3"/>
  <c r="Q62" i="3" s="1"/>
  <c r="V62" i="3"/>
  <c r="S62" i="3" s="1"/>
  <c r="O63" i="3"/>
  <c r="P66" i="3"/>
  <c r="N65" i="3"/>
  <c r="I65" i="3"/>
  <c r="W65" i="3" s="1"/>
  <c r="W67" i="3"/>
  <c r="O67" i="3"/>
  <c r="P71" i="3"/>
  <c r="O70" i="3"/>
  <c r="L73" i="3"/>
  <c r="O72" i="3"/>
  <c r="L76" i="3"/>
  <c r="Q73" i="3"/>
  <c r="O74" i="3"/>
  <c r="O75" i="3"/>
  <c r="P55" i="3"/>
  <c r="N53" i="3"/>
  <c r="N6" i="3" s="1"/>
  <c r="U37" i="3" l="1"/>
  <c r="O37" i="3"/>
  <c r="Q33" i="3"/>
  <c r="O26" i="3"/>
  <c r="U26" i="3"/>
  <c r="Q24" i="3"/>
  <c r="P13" i="3"/>
  <c r="Q14" i="3"/>
  <c r="O15" i="3"/>
  <c r="U15" i="3"/>
  <c r="Q40" i="3"/>
  <c r="P38" i="3"/>
  <c r="U12" i="3"/>
  <c r="O12" i="3"/>
  <c r="U9" i="3"/>
  <c r="O9" i="3"/>
  <c r="Q8" i="3"/>
  <c r="P7" i="3"/>
  <c r="P33" i="3"/>
  <c r="U19" i="3"/>
  <c r="O19" i="3"/>
  <c r="U23" i="3"/>
  <c r="O23" i="3"/>
  <c r="Q20" i="3"/>
  <c r="Q27" i="3"/>
  <c r="O31" i="3"/>
  <c r="U31" i="3"/>
  <c r="W21" i="3"/>
  <c r="I20" i="3"/>
  <c r="W20" i="3" s="1"/>
  <c r="W25" i="3"/>
  <c r="I24" i="3"/>
  <c r="W24" i="3" s="1"/>
  <c r="W28" i="3"/>
  <c r="I27" i="3"/>
  <c r="W27" i="3" s="1"/>
  <c r="P27" i="3"/>
  <c r="W34" i="3"/>
  <c r="I33" i="3"/>
  <c r="W33" i="3" s="1"/>
  <c r="P41" i="3"/>
  <c r="L58" i="3"/>
  <c r="P58" i="3" s="1"/>
  <c r="Q64" i="3"/>
  <c r="L64" i="3"/>
  <c r="U54" i="3"/>
  <c r="O54" i="3"/>
  <c r="O62" i="3"/>
  <c r="O60" i="3"/>
  <c r="O57" i="3"/>
  <c r="U57" i="3"/>
  <c r="U56" i="3"/>
  <c r="O56" i="3"/>
  <c r="I6" i="3"/>
  <c r="W6" i="3" s="1"/>
  <c r="U41" i="3"/>
  <c r="O41" i="3"/>
  <c r="T52" i="3"/>
  <c r="P52" i="3"/>
  <c r="O52" i="3"/>
  <c r="L47" i="3"/>
  <c r="Q71" i="3"/>
  <c r="O76" i="3"/>
  <c r="P76" i="3"/>
  <c r="O73" i="3"/>
  <c r="P73" i="3"/>
  <c r="P65" i="3"/>
  <c r="Q66" i="3"/>
  <c r="L59" i="3"/>
  <c r="O64" i="3"/>
  <c r="P64" i="3"/>
  <c r="P59" i="3"/>
  <c r="W59" i="3"/>
  <c r="V53" i="3"/>
  <c r="S53" i="3" s="1"/>
  <c r="V6" i="3"/>
  <c r="S6" i="3" s="1"/>
  <c r="P53" i="3"/>
  <c r="O27" i="3" l="1"/>
  <c r="U27" i="3"/>
  <c r="O20" i="3"/>
  <c r="U20" i="3"/>
  <c r="Q7" i="3"/>
  <c r="U8" i="3"/>
  <c r="O8" i="3"/>
  <c r="O40" i="3"/>
  <c r="U40" i="3"/>
  <c r="Q38" i="3"/>
  <c r="Q13" i="3"/>
  <c r="U14" i="3"/>
  <c r="O14" i="3"/>
  <c r="U24" i="3"/>
  <c r="O24" i="3"/>
  <c r="U33" i="3"/>
  <c r="O33" i="3"/>
  <c r="Q59" i="3"/>
  <c r="T47" i="3"/>
  <c r="O47" i="3"/>
  <c r="O59" i="3"/>
  <c r="L68" i="3"/>
  <c r="O66" i="3"/>
  <c r="Q68" i="3"/>
  <c r="O71" i="3"/>
  <c r="U55" i="3"/>
  <c r="O55" i="3"/>
  <c r="O13" i="3" l="1"/>
  <c r="U13" i="3"/>
  <c r="O38" i="3"/>
  <c r="U38" i="3"/>
  <c r="O7" i="3"/>
  <c r="U7" i="3"/>
  <c r="Q65" i="3"/>
  <c r="O68" i="3"/>
  <c r="P68" i="3"/>
  <c r="L65" i="3"/>
  <c r="L53" i="3"/>
  <c r="L6" i="3" s="1"/>
  <c r="T6" i="3" s="1"/>
  <c r="T58" i="3"/>
  <c r="Q58" i="3" l="1"/>
  <c r="O58" i="3" s="1"/>
  <c r="P6" i="3"/>
  <c r="O65" i="3"/>
  <c r="T53" i="3"/>
  <c r="Q53" i="3" l="1"/>
  <c r="Q6" i="3" s="1"/>
  <c r="U6" i="3" s="1"/>
  <c r="U58" i="3"/>
  <c r="O53" i="3" l="1"/>
  <c r="O6" i="3" s="1"/>
  <c r="U5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tc={AB7FABD7-85E4-4ECA-B25E-99FF7F2E7BBD}</author>
    <author>tc={FD3AC4AD-1C25-4CC3-9D6B-30AC0114A05A}</author>
  </authors>
  <commentList>
    <comment ref="Q30" authorId="0" shapeId="0" xr:uid="{AB7FABD7-85E4-4ECA-B25E-99FF7F2E7BBD}">
      <text>
        <t>[Threaded comment]
Your version of Excel allows you to read this threaded comment; however, any edits to it will get removed if the file is opened in a newer version of Excel. Learn more: https://go.microsoft.com/fwlink/?linkid=870924
Comment:
    check availability with ismael and tania</t>
      </text>
    </comment>
    <comment ref="Q34" authorId="1" shapeId="0" xr:uid="{FD3AC4AD-1C25-4CC3-9D6B-30AC0114A05A}">
      <text>
        <t>[Threaded comment]
Your version of Excel allows you to read this threaded comment; however, any edits to it will get removed if the file is opened in a newer version of Excel. Learn more: https://go.microsoft.com/fwlink/?linkid=870924
Comment:
    check availability with ismael and tania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tc={13689524-B49A-4B21-A5EF-6AACC8B6D0E2}</author>
    <author>tc={816BCA62-7C51-41BF-9A3D-C0BCF6B9B544}</author>
  </authors>
  <commentList>
    <comment ref="D21" authorId="0" shapeId="0" xr:uid="{13689524-B49A-4B21-A5EF-6AACC8B6D0E2}">
      <text>
        <t>[Threaded comment]
Your version of Excel allows you to read this threaded comment; however, any edits to it will get removed if the file is opened in a newer version of Excel. Learn more: https://go.microsoft.com/fwlink/?linkid=870924
Comment:
    editar depois de testes com tania e bruno</t>
      </text>
    </comment>
    <comment ref="D22" authorId="1" shapeId="0" xr:uid="{816BCA62-7C51-41BF-9A3D-C0BCF6B9B544}">
      <text>
        <t>[Threaded comment]
Your version of Excel allows you to read this threaded comment; however, any edits to it will get removed if the file is opened in a newer version of Excel. Learn more: https://go.microsoft.com/fwlink/?linkid=870924
Comment:
    editar depois de testes com tania e bruno</t>
      </text>
    </comment>
  </commentList>
</comments>
</file>

<file path=xl/sharedStrings.xml><?xml version="1.0" encoding="utf-8"?>
<sst xmlns="http://schemas.openxmlformats.org/spreadsheetml/2006/main" count="788" uniqueCount="410">
  <si>
    <t>ANÁLISE QUALITATIVA</t>
  </si>
  <si>
    <t>NOME DO PROJETO</t>
  </si>
  <si>
    <t>ID INICIATIVA</t>
  </si>
  <si>
    <t>IN.014</t>
  </si>
  <si>
    <t>ID PROJETO</t>
  </si>
  <si>
    <t>PR.0079</t>
  </si>
  <si>
    <t>ÁREA DO PATROCINADOR</t>
  </si>
  <si>
    <t>PATROCINADOR</t>
  </si>
  <si>
    <t>CHEFE DE PROJETO</t>
  </si>
  <si>
    <t>INVESTIMENTO (€)</t>
  </si>
  <si>
    <t>BUDGET</t>
  </si>
  <si>
    <t>AREA RESPONSAVEL</t>
  </si>
  <si>
    <t>CLASSIFICAÇÃO DO PROJETO</t>
  </si>
  <si>
    <t>Technology</t>
  </si>
  <si>
    <t>Jesús Salceda</t>
  </si>
  <si>
    <t>João Montenegro</t>
  </si>
  <si>
    <t>DGR00007</t>
  </si>
  <si>
    <t>DSI</t>
  </si>
  <si>
    <t>ESTRATÉGICA</t>
  </si>
  <si>
    <t>OBJETIVOS ESTRATÉGICOS QUE IMPACTAM</t>
  </si>
  <si>
    <t>OBJETIVO DO PROJETO</t>
  </si>
  <si>
    <t>BENEFÍCIOS QUE OFERECE À ORGANIZAÇÃO</t>
  </si>
  <si>
    <t>RISCOS DO PROJETO</t>
  </si>
  <si>
    <t xml:space="preserve">1.Eficiência, 2.Vendas, 3.Custos, 4.Sustentabilidade, 6.Digitalização
</t>
  </si>
  <si>
    <t>INDICADOR DE LUCRO</t>
  </si>
  <si>
    <t>PERÍODO DE RETORNO</t>
  </si>
  <si>
    <t>MÉDIO</t>
  </si>
  <si>
    <t>ESCOPO GEOGRÁFICO</t>
  </si>
  <si>
    <t>DESCRIÇÃO DO PROJETO</t>
  </si>
  <si>
    <t>PERÍODO DE EXECUÇÃO DO PROJETO</t>
  </si>
  <si>
    <t>INÍCIO</t>
  </si>
  <si>
    <t>FIM</t>
  </si>
  <si>
    <t>PROCESSOS DE NEGÓCIOS AFETADOS</t>
  </si>
  <si>
    <t>SISTEMAS ENVOLVIDOS</t>
  </si>
  <si>
    <t>ÁREAS ENVOLVIDAS</t>
  </si>
  <si>
    <t>RECURSOS NECESSÁRIOS</t>
  </si>
  <si>
    <t>INTERNOS</t>
  </si>
  <si>
    <t>EXTERNOS</t>
  </si>
  <si>
    <t>FASES DE EXECUÇÃO</t>
  </si>
  <si>
    <t>PRINCIPAIS ENTREGAS</t>
  </si>
  <si>
    <t>PLANEJAMENTO DE ALTO NÍVEL</t>
  </si>
  <si>
    <t>DATA SEGUIMENTO</t>
  </si>
  <si>
    <t>PLENEADO</t>
  </si>
  <si>
    <t>REAL</t>
  </si>
  <si>
    <t>INDICADORES</t>
  </si>
  <si>
    <t>EDT</t>
  </si>
  <si>
    <t>FASES/TAREFAS</t>
  </si>
  <si>
    <t>RESPONSÁVEL</t>
  </si>
  <si>
    <t>DURAÇÃO (Dias)</t>
  </si>
  <si>
    <t>TRABALHO TOTAL</t>
  </si>
  <si>
    <t>TRABALHO ESPERADO</t>
  </si>
  <si>
    <t>DEPENDÊNCIAS</t>
  </si>
  <si>
    <t>TRABALHO REALIZADO</t>
  </si>
  <si>
    <t>TRABALHO PENDENTE</t>
  </si>
  <si>
    <t>DATA FIM (Calculada)</t>
  </si>
  <si>
    <t>DATA FIM</t>
  </si>
  <si>
    <t>TIPO DE DATA</t>
  </si>
  <si>
    <t>STATUS</t>
  </si>
  <si>
    <t>ATRASO INÍCIO</t>
  </si>
  <si>
    <t>ATRASO FIM</t>
  </si>
  <si>
    <t>PROGRESSO REAL</t>
  </si>
  <si>
    <t>PROGRESSO ESPERADO</t>
  </si>
  <si>
    <t>DATA INCLUÇÃO TAREFA</t>
  </si>
  <si>
    <t>P</t>
  </si>
  <si>
    <t>Feita</t>
  </si>
  <si>
    <t>F</t>
  </si>
  <si>
    <t>Research and Plan</t>
  </si>
  <si>
    <t>T</t>
  </si>
  <si>
    <t>Speak with Service Desk</t>
  </si>
  <si>
    <t>João Montenegro, João Abrantes</t>
  </si>
  <si>
    <t>Speak with Store communications</t>
  </si>
  <si>
    <t>Speak with store manager</t>
  </si>
  <si>
    <t>Write v.1 Plan</t>
  </si>
  <si>
    <t>M</t>
  </si>
  <si>
    <t>MILESTONE: Go/NoGo Plan</t>
  </si>
  <si>
    <t>Implement v.1 (demo) Phase</t>
  </si>
  <si>
    <t>Explore technical stack to implement</t>
  </si>
  <si>
    <t>João Abrantes</t>
  </si>
  <si>
    <t>Implement selected features for v.1 (demo)</t>
  </si>
  <si>
    <t>Test performance internally v.1 (demo)</t>
  </si>
  <si>
    <t>Select participants in demo test</t>
  </si>
  <si>
    <t>Write test script</t>
  </si>
  <si>
    <t>MILESTONE: Go/NoGo Test v.1 demo</t>
  </si>
  <si>
    <t>Test v.1 (demo)</t>
  </si>
  <si>
    <t>Conduct internal user test with selected participants</t>
  </si>
  <si>
    <t>João Montenegro, João Abrantes, Test Participants</t>
  </si>
  <si>
    <t>Write test report</t>
  </si>
  <si>
    <t>MILESTONE: Testing Demo Done</t>
  </si>
  <si>
    <t>Review and Plan v.5 (MVP)</t>
  </si>
  <si>
    <t>Finalize Plan for v.5 (MVP)</t>
  </si>
  <si>
    <t>MILESTONE: Go/NoGo MVP Plan</t>
  </si>
  <si>
    <t>Implement v.5 (MVP)</t>
  </si>
  <si>
    <t>Implement selected features for v.5 (MVP)</t>
  </si>
  <si>
    <t>Leonardo Brito</t>
  </si>
  <si>
    <t>Test performance internally v.5 (MVP)</t>
  </si>
  <si>
    <t>Select participants in MVP test</t>
  </si>
  <si>
    <t>MILESTONE: Go/NoGo Test v.5 MVP</t>
  </si>
  <si>
    <t>Test v.5 (MVP)</t>
  </si>
  <si>
    <t>Conduct INTERNAL user test with selected participants</t>
  </si>
  <si>
    <t>João Montenegro, Leonardo Brito, Gabriel Soares, Test Participants</t>
  </si>
  <si>
    <t>DCI - deverá ter as integrações prontas a tempo (adicionar ao scope)</t>
  </si>
  <si>
    <t>Conduct EXTERNAL test with stores</t>
  </si>
  <si>
    <t>MILESTONE: Testing MVP Done</t>
  </si>
  <si>
    <t>Review and Plan v1.0</t>
  </si>
  <si>
    <t>Finalize Plan for v1.0 (MVP)</t>
  </si>
  <si>
    <t>Implement V1</t>
  </si>
  <si>
    <t>Implement selected features for v1.0</t>
  </si>
  <si>
    <t>Test performance internally v1.0</t>
  </si>
  <si>
    <t>Leonardo Brito, Gabriel Soares</t>
  </si>
  <si>
    <t>Select participants in v1.0 test</t>
  </si>
  <si>
    <t>MILESTONE: Go/NoGo Test v1.0 demo</t>
  </si>
  <si>
    <t>Test V1</t>
  </si>
  <si>
    <t>Write wide adoption strategy</t>
  </si>
  <si>
    <t>-Selecionar-</t>
  </si>
  <si>
    <t>MILESTONE: Go/NoGo Wide Adoption</t>
  </si>
  <si>
    <t>Implement V2</t>
  </si>
  <si>
    <t>Implement selected features for v2.0</t>
  </si>
  <si>
    <t>Test performance internally v2.0</t>
  </si>
  <si>
    <t>Select participants in v2.0 test</t>
  </si>
  <si>
    <t>MILESTONE: Go/NoGo Test v2.0 demo</t>
  </si>
  <si>
    <t>Test V2</t>
  </si>
  <si>
    <t>Review and Plan Wide adoption in own markets</t>
  </si>
  <si>
    <t>MILESTONE: Release in batch 1</t>
  </si>
  <si>
    <t>João Montenegro, Tania Sophie, Cecilia</t>
  </si>
  <si>
    <t>Measure feedback from batch 1</t>
  </si>
  <si>
    <t>MILESTONE: Go/NoGo Release batch 2</t>
  </si>
  <si>
    <t>Jesus Salceda, Cecilia, Jorge</t>
  </si>
  <si>
    <t>Release in batch 2</t>
  </si>
  <si>
    <t>Measure feedback from batch 2</t>
  </si>
  <si>
    <t>MILESTONE: Go/NoGo Release batch 3</t>
  </si>
  <si>
    <t>Release in batch 3</t>
  </si>
  <si>
    <t>MILESTONE: All batches released</t>
  </si>
  <si>
    <t>Review engagement in all Batches</t>
  </si>
  <si>
    <t>Write an list of improvements</t>
  </si>
  <si>
    <t>MILESTONE: PROJECT ENDED</t>
  </si>
  <si>
    <t>Id.projeto</t>
  </si>
  <si>
    <t>Data</t>
  </si>
  <si>
    <t>Responsável</t>
  </si>
  <si>
    <t>Principais conquistas</t>
  </si>
  <si>
    <t>Done</t>
  </si>
  <si>
    <t>ToDo</t>
  </si>
  <si>
    <t>Impedimentos</t>
  </si>
  <si>
    <t>Requer atenção imediata</t>
  </si>
  <si>
    <t>Próximos passos</t>
  </si>
  <si>
    <t>Resumo ejecutivo</t>
  </si>
  <si>
    <t>Kickoff do projeto com Joao Abrantes.
Onboarding e acesso a dados parfois
Primeira demo do AI interno feita por Abrantes
Defenição dos objetivos do projeto, timeline e scope do demo (a ser realizado dia 29 de Fevereiro)</t>
  </si>
  <si>
    <t>Reunião que incluio Joao Abrantes, Jesus Salceda, Jorge e Cecilia para definição do projeto, e primeira entrega
Demo tecnico do AI
Definição do primeiro Use case a resolver (demo1)
Definição dos stakeholders do primeiro use case (demo1)
Definição das features a serem implementadas para demo1
Integração de Joao Abrantes no sistemas de informação da parfois (email. sharepoint, teams)
Avanço com o novo contrato ReentrySystems</t>
  </si>
  <si>
    <t>Reuniões com Tania Sophie, Bruno, e store manager para perceber problemas a resolver do use case 1 (Store communication)
Fechar scope tecnico para demo 1</t>
  </si>
  <si>
    <t>Kickoff do projeto com Joao Abrantes e onboarding na Parfois. Primeira demo AI feita, definição de objetivos, timeline e scope para demo em 29 de Fevereiro. Pendentes: reuniões para definição de projeto e avanços no contrato ReentrySystems. Ação imediata: reuniões sobre use case 1 e fechar scope técnico para demo 1.</t>
  </si>
  <si>
    <t>Conversas com Store Comunications e Service Desk para compreender melhor os use cases de comunicação.
Avanço com a tech demo para poder mostrar e testar internamente.
Detalhe no plano de projeto para lá de 29 de Fevereiro</t>
  </si>
  <si>
    <t>Reunião com Tania, Bruno, sobre detalhes de problemas em lojas.
Fecho do documento de produto.
Primeiro avanço no teste de tech Copilot com acesso a knowledge base para fechar demo.</t>
  </si>
  <si>
    <t>Reuniões com Store manager, Area manager, e Ismael para detalhar problemas do dia-a-dia.
Fechar a implementação da Demo.</t>
  </si>
  <si>
    <t>Reuniões com Store manager, Area manager, e Ismael para detalhar problemas do dia-a-dia.
Fechar a implementação da Demo.
Fechar script de testes.
Fechar lista de participantes no teste.</t>
  </si>
  <si>
    <t>Avanço na implementação da demo da ALMA AI para lojas.
Discussão com membros das equipas para compreender melhor os problemas principais nas lojas
Detalhe do cronograma de projeto a longo prazo</t>
  </si>
  <si>
    <t>Fecho do cronograma de projeto a longo prazo.
Avanço com a implementação da demo.
Fecho do script de testes.
Fecho da lista de participantes no demo.</t>
  </si>
  <si>
    <t>Fecho do cronograma de projeto a longo prazo.
Avanço com a implementação da demo.
Fecho do script de testes.
Fecho da lista de participantes no demo.
Agendamento de conversa com Ismael</t>
  </si>
  <si>
    <t>Acesso a algumas features da Microsoft estão barradas a users de Portugal. Estamos a investigar.</t>
  </si>
  <si>
    <t>Fechar implementação da Demo.</t>
  </si>
  <si>
    <t>Fecho do cronograma de projeto em detalhe.
Avanço na implementação da demo da ALMA AI para lojas.
Agendamento de conversas com gerentes de loja para compreender melhor alguns dos problemas-chave.</t>
  </si>
  <si>
    <t>Integração de Ai com ambiente Parfois.
Deteção de problemas com o stack technologico do CopilotAI da Microsoft.
Reformulação de Plano de implementação considerando que o CopilotAI da Microsoft não consegue executar.
Aumento de detalhe no Plano de Produto para a ALMA AI for Stores</t>
  </si>
  <si>
    <t>Vários testes de funcionalidade: procurar dados da Wiki e responder a perguntas pelo Teams.
Integração com Teams bem sucedida.
Integração com wiki bem sucedidad.
Testes apontaram que o AI da Microsoft tem baixa qualidade.
Novo plano irá utilizar AI externo que consegue aceder a qq fonte de informação usando a assistants API da OpenAI e a wiki da Parfois.
Conversas com equipas de Ismael e compreensão dos casos de uso principais para o Projeto ALMA AI for Stores.
Aumento de detalhe no Plano de Produto para a ALMA AI for Stores</t>
  </si>
  <si>
    <t>Integração de sistema de leitura da wiki fora de ambiente microsoft.
Criação de uma base de dados externa onde a informação retirada da wiki é armazenada.
Integração deste sistema novo com Teams.</t>
  </si>
  <si>
    <t>Integração do ALMA AI for Stores com Teams e Wiki via Copilot da Microsoft.
Testes mostraram sistema da Microsoft nao ter qualidade suficiente para interação pretendidade (sistema pouco versátil).
Replaneamento do sistema da ALMA AI for Stores para usar novas tecnologias mais avançadas.
Entrevistas a area e stores managers para perceber os use cases identificados.</t>
  </si>
  <si>
    <t>Lançamento da primeira versão da Demo integrada no Teams da Parfois e com acesso à wiki.</t>
  </si>
  <si>
    <t>Integração de sistema de leitura da wiki fora de ambiente microsoft.
Criação de uma base de dados externa onde a informação retirada da wiki é armazenada.
Integração deste sistema novo com Teams.
Lançamento da primeira versão da Demo.</t>
  </si>
  <si>
    <t>Refinar demo baseado nos testes internos.
Dar acesso à demo a pessoas do grupo de testes interno da Parfois.</t>
  </si>
  <si>
    <t>Lançamento da primeira demo da ALMA AI for Stores integrada na wiki e Teams.
Sistema de gestão de conhecimento da ALMA AI que vai buscar data à wiki da Parfois.</t>
  </si>
  <si>
    <t>Reestruturação do sistema para não depender do Copilot
Avanço na criação de acessos à Demo para pessoas dentro da Parfois.
Preparação do plano de testes em loja
Implementação de funções de controlo de idioma, reset de conversa, help</t>
  </si>
  <si>
    <t>Reestruturação do sistema para não depender do Copilot
Avanço na criação de acessos à Demo para pessoas dentro da Parfois.
Preparação do plano de testes em loja
Implementação de funções de controlo de idioma, reset de conversa, help
Adicionada a mensagem de "a pensar" enquanto a resposta não chega
Adicionados botões de controlo no chat do teams</t>
  </si>
  <si>
    <t>Fechar a integração com contas microsoft de todos os colaboradores da Parfois.
Adicionar mais documentos à knowledge base
Testar a Alma no teams com equipas de loja e Ismael</t>
  </si>
  <si>
    <t>Dependentes de resposta de Rui Magalhaes sobre permissões das contas da Parfois.
Adicionar cards de resposta automatica ao bot do teams.
Testar com equipa.</t>
  </si>
  <si>
    <t>Implementação de nova arquitetura de AI mais independente
Em trabalho com Rui Magalhaes para conseguir o acesso ao teams da Parfois.</t>
  </si>
  <si>
    <t>Avanço com a integração com sistemas da parfois. dependentes de respostas</t>
  </si>
  <si>
    <t>A estudar estrutura alternativa que nao torne o AI dependente de pedidos de autorizações longas.</t>
  </si>
  <si>
    <t>Fechar a integração com contas microsoft de todos os colaboradores da Parfois.
Testar a Alma no teams com equipas de loja e Ismael</t>
  </si>
  <si>
    <t>Dependentes de resposta de Rui Magalhaes sobre permissões das contas da Parfois.</t>
  </si>
  <si>
    <t>Em trabalho com Rui Magalhaes para conseguir o acesso ao teams da Parfois.
A desenvolver estrutura alternativa que nos torne independentes de pedidos de autorização</t>
  </si>
  <si>
    <t>Integração de Ai com ambiente Parfois concluida incluindo no novo teams.
Partilha do demo da ALMA AI com elementos chave de equipa para testar durante esta e proxima semana</t>
  </si>
  <si>
    <t>Integração de Ai com ambiente Parfois concluida incluindo no novo teams.
Partilha do demo da ALMA AI com elementos chave de equipa para testar.
Melhoria nas instruções de sistema para as funcionalidades:
- controlar o idioma
- fazer reset à conversa
- adicionar "conversation starters"
- um centro de ajuda</t>
  </si>
  <si>
    <t>Testar a Alma no teams com equipas de loja e Ismael (ongoing)
Produzir relatorio de testes
Detalhar melhorias e próximos passos</t>
  </si>
  <si>
    <t>Done:
Integração de Ai com ambiente Parfois concluida incluindo no novo teams.
Partilha do demo da ALMA AI com elementos chave de equipa para testar durante esta e proxima semana
Next steps:
Produzir relatorio de testes
Detalhar melhorias e próximos passos
Notas de atrasos:
- as interações de intergração dependiam da disponibilidade do Rui para ter acesso ao ambiente.
- depois de finalmente fecharmos a integração, adicionamos todas as permissões às contas da equipa de dev do Alma para evitar futuras dependencias de resposta.</t>
  </si>
  <si>
    <t>Avanço na determinação do plano de Piloto da Alma em ambiente loja:
- escolha das potenciais lojas
- escolha das datas de teste ideais.
Avanço na replicação de todo o wiki da Parfois para o knowledge base da Alma para garantir que o AI conhece todos os casos.</t>
  </si>
  <si>
    <t>Várias iterações no algoritmo de scrapping da wiki para o tornar mais eficiente.
Testes da eficácia do AI
Conversa com Ismael para determinar next steps, objetivo do Piloto da Alma e implementação em loja, e quais lojas a testar.</t>
  </si>
  <si>
    <t>Realizar novos testes internos da Alma com nova Knowledge base espandida.
Fechar plano de implementação do piloto.</t>
  </si>
  <si>
    <t>Done:
Avanço na determinação do plano de Piloto da Alma em ambiente loja:
- escolha das potenciais lojas
- escolha das datas de teste ideais.
Avanço na replicação de todo o wiki da Parfois para a bae de conhecimento da Alma para garantir que o AI conhece todos os casos.
Iremos realizar novos testes do AI com a nova base de conhecimento e fechar o plano de implementação do Piloto do AI em lojas.</t>
  </si>
  <si>
    <t>Inicio na implementação de sistema automatizado de recolha de artigos da wiki, para evitar trabalho manual no futuro
Pendente no término deste sistema para começar nova ronda de testes</t>
  </si>
  <si>
    <t>Inicio na implementação de sistema automatizado de recolha de artigos da wiki, para evitar trabalho manual no futuro
Pendente no término deste sistema para começar nova ronda de testes
Iteração sobre vários casos especiais da wiki (documentos office, pdf, images, gifs) para que o AI os consiga compreender.</t>
  </si>
  <si>
    <t>Sistema de leitura de vários formatos de documentos (ongoing)</t>
  </si>
  <si>
    <t>Terminar sistema de leitura de vários formatos de documentos
Iniciar nova ronda de testes
Terminar Report de testes final
Terminar Plano MVP</t>
  </si>
  <si>
    <t>Ongoing:
Avanço na implementação Sistema de recolha automatica de artigos novos da wiki (para evitar atualização manual)
- Trabalho sobre o sistema de reconhecimento de ficheiros de vários formatos
TO-do:
Iniciar nova ronda de testes
Terminar Report de testes final
Terminar Plano MVP</t>
  </si>
  <si>
    <t>Joao Abrantes saiu
- Contratação de novo recurso (Leonardo) - em fase de onboarding mas ja a pegar no código do Joao Abrantes
- Plano MVP Alma done (à espera de review de Jesus)</t>
  </si>
  <si>
    <t>- Joao Abrantes saiu
- Contratação de novo recurso (Leonardo) - em fase de onboarding mas ja a pegar no código do Joao Abrantes
- Esperado atraso de 1 semana
- Plano MVP Alma done (à espera de review de Jesus)</t>
  </si>
  <si>
    <t>Review do MVP plan
Terminar Scrapper de Wiki
Testar Alma com sistema de dados automatizado</t>
  </si>
  <si>
    <t>Status:
- Joao Abrantes saiu
- Contratação de novo recurso (Leonardo) - em fase de onboarding mas ja a pegar no código do Joao Abrantes
Done:
- Plano MVP Alma done (à espera de review de Jesus)
To-do:
Review do MVP plan
Terminar Scrapper de Wiki
Testar Alma com sistema de dados automatizado</t>
  </si>
  <si>
    <t>Contratação nova (Leonardo) começou a implementar e a rever codigo do Joao.
Revisão para aumento de eficiência dos sistemas de scrapping
Revisão do sistema de interação com o Bot para ser mais barato, mas escalável e integravel em mais sistemas</t>
  </si>
  <si>
    <t>Rever scraper
Integrar com sistemas de Daily flash</t>
  </si>
  <si>
    <t>Done:
Contratação nova (Leonardo) começou a implementar e a rever codigo do Joao.
Revisão para aumento de eficiência dos sistemas de scrapping
Revisão do sistema de interação com o Bot para ser mais barato, mas escalável e integravel em mais sistemas
To-do:
"Rever scraper
Integrar com sistemas de Daily flash"</t>
  </si>
  <si>
    <t>Implementação de novo scraper
Implementação de novo testing environment
Implementação de novo sistema de controlo de halucinação para o Alma bot
Revisão com Tania do sistema de conhecimento da Parfois para garantir modelo de escala</t>
  </si>
  <si>
    <t>Decidir se vamos continuar a usar o WIki ou o Notion como Knowledge base
Preparar migração
Integrar com sistemas de DAILY Flash</t>
  </si>
  <si>
    <t>Done:
Implementação de novo scraper
Implementação de novo testing environment
Implementação de novo sistema de controlo de halucinação para o Alma bot
Revisão com Tania do sistema de conhecimento da Parfois para garantir modelo de escala
To-do:
Decidir se vamos continuar a usar o WIki ou o Notion como Knowledge base
Preparar migração
Integrar com sistemas de DAILY Flash</t>
  </si>
  <si>
    <t>Inicio na implementação de conteúdo dedicado ao AI no notion Knowledge base.
Repriorização do projeto com foco no processo de criação de conteúdo para resolver o problema de raiz.
Plano MVP concretizado com Jesus-</t>
  </si>
  <si>
    <t>Inicio na implementação de conteúdo dedicado ao AI no notion Knowledge base.
Repriorização do projeto com foco no processo de criação de conteúdo para resolver o problema de raiz.
Plano MVP concretizado com Jesus-
Retirada a prioridade de resolver conteúdo Daily flash nesta iteração.</t>
  </si>
  <si>
    <t>Decidir se vamos continuar a usar o WIki ou o Notion como Knowledge base
Criar um use-case forte para content na wiki da Parfois.
Apresentar protótipo de use-case na wiki à Tania e Ismael.
Testar com Service Desk.
Testar com loja teste.</t>
  </si>
  <si>
    <t>Done:
Inicio na implementação de conteúdo dedicado ao AI no notion Knowledge base.
Repriorização do projeto com foco no processo de criação de conteúdo para resolver o problema de raiz.
Plano MVP concretizado com Jesus-
To-do:
"Decidir se vamos continuar a usar o WIki ou o Notion como Knowledge base
Criar um use-case forte para content na wiki da Parfois.
Apresentar protótipo de use-case na wiki à Tania e Ismael.
Testar com Service Desk.
Testar com loja teste."</t>
  </si>
  <si>
    <t>Nova knowledge base criada com todo o conteudo de lojas
Conteudo adicional criado para conseguir responder Às top5 questions de service desk e helpdesk
Novo conteudo validado por Bruno Carvalho</t>
  </si>
  <si>
    <t>Atualizar Alma Ai para ter acesso ao novo conteúdo
Criar Tutoriais e script de testes para Alma AI</t>
  </si>
  <si>
    <t>Done:
Nova knowledge base criada com todo o conteudo de lojas
Conteudo adicional criado para conseguir responder Às top5 questions de service desk e helpdesk
Novo conteudo validado por Bruno Carvalho
Todo:
Atualizar Alma Ai para ter acesso ao novo conteúdo
Criar Tutoriais e script de testes para Alma AI</t>
  </si>
  <si>
    <t>Alma MVP lançado com acesso a todo o conteúdo de lojas
Tutoriais e script de testes para usar Alma AI e Knowledge Base produzidos</t>
  </si>
  <si>
    <t>Alma MVP lançado com acesso a todo o conteúdo de lojas.
Tutoriais e script de testes para usar Alma AI e Knowledge Base produzidos</t>
  </si>
  <si>
    <t xml:space="preserve">Afinar edge cases de projeto:
- Mostrar Imagens dentro do Teams
- Melhor mensagem de abertura do AI
- Mais botões de início de conversa
- Comandos especiais ( !lang , !ajuda , !redefinir ) devem ser botões
- O idioma padrão deve ser o idioma do usuário
- Mostrar mensagem de "pensar" enquanto responde </t>
  </si>
  <si>
    <t xml:space="preserve">Done:
Alma MVP lançado com acesso a todo o conteúdo de lojas
Tutoriais e script de testes para usar Alma AI e Knowledge Base produzidos
Todo:
Afinar edge cases de projeto:
- Mostrar Imagens dentro do Teams
- Melhor mensagem de abertura do AI
- Mais botões de início de conversa
- Comandos especiais ( !lang , !ajuda , !redefinir ) devem ser botões
- O idioma padrão deve ser o idioma do usuário
- Mostrar mensagem de "pensar" enquanto responde </t>
  </si>
  <si>
    <t>Teste intensivo do Alma com ajuda de service desk, Bruno Carvalho, e Jesus Salceda.
Implementação de soluções para bugs encontrados durante testes.</t>
  </si>
  <si>
    <t>Teste intensivo do Alma com ajuda de service desk, Bruno Carvalho, e Jesus Salceda.
Implementação de soluções para bugs encontrados durante testes.
Added features:
- Melhor mensagem de abertura do AI
- Mais botões de início de conversa
- O idioma padrão deve ser o idioma do usuário</t>
  </si>
  <si>
    <t xml:space="preserve">Afinar edge cases de projeto:
- Mostrar Imagens dentro do Teams
- Comandos especiais ( !lang , !ajuda , !redefinir ) devem ser botões
- Mostrar mensagem de "pensar" enquanto responde </t>
  </si>
  <si>
    <t>Done:
- Teste intensivo do Alma com ajuda de service desk, Bruno Carvalho, e Jesus Salceda.
- Implementação de soluções para bugs encontrados durante testes.
Todo:
Afinar edge cases de projeto:
- Mostrar Imagens dentro do Teams
- Comandos especiais ( !lang , !ajuda , !redefinir ) devem ser botões
- Mostrar mensagem de ""pensar"" enquanto responde</t>
  </si>
  <si>
    <t>Bug fixing à volta de problema encontrado com retorno de informação e traduções.
Criação de metodologia de testes de engenharia para sistematizar a qualidade das respostas.
Implementação de mecanismo de supervisionar comportamento do bot e respostas (langfuse)</t>
  </si>
  <si>
    <t>Bug fixing à volta de problema encontrado com retorno de informação e traduções.
Criação de metodologia de testes de engenharia para sistematizar a qualidade das respostas.
Implementação de mecanismo de supervisionar comportamento do bot e respostas (langfuse)
Diagnostico de principais problemas a resovler antes de testes em loja.</t>
  </si>
  <si>
    <t>Afinar edge cases de projeto:
- Implementação de sistema de tradução automatizada independente do bot de conversa
- Reformulação de arquitetura para diagnosticar melhor problemas de perguntas nao compreendidas pelo bot.
Reunião com Tania e Ismael para demonstração de sistema completo e marcação de testes em loja.</t>
  </si>
  <si>
    <t>Done:
- Bug fixing à volta de problema encontrado com retorno de informação e traduções.
- Criação de metodologia de testes de engenharia para sistematizar a qualidade das respostas.
- Implementação de mecanismo de supervisionar comportamento do bot e respostas (langfuse)
Todo:
Afinar edge cases de projeto:
- Implementação de sistema de tradução automatizada independente do bot de conversa
- Reformulação de arquitetura para diagnosticar melhor problemas de perguntas nao compreendidas pelo bot.
Reunião com Tania e Ismael para demonstração de sistema completo e marcação de testes em loja.</t>
  </si>
  <si>
    <t>Implementação de testes de software.
Implementação do novo modelo de linguagem GPT4o com aumento de velocidade na resposta (2x) e grande melhoria na qualidade
Marcaçao de QA com Tania, Bruno, Ismael</t>
  </si>
  <si>
    <t>Testar em loja (teste controlado)
Testar em loja (teste de 1 semana)</t>
  </si>
  <si>
    <t>Done:
"Implementação de testes de software.
Implementação do novo modelo de linguagem GPT4o com aumento de velocidade na resposta (2x) e grande melhoria na qualidade
Marcaçao de QA com Tania, Bruno, Ismael"
Todo:
"Testar em loja (teste controlado)
Testar em loja (teste de 1 semana)"</t>
  </si>
  <si>
    <t>Dependente de testes com bruno e tania, teste de ismael adiado por falta de condições de internet (ismael em italia)</t>
  </si>
  <si>
    <t>Perceper se a disponibildade de ismael é impeditiva de projeto avançar</t>
  </si>
  <si>
    <t>Done:
Dependente de testes com bruno e tania, teste de ismael adiado por falta de condições de internet (ismael em italia)
Todo:
Perceper se a disponibildade de ismael é impeditiva de projeto avançar</t>
  </si>
  <si>
    <t>Teste em loja conseguido e terminado.
DOcumento de teste parcialmente terminado</t>
  </si>
  <si>
    <t>Terminar documento de testes.
Terminar Plano de v1.0</t>
  </si>
  <si>
    <t>Done:
- Teste em loja conseguido e terminado.
- Documento de teste parcialmente terminado
Todo:
- Terminar documento de testes.
- Terminar Plano de v1.0</t>
  </si>
  <si>
    <t>Documento de teste terminado.
Plano de v1.0 terminado</t>
  </si>
  <si>
    <t>Iniciar implementação de v1.0</t>
  </si>
  <si>
    <t>Done:
- Documento de teste terminado.
- Plano de v1.0 terminado
Todo:
- Iniciar implementação de v1.0</t>
  </si>
  <si>
    <t>Integração de Sharepoint através de crawling da wiki da parfois para incluir todos os documentos nas respostas do AI.
Separação de ambientes de desenvolvimento ongoing.</t>
  </si>
  <si>
    <t>Separar ambientes de desenvolvimento para abilitar os testes sem prejudicar o Alma em produção
Terminar a integração do Sharepoint através de crawling</t>
  </si>
  <si>
    <t>Disponibilidade de Rui para separar ambientes</t>
  </si>
  <si>
    <t>Done:
- Integração de Sharepoint através de crawling da wiki da parfois para incluir todos os documentos nas respostas do AI.
- Separação de ambientes de desenvolvimento ongoing.
Todo:
- Separar ambientes de desenvolvimento para abilitar os testes sem prejudicar o Alma em produção
- Terminar a integração do Sharepoint através de crawling</t>
  </si>
  <si>
    <t>Desbloqueio do Rui para separar ambientes e dar acesso a Sharepoint crawler
Separação de ambientes conseguida para teste, dev e produção</t>
  </si>
  <si>
    <t>Terminar a integração do Sharepoint através de crawling
Testar desempenho de RAG do Sharepoint crawler</t>
  </si>
  <si>
    <t>Disponibildade de Rui limitada até quarta feira causou atraso no inicio de implementação</t>
  </si>
  <si>
    <t>Done:
- Desbloqueio do Rui para separar ambientes e dar acesso a Sharepoint crawler
- Separação de ambientes conseguida para teste, dev e produção
Alerta:
- Disponibildade de Rui limitada até quarta feira causou atraso no inicio de implementação
To-do:
- Terminar a integração do Sharepoint através de crawling
- Testar desempenho de RAG do Sharepoint crawler</t>
  </si>
  <si>
    <t>Script Testes V1
Resolução de bugs na separação de sessões de usuário
Otimização de código na vetorização do Wiki completo</t>
  </si>
  <si>
    <t>Testes internos e externos do Alma com nova arquitetura
Preparar novo teste em loja
Preparar plano para rollout</t>
  </si>
  <si>
    <t>Done:
- Script Testes V1
- Resolução de bugs na separação de sessões de usuário
- Otimização de código na vetorização do Wiki completo
todo:
- Testes internos e externos do Alma com nova arquitetura
- Preparar novo teste em loja
- Preparar plano para rollout</t>
  </si>
  <si>
    <t>Preparação de testes.
BUG resolvido: separação de threads por user
Implementação de Ferramenta de testes otimizada
Testes internos iniciados</t>
  </si>
  <si>
    <t>Preparar novo teste em loja
Preparar plano para rollout</t>
  </si>
  <si>
    <t>Done:
- Preparação de testes.
- BUG resolvido: separação de threads por user
- Implementação de Ferramenta de testes otimizada
- Testes internos iniciados
Todo:
- Preparar novo teste em loja
- Preparar plano para rollout</t>
  </si>
  <si>
    <t>Agendada teste em loja
Integração do Alma no Teams com qq equipa (agora configurável)
Conversar com Alma em grupos de Teams também possível
Conversa com equipa HR para ter acesso ao Alma para HR/Onboarding</t>
  </si>
  <si>
    <t>Decide Release plan for Alma for Stores with Jesus
Preparar plano para rollout
Preparar report de testes de v1
Pedir a Jorge autorização para criar projetos de Alma for HR e Customer Care AI Chat</t>
  </si>
  <si>
    <t>Done:
- Agendada teste em loja
- Integração do Alma no Teams com qq equipa (agora configurável)
- Conversar com Alma em grupos de Teams também possível
- Conversa com equipa HR para ter acesso ao Alma para HR/Onboarding
Todo:
- Decide Release plan for Alma for Stores with Jesus
- Preparar plano para rollout
- Preparar report de testes de v1
- Pedir a Jorge autorização para criar projetos de Alma for HR e Customer Care AI Chat"</t>
  </si>
  <si>
    <t>Teste em loja efetuado
Escrita do relatorio de testes feito
Recomendações para definir melhor o conjunto de use-cases a resolver na loja.
Pedido de dados de OSTicket relativo a lojas para estudar os principais use-cases estatisticos das lojas
Alargamento do projeto para incluir uma nova ronda de desenvolvimento e testes do Alma v2</t>
  </si>
  <si>
    <t>Fazer estudo dos principais use-cases de lojas
Fazer plano de resolução para use-cases selecionados</t>
  </si>
  <si>
    <t>Done:
- Teste em loja efetuado
- Escrita do relatorio de testes feito
- Recomendações para definir melhor o conjunto de use-cases a resolver na loja.
- Pedido de dados de OSTicket relativo a lojas para estudar os principais use-cases estatisticos das lojas
- Alargamento do projeto para incluir uma nova ronda de desenvolvimento e testes do Alma v2
To-do:
- Fazer estudo dos principais use-cases de lojas
- Fazer plano de resolução para use-cases selecionados</t>
  </si>
  <si>
    <t>Implementação de funcionalidades de Alma v2
Estudo de dados do OSTicket para definir principais use-cases das lojas</t>
  </si>
  <si>
    <t>Lançamento de ambiente prototipo de testes para o Alma
Report de dados do OSTicket</t>
  </si>
  <si>
    <t>Done:
- Implementação de funcionalidades de Alma v2
- Estudo de dados do OSTicket para definir principais use-cases das lojas
To-do:
- Lançamento de ambiente prototipo de testes para o Alma
- Report de dados do OSTicket</t>
  </si>
  <si>
    <t>Implementação de ferramenta de teste de qualidade para respostas do Alma v2
Lançamento de MVP (para teste interno)</t>
  </si>
  <si>
    <t>Implementação de use-cases do estudo OSTicket na ferramenta de qualidade para Alma v2</t>
  </si>
  <si>
    <t>Done:
- Implementação de ferramenta de teste de qualidade para respostas do Alma v2
- Lançamento de MVP (para teste interno)
Todo:
- Implementação de use-cases do estudo OSTicket na ferramenta de qualidade para Alma v2</t>
  </si>
  <si>
    <t>Teste comparativo de Versões do Alma para escolher melhores estilos de escrita.
Análise de resolução de use-cases principais de OSTicket</t>
  </si>
  <si>
    <t>Implementação de Área de avaliação do Alma v2 
Scoring dos uses cases do OSTicket</t>
  </si>
  <si>
    <t>Solicitações relativas a projetos adicionais por parte da Parfois têm implicado redução de capacidade da equipa de desenvolvimento.
Caso se mantenha a frequencia destas solicitações será necessário rever prazos de entrega e/ou recursos a alocar.</t>
  </si>
  <si>
    <t>Done:
- Teste comparativo de Versões do Alma para escolher melhores estilos de escrita.
- Análise de resolução de use-cases principais de OSTicket
Todo:
- Implementação de Área de avaliação do Alma v2 
- Scoring dos uses cases do OSTicket</t>
  </si>
  <si>
    <t>Fecho de ferramenta de testes de AI interna
Inicio de testes internos intensivos sobre use-cases "PISO" e "PowerBI"</t>
  </si>
  <si>
    <t>Implementação de use-cases PISO e PowerBI em Alma Dev</t>
  </si>
  <si>
    <t>Done:
- Fecho de ferramenta de testes de AI interna
- Inicio de testes internos intensivos sobre use-cases ""PISO"" e ""PowerBI"
Todo:
- Implementação de use-cases PISO e PowerBI em Alma Dev</t>
  </si>
  <si>
    <t>Lançamento para produção da ferramenta interna de testes.
Continuação de testes internos intensivos sobre use-cases "PISO" e "PowerBI"
A caminho de terminar Alma v2 a 30 setembro</t>
  </si>
  <si>
    <t>Done:
- Lançamento para produção da ferramenta interna de testes.
- Continuação de testes internos intensivos sobre use-cases "PISO" e "PowerBI"
- A caminho de terminar Alma v2 a 30 setembro
Todo:
- Implementação de use-cases PISO e PowerBI em Alma Dev</t>
  </si>
  <si>
    <t>Inicio de integração de OSTickets com Alma v2 para tornar possivel a criação de tickets de helpdesk automatizadamente</t>
  </si>
  <si>
    <t>Testar integração em ambiente de testes
Testar integração em ambiente de produção</t>
  </si>
  <si>
    <t>Done:
- Inicio de integração de OSTickets com Alma v2 para tornar possivel a criação de tickets de helpdesk automatizadamente
To-do:
- Testar integração em ambiente de testes
- Testar integração em ambiente de produção</t>
  </si>
  <si>
    <t>Integração com OSTickets em ambiente dev concluido.
Testes em ambiente dev em andamento.</t>
  </si>
  <si>
    <t>Ligando com integração com OSTickets de producção 
Dependendo de disponibilidade de Bruno.</t>
  </si>
  <si>
    <t>Done:
- Integração com OSTickets em ambiente dev concluido.
- Testes em ambiente dev em andamento.
Todo:
- Ligando com integração com OSTickets de producção 
- Dependendo de disponibilidade de Bruno.</t>
  </si>
  <si>
    <t>Inicio de desenvolvimento de capacidade do alma enviar emails para Helpdesk para avançar com testes internos</t>
  </si>
  <si>
    <t>Testes internos (começar assim que capacidade de alma enviar tickets terminar)
Integração com OSTickets de producção 
Espera por resposta do bruno relativamente a integração com OSTicket (em paralelo desenvolver uma solução que pode enviar email para OSTicket mail)</t>
  </si>
  <si>
    <t>Done:
- Inicio de desenvolvimento de capacidade do alma enviar emails para Helpdesk para avançar com testes internos
Todo:
- Testes internos (começar assim que capacidade de alma enviar tickets terminar)
- Ligação com integração com OSTickets de producção 
- Espera por resposta do bruno relativamente a integração com OSTicket (em paralelo desenvolver uma solução que pode enviar email para OSTicket mail)</t>
  </si>
  <si>
    <t>Continuação do desenvolvimento de capacidade do ALMA em enviar emails para Helpdesk para avançar com testes internos</t>
  </si>
  <si>
    <t>Incluida necessidade de identificar Help Topic e Help Topic Detail a atribuir a cada ticket que ALMA cria no OS TIcket</t>
  </si>
  <si>
    <t>Testes internos (começar assim que capacidade de alma enviar tickets terminar)
Integração com OSTickets de producção 
Espera por resposta do bruno relativamente a integração com OSTicket (em paralelo desenvolver uma solução que pode enviar email para OSTicket mail)
Capacidade de atribuir Help Topic a tickets gerados por ALMA</t>
  </si>
  <si>
    <t>Novas features solicitadas em desenvolvimento. 
Testes internos previstos para a proxima semana (14/10) devido a adição destas features não previstas no âmbito inicial do projeto</t>
  </si>
  <si>
    <t>PDS por realizar</t>
  </si>
  <si>
    <t>Ambito do projeto a ser redefinido.
Cronograma de tarefas será alvo de alterações devido a esta mudança de ambito.</t>
  </si>
  <si>
    <t>Aprovada 2ª fase de projeto ALMA Stores, já em andamento.
PR.0079.ALMA Stores terminado
Cronograma de atividades de Fase 2 a ser desenhada para formalização e acompanhamento de projeto</t>
  </si>
  <si>
    <t>Riscos</t>
  </si>
  <si>
    <t>Provável</t>
  </si>
  <si>
    <t>Impacto</t>
  </si>
  <si>
    <t>Matriz</t>
  </si>
  <si>
    <t>Prioridade</t>
  </si>
  <si>
    <t>KPI Risco</t>
  </si>
  <si>
    <t>-Seleccionar-</t>
  </si>
  <si>
    <t>Nome.projeto</t>
  </si>
  <si>
    <t>Id.iniciativa</t>
  </si>
  <si>
    <t>Area</t>
  </si>
  <si>
    <t>Patrocinador</t>
  </si>
  <si>
    <t>PM</t>
  </si>
  <si>
    <t>Investimento (€)</t>
  </si>
  <si>
    <t>Budget</t>
  </si>
  <si>
    <t>Area responsavel</t>
  </si>
  <si>
    <t>Classificação</t>
  </si>
  <si>
    <t xml:space="preserve">Objetivos.estrategicos </t>
  </si>
  <si>
    <t>Objetivo.projeto</t>
  </si>
  <si>
    <t>Beneficios</t>
  </si>
  <si>
    <t>Indicador.beneficio</t>
  </si>
  <si>
    <t>Plazo.retorna</t>
  </si>
  <si>
    <t>Paises</t>
  </si>
  <si>
    <t>Descrição.projeto</t>
  </si>
  <si>
    <t>Inicio.desejado</t>
  </si>
  <si>
    <t>Fim.desejado</t>
  </si>
  <si>
    <t>Processos.negocio</t>
  </si>
  <si>
    <t>Sistemas</t>
  </si>
  <si>
    <t>Areas.envolvidas</t>
  </si>
  <si>
    <t>RR.Int</t>
  </si>
  <si>
    <t>RR.Ext</t>
  </si>
  <si>
    <t>ESFORÇO</t>
  </si>
  <si>
    <t>Custo médio por hora na moeda local</t>
  </si>
  <si>
    <t>ALTO</t>
  </si>
  <si>
    <t>BAIXO</t>
  </si>
  <si>
    <t>IMPACTO</t>
  </si>
  <si>
    <t>IMPACTA MAIS DE 10 APLICATIVOS OU SERVIÇOS NÃO CRÍTICOS E/OU 1 APLICATIVO OU SERVIÇO CRÍTICO</t>
  </si>
  <si>
    <t>IMPACTA DE 6 A 10 APLICATIVOS OU SERVIÇOS NÃO CRÍTICOS E/OU ATÉ 1 APLICATIVO OU SERVIÇO CRÍTICO</t>
  </si>
  <si>
    <t>IMPACTA DE 1 A 5 APLICATIVOS OU SERVIÇOS NÃO CRÍTICOS</t>
  </si>
  <si>
    <t>INOVAÇÃO TECNOLÓGICA</t>
  </si>
  <si>
    <t>A TECNOLOGIA A SER IMPLEMENTADA É NOVA E NÃO ESTÁ MADURA NO MERCADO E, PORTANTO, NEM NA ORGANIZAÇÃO</t>
  </si>
  <si>
    <t>A TECNOLOGIA A SER IMPLEMENTADA ESTÁ MADURA NO MERCADO, MAS A ORGANIZAÇÃO NÃO POSSUI EXPERIÊNCIA EM SUA IMPLEMENTAÇÃO E MANUTENÇÃO</t>
  </si>
  <si>
    <t>A TECNOLOGIA A SER IMPLEMENTADA É CONHECIDA E MADURA NO MERCADO E TAMBÉM NA ORGANIZAÇÃO</t>
  </si>
  <si>
    <t>MATRIZ</t>
  </si>
  <si>
    <t>COMPLEXIDADE</t>
  </si>
  <si>
    <t>CLASSIFICAÇÃO</t>
  </si>
  <si>
    <t>CLASSIFICAÇÃO DSI</t>
  </si>
  <si>
    <t>ALTO-ALTO-ALTO</t>
  </si>
  <si>
    <t>MUITO COMPLEXO</t>
  </si>
  <si>
    <t>FÁCIL</t>
  </si>
  <si>
    <t>PEQUENO</t>
  </si>
  <si>
    <t>ALTO-ALTO-MÉDIO</t>
  </si>
  <si>
    <t>ALTO-ALTO-BAIXO</t>
  </si>
  <si>
    <t>COMPLEXO</t>
  </si>
  <si>
    <t>GRANDE</t>
  </si>
  <si>
    <t>ALTO-MÉDIO-ALTO</t>
  </si>
  <si>
    <t>MUITO GRANDE</t>
  </si>
  <si>
    <t>ALTO-MÉDIO-MÉDIO</t>
  </si>
  <si>
    <t>ALTO-MÉDIO-BAIXO</t>
  </si>
  <si>
    <t>TIPOS DE DATA</t>
  </si>
  <si>
    <t>DESCRIÇÃO</t>
  </si>
  <si>
    <t>Probabilidad de cumplimiento</t>
  </si>
  <si>
    <t>ALTO-BAIXO-ALTO</t>
  </si>
  <si>
    <t>ALTO-BAIXO-MÉDIO</t>
  </si>
  <si>
    <t>Actividad finalizada</t>
  </si>
  <si>
    <t>ALTO-BAIXO-BAIXO</t>
  </si>
  <si>
    <t>Comprometida</t>
  </si>
  <si>
    <t>Fecha declarada por el responsable de la actividad</t>
  </si>
  <si>
    <t>MÉDIO-ALTO-ALTO</t>
  </si>
  <si>
    <t>Planejada</t>
  </si>
  <si>
    <t>Fecha en base a un historico o planificacion inicial</t>
  </si>
  <si>
    <t>MÉDIO-ALTO-MÉDIO</t>
  </si>
  <si>
    <t>Proposta</t>
  </si>
  <si>
    <t>Fechas pendientes de consutar</t>
  </si>
  <si>
    <t>MÉDIO-ALTO-BAIXO</t>
  </si>
  <si>
    <t>MÉDIO-MÉDIO-ALTO</t>
  </si>
  <si>
    <t>MÉDIO-MÉDIO-MÉDIO</t>
  </si>
  <si>
    <t>CURTO</t>
  </si>
  <si>
    <t>MÉDIO-MÉDIO-BAIXO</t>
  </si>
  <si>
    <t>MÉDIO-BAIXO-ALTO</t>
  </si>
  <si>
    <t>LONGO</t>
  </si>
  <si>
    <t>MÉDIO-BAIXO-MÉDIO</t>
  </si>
  <si>
    <t>MÉDIO-BAIXO-BAIXO</t>
  </si>
  <si>
    <t>CLASSIFICAÇÃO DAS INICIATIVAS</t>
  </si>
  <si>
    <t>INICIAIS</t>
  </si>
  <si>
    <t>BAIXO-ALTO-ALTO</t>
  </si>
  <si>
    <t>ESTRATÉGICO</t>
  </si>
  <si>
    <t>IE</t>
  </si>
  <si>
    <t>BAIXO-ALTO-BAIXO</t>
  </si>
  <si>
    <t>PRIORITÁRIo</t>
  </si>
  <si>
    <t>IP</t>
  </si>
  <si>
    <t>BAIXO-ALTO-MÉDIO</t>
  </si>
  <si>
    <t>JURÍDICO</t>
  </si>
  <si>
    <t>IJ</t>
  </si>
  <si>
    <t>BAIXO-MÉDIO-ALTO</t>
  </si>
  <si>
    <t>OPERACIONAL</t>
  </si>
  <si>
    <t>IO</t>
  </si>
  <si>
    <t>BAIXO-MÉDIO-MÉDIO</t>
  </si>
  <si>
    <t>BAIXO-MÉDIO-BAIXO</t>
  </si>
  <si>
    <t>BAIXO-BAIXO-ALTO</t>
  </si>
  <si>
    <t>BAIXO-BAIXO-MÉDIO</t>
  </si>
  <si>
    <t>BAIXO-BAIXO-BAIXO</t>
  </si>
  <si>
    <t>PROBABILIDADE DE RISCO</t>
  </si>
  <si>
    <t>ALTA</t>
  </si>
  <si>
    <t>Maior que 70%</t>
  </si>
  <si>
    <t>MÉDIA</t>
  </si>
  <si>
    <t>Superior a 30% e inferior a 70%</t>
  </si>
  <si>
    <t>BAIXA</t>
  </si>
  <si>
    <t>Menos de 30%</t>
  </si>
  <si>
    <t>IMPACTO DE RISCO</t>
  </si>
  <si>
    <t>Afeta mais de 25% do projeto</t>
  </si>
  <si>
    <t>Afeta entre 10%-25% do projeto</t>
  </si>
  <si>
    <t>Afeta menos de 10% do projeto</t>
  </si>
  <si>
    <t>PRIORIDADE DE ATENÇÃO</t>
  </si>
  <si>
    <t>KPI</t>
  </si>
  <si>
    <t>ALTA-ALTO</t>
  </si>
  <si>
    <t xml:space="preserve">Bloqueio </t>
  </si>
  <si>
    <t>ALTA-MÉDIO</t>
  </si>
  <si>
    <t>ALTA-BAIXO</t>
  </si>
  <si>
    <t>Não Bloqueando – Muito crítico</t>
  </si>
  <si>
    <t>MÉDIA-ALTO</t>
  </si>
  <si>
    <t>MÉDIA-MÉDIO</t>
  </si>
  <si>
    <t>Não Bloqueando – Crítico</t>
  </si>
  <si>
    <t>MÉDIA-BAIXO</t>
  </si>
  <si>
    <t>BAIXA-ALTO</t>
  </si>
  <si>
    <t>BAIXA-MÉDIO</t>
  </si>
  <si>
    <t>BAIXA-BAIXO</t>
  </si>
  <si>
    <t>Não Bloqueando – Não crítico</t>
  </si>
  <si>
    <t>ALMA for Stores / RH /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</si>
</sst>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0.00\ &quot;€&quot;_-;\-* #,##0.00\ &quot;€&quot;_-;_-* &quot;-&quot;??\ &quot;€&quot;_-;_-@_-"/>
    <numFmt numFmtId="43" formatCode="_-* #,##0.00_-;\-* #,##0.00_-;_-* &quot;-&quot;??_-;_-@_-"/>
    <numFmt numFmtId="164" formatCode="mm/yyyy"/>
    <numFmt numFmtId="165" formatCode="#,##0.00\ &quot;€&quot;"/>
    <numFmt numFmtId="166" formatCode="dd"/>
    <numFmt numFmtId="167" formatCode="m/d/yy;@"/>
    <numFmt numFmtId="168" formatCode="ddd\,\ m/d/yyyy"/>
  </numFmts>
  <fonts count="27"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name val="Calibri"/>
      <family val="2"/>
      <scheme val="minor"/>
    </font>
    <font>
      <sz val="11"/>
      <color theme="1"/>
      <name val="Calibri"/>
      <family val="2"/>
      <scheme val="minor"/>
    </font>
    <font>
      <sz val="8"/>
      <name val="Calibri"/>
      <family val="2"/>
      <scheme val="minor"/>
    </font>
    <font>
      <sz val="9"/>
      <color theme="1"/>
      <name val="Calibri"/>
      <family val="2"/>
      <scheme val="minor"/>
    </font>
    <font>
      <b/>
      <sz val="9"/>
      <name val="Calibri"/>
      <family val="2"/>
      <scheme val="minor"/>
    </font>
    <font>
      <sz val="14"/>
      <color theme="1" tint="0.24994659260841701"/>
      <name val="Calibri"/>
      <family val="2"/>
      <scheme val="minor"/>
    </font>
    <font>
      <sz val="11"/>
      <color theme="0"/>
      <name val="Calibri"/>
      <family val="2"/>
      <scheme val="minor"/>
    </font>
    <font>
      <u/>
      <sz val="11"/>
      <color indexed="12"/>
      <name val="Arial"/>
      <family val="2"/>
    </font>
    <font>
      <sz val="14"/>
      <color theme="1"/>
      <name val="Calibri"/>
      <family val="2"/>
      <scheme val="minor"/>
    </font>
    <font>
      <b/>
      <sz val="22"/>
      <color theme="1" tint="0.34998626667073579"/>
      <name val="Calibri Light"/>
      <family val="2"/>
      <scheme val="major"/>
    </font>
    <font>
      <b/>
      <sz val="10"/>
      <color theme="1"/>
      <name val="Calibri"/>
      <family val="2"/>
      <scheme val="minor"/>
    </font>
    <font>
      <sz val="10"/>
      <color theme="1"/>
      <name val="Calibri"/>
      <family val="2"/>
      <scheme val="minor"/>
    </font>
    <font>
      <b/>
      <sz val="10"/>
      <name val="Calibri"/>
      <family val="2"/>
      <scheme val="minor"/>
    </font>
    <font>
      <sz val="11"/>
      <color rgb="FFFF0000"/>
      <name val="Calibri"/>
      <family val="2"/>
      <scheme val="minor"/>
    </font>
    <font>
      <sz val="11"/>
      <name val="Calibri"/>
      <family val="2"/>
    </font>
    <font>
      <b/>
      <sz val="11"/>
      <color theme="0"/>
      <name val="Calibri"/>
      <family val="2"/>
    </font>
    <font>
      <b/>
      <sz val="11"/>
      <name val="Calibri"/>
      <family val="2"/>
      <scheme val="minor"/>
    </font>
    <font>
      <b/>
      <sz val="11"/>
      <color rgb="FFFF0000"/>
      <name val="Calibri"/>
      <family val="2"/>
      <scheme val="minor"/>
    </font>
    <font>
      <b/>
      <sz val="14"/>
      <color theme="0"/>
      <name val="Calibri"/>
      <family val="2"/>
    </font>
    <font>
      <sz val="14"/>
      <color theme="1"/>
      <name val="Calibri"/>
      <family val="2"/>
    </font>
    <font>
      <strike/>
      <sz val="11"/>
      <color rgb="FFFF0000"/>
      <name val="Calibri"/>
      <family val="2"/>
      <scheme val="minor"/>
    </font>
    <font>
      <strike/>
      <sz val="11"/>
      <color theme="1"/>
      <name val="Calibri"/>
      <family val="2"/>
      <scheme val="minor"/>
    </font>
  </fonts>
  <fills count="9">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3"/>
        <bgColor indexed="64"/>
      </patternFill>
    </fill>
    <fill>
      <patternFill patternType="solid">
        <fgColor theme="0" tint="-0.249977111117893"/>
        <bgColor indexed="64"/>
      </patternFill>
    </fill>
    <fill>
      <patternFill patternType="solid">
        <fgColor theme="7" tint="0.79998168889431442"/>
        <bgColor indexed="64"/>
      </patternFill>
    </fill>
  </fills>
  <borders count="3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hair">
        <color theme="3"/>
      </left>
      <right/>
      <top style="hair">
        <color theme="3"/>
      </top>
      <bottom style="hair">
        <color theme="3"/>
      </bottom>
      <diagonal/>
    </border>
    <border>
      <left/>
      <right/>
      <top style="hair">
        <color theme="3"/>
      </top>
      <bottom style="hair">
        <color theme="3"/>
      </bottom>
      <diagonal/>
    </border>
    <border>
      <left/>
      <right style="hair">
        <color theme="3"/>
      </right>
      <top style="hair">
        <color theme="3"/>
      </top>
      <bottom style="hair">
        <color theme="3"/>
      </bottom>
      <diagonal/>
    </border>
    <border>
      <left style="hair">
        <color theme="3"/>
      </left>
      <right/>
      <top style="hair">
        <color theme="3"/>
      </top>
      <bottom/>
      <diagonal/>
    </border>
    <border>
      <left style="hair">
        <color theme="3"/>
      </left>
      <right style="hair">
        <color theme="3"/>
      </right>
      <top style="hair">
        <color theme="3"/>
      </top>
      <bottom style="hair">
        <color theme="3"/>
      </bottom>
      <diagonal/>
    </border>
    <border>
      <left style="hair">
        <color theme="3"/>
      </left>
      <right/>
      <top/>
      <bottom style="hair">
        <color theme="3"/>
      </bottom>
      <diagonal/>
    </border>
    <border>
      <left style="hair">
        <color theme="3"/>
      </left>
      <right style="hair">
        <color theme="3"/>
      </right>
      <top style="hair">
        <color theme="3"/>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style="thin">
        <color theme="0" tint="-0.24994659260841701"/>
      </left>
      <right style="thin">
        <color theme="0" tint="-0.24994659260841701"/>
      </right>
      <top/>
      <bottom style="thin">
        <color theme="0" tint="-0.2499465926084170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0" tint="-0.24994659260841701"/>
      </left>
      <right style="thin">
        <color theme="0" tint="-0.24994659260841701"/>
      </right>
      <top/>
      <bottom/>
      <diagonal/>
    </border>
  </borders>
  <cellStyleXfs count="15">
    <xf numFmtId="0" fontId="0" fillId="0" borderId="0"/>
    <xf numFmtId="0" fontId="3" fillId="0" borderId="0"/>
    <xf numFmtId="9" fontId="6" fillId="0" borderId="0" applyFont="0" applyFill="0" applyBorder="0" applyAlignment="0" applyProtection="0"/>
    <xf numFmtId="0" fontId="10" fillId="0" borderId="0" applyNumberFormat="0" applyFill="0" applyBorder="0" applyProtection="0">
      <alignment horizontal="left" vertical="center"/>
    </xf>
    <xf numFmtId="0" fontId="12" fillId="0" borderId="0" applyNumberFormat="0" applyFill="0" applyBorder="0" applyAlignment="0" applyProtection="0">
      <alignment vertical="top"/>
      <protection locked="0"/>
    </xf>
    <xf numFmtId="0" fontId="11" fillId="0" borderId="0"/>
    <xf numFmtId="43" fontId="6" fillId="0" borderId="1" applyFont="0" applyFill="0" applyAlignment="0" applyProtection="0"/>
    <xf numFmtId="0" fontId="14" fillId="0" borderId="0" applyNumberFormat="0" applyFill="0" applyBorder="0" applyAlignment="0" applyProtection="0"/>
    <xf numFmtId="0" fontId="13" fillId="0" borderId="0" applyNumberFormat="0" applyFill="0" applyAlignment="0" applyProtection="0"/>
    <xf numFmtId="0" fontId="13" fillId="0" borderId="0" applyNumberFormat="0" applyFill="0" applyProtection="0">
      <alignment vertical="top"/>
    </xf>
    <xf numFmtId="0" fontId="6" fillId="0" borderId="0" applyNumberFormat="0" applyFill="0" applyProtection="0">
      <alignment horizontal="right" indent="1"/>
    </xf>
    <xf numFmtId="168" fontId="6" fillId="0" borderId="1">
      <alignment horizontal="center" vertical="center"/>
    </xf>
    <xf numFmtId="167" fontId="6" fillId="0" borderId="21" applyFill="0">
      <alignment horizontal="center" vertical="center"/>
    </xf>
    <xf numFmtId="0" fontId="6" fillId="0" borderId="21" applyFill="0">
      <alignment horizontal="center" vertical="center"/>
    </xf>
    <xf numFmtId="0" fontId="6" fillId="0" borderId="21" applyFill="0">
      <alignment horizontal="left" vertical="center" indent="2"/>
    </xf>
  </cellStyleXfs>
  <cellXfs count="173">
    <xf numFmtId="0" fontId="0" fillId="0" borderId="0" xfId="0"/>
    <xf numFmtId="0" fontId="0" fillId="0" borderId="0" xfId="0" applyAlignment="1">
      <alignment wrapText="1"/>
    </xf>
    <xf numFmtId="0" fontId="2" fillId="0" borderId="6" xfId="0" applyFont="1" applyBorder="1" applyAlignment="1">
      <alignment horizontal="center" vertical="center"/>
    </xf>
    <xf numFmtId="0" fontId="0" fillId="0" borderId="6" xfId="0" applyBorder="1" applyAlignment="1">
      <alignment wrapText="1"/>
    </xf>
    <xf numFmtId="44" fontId="0" fillId="0" borderId="6" xfId="0" applyNumberFormat="1" applyBorder="1"/>
    <xf numFmtId="0" fontId="0" fillId="0" borderId="6" xfId="0" applyBorder="1"/>
    <xf numFmtId="165" fontId="0" fillId="0" borderId="0" xfId="0" applyNumberFormat="1"/>
    <xf numFmtId="0" fontId="4" fillId="0" borderId="6" xfId="0" applyFont="1" applyBorder="1" applyAlignment="1">
      <alignment vertical="center" wrapText="1" readingOrder="1"/>
    </xf>
    <xf numFmtId="0" fontId="0" fillId="0" borderId="0" xfId="0" applyAlignment="1">
      <alignment horizontal="center" vertical="center"/>
    </xf>
    <xf numFmtId="49" fontId="1" fillId="6" borderId="8" xfId="0" applyNumberFormat="1" applyFont="1" applyFill="1" applyBorder="1"/>
    <xf numFmtId="49" fontId="1" fillId="6" borderId="8" xfId="0" applyNumberFormat="1" applyFont="1" applyFill="1" applyBorder="1" applyAlignment="1">
      <alignment wrapText="1"/>
    </xf>
    <xf numFmtId="49" fontId="1" fillId="6" borderId="6" xfId="0" applyNumberFormat="1" applyFont="1" applyFill="1" applyBorder="1" applyAlignment="1">
      <alignment wrapText="1"/>
    </xf>
    <xf numFmtId="49" fontId="1" fillId="6" borderId="6" xfId="0" applyNumberFormat="1" applyFont="1" applyFill="1" applyBorder="1"/>
    <xf numFmtId="49" fontId="5" fillId="0" borderId="6" xfId="0" applyNumberFormat="1" applyFont="1" applyBorder="1" applyAlignment="1">
      <alignment horizontal="left" vertical="top" wrapText="1"/>
    </xf>
    <xf numFmtId="49" fontId="5" fillId="0" borderId="6" xfId="0" applyNumberFormat="1" applyFont="1" applyBorder="1" applyAlignment="1">
      <alignment vertical="center"/>
    </xf>
    <xf numFmtId="49" fontId="0" fillId="0" borderId="6" xfId="0" applyNumberFormat="1" applyBorder="1" applyAlignment="1">
      <alignment wrapText="1"/>
    </xf>
    <xf numFmtId="0" fontId="5" fillId="0" borderId="6" xfId="0" applyFont="1" applyBorder="1" applyAlignment="1">
      <alignment vertical="center"/>
    </xf>
    <xf numFmtId="0" fontId="4" fillId="0" borderId="0" xfId="0" applyFont="1" applyAlignment="1">
      <alignment vertical="center" readingOrder="1"/>
    </xf>
    <xf numFmtId="0" fontId="16" fillId="0" borderId="0" xfId="1" applyFont="1" applyAlignment="1">
      <alignment horizontal="center" vertical="center"/>
    </xf>
    <xf numFmtId="0" fontId="16" fillId="0" borderId="0" xfId="1" applyFont="1" applyAlignment="1" applyProtection="1">
      <alignment vertical="center" wrapText="1"/>
      <protection locked="0"/>
    </xf>
    <xf numFmtId="0" fontId="16" fillId="0" borderId="0" xfId="1" applyFont="1" applyAlignment="1">
      <alignment vertical="center" wrapText="1"/>
    </xf>
    <xf numFmtId="0" fontId="16" fillId="0" borderId="0" xfId="1" applyFont="1" applyAlignment="1" applyProtection="1">
      <alignment horizontal="left" vertical="center" wrapText="1"/>
      <protection locked="0"/>
    </xf>
    <xf numFmtId="0" fontId="16" fillId="0" borderId="0" xfId="1" applyFont="1" applyAlignment="1">
      <alignment horizontal="left" vertical="center" wrapText="1"/>
    </xf>
    <xf numFmtId="0" fontId="16" fillId="0" borderId="0" xfId="1" quotePrefix="1" applyFont="1" applyAlignment="1">
      <alignment horizontal="left" vertical="center" wrapText="1"/>
    </xf>
    <xf numFmtId="0" fontId="16" fillId="0" borderId="0" xfId="1" applyFont="1" applyAlignment="1">
      <alignment horizontal="center" vertical="center" wrapText="1"/>
    </xf>
    <xf numFmtId="14" fontId="16" fillId="0" borderId="0" xfId="1" applyNumberFormat="1" applyFont="1" applyAlignment="1">
      <alignment horizontal="center" vertical="center" wrapText="1"/>
    </xf>
    <xf numFmtId="0" fontId="16" fillId="0" borderId="0" xfId="0" applyFont="1" applyAlignment="1">
      <alignment vertical="center" wrapText="1"/>
    </xf>
    <xf numFmtId="10" fontId="5" fillId="0" borderId="6" xfId="0" applyNumberFormat="1" applyFont="1" applyBorder="1" applyAlignment="1">
      <alignment vertical="center"/>
    </xf>
    <xf numFmtId="0" fontId="15" fillId="0" borderId="0" xfId="1" applyFont="1" applyAlignment="1" applyProtection="1">
      <alignment horizontal="center" vertical="center"/>
      <protection locked="0"/>
    </xf>
    <xf numFmtId="0" fontId="15" fillId="0" borderId="0" xfId="1" applyFont="1" applyAlignment="1" applyProtection="1">
      <alignment horizontal="left" vertical="center"/>
      <protection locked="0"/>
    </xf>
    <xf numFmtId="0" fontId="15" fillId="0" borderId="0" xfId="1" applyFont="1" applyAlignment="1" applyProtection="1">
      <alignment vertical="center"/>
      <protection locked="0"/>
    </xf>
    <xf numFmtId="0" fontId="17" fillId="5" borderId="12" xfId="0" applyFont="1" applyFill="1" applyBorder="1" applyAlignment="1">
      <alignment horizontal="center" vertical="center" wrapText="1"/>
    </xf>
    <xf numFmtId="0" fontId="16" fillId="0" borderId="0" xfId="0" applyFont="1"/>
    <xf numFmtId="14" fontId="16" fillId="0" borderId="12" xfId="0" applyNumberFormat="1" applyFont="1" applyBorder="1" applyAlignment="1">
      <alignment vertical="top" wrapText="1"/>
    </xf>
    <xf numFmtId="14" fontId="16" fillId="0" borderId="12" xfId="0" applyNumberFormat="1" applyFont="1" applyBorder="1" applyAlignment="1">
      <alignment horizontal="center" vertical="top" wrapText="1"/>
    </xf>
    <xf numFmtId="166" fontId="16" fillId="0" borderId="12" xfId="0" applyNumberFormat="1" applyFont="1" applyBorder="1" applyAlignment="1">
      <alignment vertical="top" wrapText="1"/>
    </xf>
    <xf numFmtId="0" fontId="0" fillId="0" borderId="6" xfId="0" quotePrefix="1" applyBorder="1" applyAlignment="1">
      <alignment horizontal="center" vertical="center"/>
    </xf>
    <xf numFmtId="0" fontId="0" fillId="0" borderId="6" xfId="0" applyBorder="1" applyAlignment="1">
      <alignment horizontal="center" vertical="center"/>
    </xf>
    <xf numFmtId="0" fontId="9" fillId="5" borderId="12" xfId="0" applyFont="1" applyFill="1" applyBorder="1" applyAlignment="1">
      <alignment horizontal="center" vertical="top" wrapText="1"/>
    </xf>
    <xf numFmtId="0" fontId="9" fillId="5" borderId="15" xfId="0" applyFont="1" applyFill="1" applyBorder="1" applyAlignment="1">
      <alignment horizontal="center" vertical="top" wrapText="1"/>
    </xf>
    <xf numFmtId="0" fontId="9" fillId="5" borderId="30" xfId="0" applyFont="1" applyFill="1" applyBorder="1" applyAlignment="1">
      <alignment horizontal="center" vertical="top" wrapText="1"/>
    </xf>
    <xf numFmtId="0" fontId="8" fillId="0" borderId="0" xfId="0" applyFont="1" applyAlignment="1">
      <alignment vertical="top"/>
    </xf>
    <xf numFmtId="14" fontId="8" fillId="0" borderId="12" xfId="0" applyNumberFormat="1" applyFont="1" applyBorder="1" applyAlignment="1">
      <alignment vertical="top" wrapText="1"/>
    </xf>
    <xf numFmtId="14" fontId="8" fillId="0" borderId="12" xfId="0" applyNumberFormat="1" applyFont="1" applyBorder="1" applyAlignment="1">
      <alignment horizontal="center" vertical="top" wrapText="1"/>
    </xf>
    <xf numFmtId="166" fontId="8" fillId="0" borderId="12" xfId="0" applyNumberFormat="1" applyFont="1" applyBorder="1" applyAlignment="1">
      <alignment vertical="top" wrapText="1"/>
    </xf>
    <xf numFmtId="0" fontId="8" fillId="0" borderId="12" xfId="0" applyFont="1" applyBorder="1" applyAlignment="1">
      <alignment vertical="top"/>
    </xf>
    <xf numFmtId="0" fontId="8" fillId="0" borderId="12" xfId="0" applyFont="1" applyBorder="1" applyAlignment="1">
      <alignment vertical="top" wrapText="1"/>
    </xf>
    <xf numFmtId="0" fontId="8" fillId="0" borderId="0" xfId="0" applyFont="1" applyAlignment="1">
      <alignment vertical="top" wrapText="1"/>
    </xf>
    <xf numFmtId="0" fontId="20" fillId="2" borderId="1" xfId="1" applyFont="1" applyFill="1" applyBorder="1" applyAlignment="1" applyProtection="1">
      <alignment horizontal="center" vertical="center" wrapText="1"/>
      <protection locked="0"/>
    </xf>
    <xf numFmtId="0" fontId="19" fillId="0" borderId="9" xfId="1" applyFont="1" applyBorder="1" applyAlignment="1" applyProtection="1">
      <alignment vertical="center"/>
      <protection locked="0"/>
    </xf>
    <xf numFmtId="0" fontId="19" fillId="0" borderId="10" xfId="1" applyFont="1" applyBorder="1" applyAlignment="1">
      <alignment vertical="center" wrapText="1"/>
    </xf>
    <xf numFmtId="0" fontId="20" fillId="2" borderId="1" xfId="1" applyFont="1" applyFill="1" applyBorder="1" applyAlignment="1" applyProtection="1">
      <alignment horizontal="left" vertical="center" wrapText="1" indent="1"/>
      <protection locked="0"/>
    </xf>
    <xf numFmtId="0" fontId="3" fillId="0" borderId="1" xfId="1" applyBorder="1" applyAlignment="1">
      <alignment vertical="center" wrapText="1"/>
    </xf>
    <xf numFmtId="0" fontId="3" fillId="0" borderId="0" xfId="1" applyAlignment="1">
      <alignment horizontal="center" vertical="center" wrapText="1"/>
    </xf>
    <xf numFmtId="0" fontId="20" fillId="2" borderId="1" xfId="1" applyFont="1" applyFill="1" applyBorder="1" applyAlignment="1" applyProtection="1">
      <alignment vertical="center" wrapText="1"/>
      <protection locked="0"/>
    </xf>
    <xf numFmtId="0" fontId="3" fillId="0" borderId="1" xfId="1" applyBorder="1" applyAlignment="1" applyProtection="1">
      <alignment vertical="center" wrapText="1"/>
      <protection locked="0"/>
    </xf>
    <xf numFmtId="0" fontId="3" fillId="0" borderId="9" xfId="1" applyBorder="1" applyAlignment="1">
      <alignment vertical="center" wrapText="1"/>
    </xf>
    <xf numFmtId="0" fontId="20" fillId="0" borderId="11" xfId="1" applyFont="1" applyBorder="1" applyAlignment="1">
      <alignment vertical="center" wrapText="1"/>
    </xf>
    <xf numFmtId="0" fontId="18"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14" fontId="0" fillId="0" borderId="0" xfId="0" applyNumberFormat="1" applyAlignment="1">
      <alignment vertical="center"/>
    </xf>
    <xf numFmtId="166" fontId="0" fillId="0" borderId="0" xfId="0" applyNumberFormat="1" applyAlignment="1">
      <alignment vertical="center"/>
    </xf>
    <xf numFmtId="0" fontId="2" fillId="0" borderId="0" xfId="0" applyFont="1" applyAlignment="1">
      <alignment vertical="center"/>
    </xf>
    <xf numFmtId="14" fontId="0" fillId="8" borderId="0" xfId="0" applyNumberFormat="1" applyFill="1" applyAlignment="1">
      <alignment vertical="center"/>
    </xf>
    <xf numFmtId="9" fontId="0" fillId="0" borderId="0" xfId="2" applyFont="1"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2" fillId="0" borderId="15" xfId="0" applyFont="1" applyBorder="1" applyAlignment="1">
      <alignment vertical="center" wrapText="1"/>
    </xf>
    <xf numFmtId="0" fontId="2" fillId="0" borderId="15" xfId="0" applyFont="1" applyBorder="1" applyAlignment="1">
      <alignment horizontal="center" vertical="center" wrapText="1"/>
    </xf>
    <xf numFmtId="14" fontId="1" fillId="2" borderId="12" xfId="0" applyNumberFormat="1" applyFont="1" applyFill="1" applyBorder="1" applyAlignment="1">
      <alignment vertical="center" wrapText="1"/>
    </xf>
    <xf numFmtId="0" fontId="1" fillId="2" borderId="12" xfId="0" applyFont="1" applyFill="1" applyBorder="1" applyAlignment="1">
      <alignment vertical="center" wrapText="1"/>
    </xf>
    <xf numFmtId="0" fontId="21" fillId="5" borderId="12" xfId="0" applyFont="1" applyFill="1" applyBorder="1" applyAlignment="1">
      <alignment vertical="center" wrapText="1"/>
    </xf>
    <xf numFmtId="0" fontId="21" fillId="5" borderId="15" xfId="0" applyFont="1" applyFill="1" applyBorder="1" applyAlignment="1">
      <alignment vertical="center" wrapText="1"/>
    </xf>
    <xf numFmtId="0" fontId="21" fillId="5" borderId="12" xfId="0" applyFont="1" applyFill="1" applyBorder="1" applyAlignment="1">
      <alignment horizontal="center" vertical="center" wrapText="1"/>
    </xf>
    <xf numFmtId="0" fontId="1" fillId="2" borderId="13" xfId="0" applyFont="1" applyFill="1" applyBorder="1" applyAlignment="1">
      <alignment vertical="center" wrapText="1"/>
    </xf>
    <xf numFmtId="0" fontId="1" fillId="2" borderId="14" xfId="0" applyFont="1" applyFill="1" applyBorder="1" applyAlignment="1">
      <alignment vertical="center" wrapText="1"/>
    </xf>
    <xf numFmtId="166" fontId="2" fillId="0" borderId="0" xfId="0" applyNumberFormat="1" applyFont="1" applyAlignment="1">
      <alignment horizontal="center" vertical="center" wrapText="1"/>
    </xf>
    <xf numFmtId="9" fontId="0" fillId="0" borderId="12" xfId="2" applyFont="1" applyBorder="1" applyAlignment="1">
      <alignment vertical="center"/>
    </xf>
    <xf numFmtId="9" fontId="0" fillId="0" borderId="12" xfId="2" applyFont="1" applyFill="1" applyBorder="1" applyAlignment="1">
      <alignment vertical="center"/>
    </xf>
    <xf numFmtId="0" fontId="2" fillId="5" borderId="12" xfId="0" applyFont="1" applyFill="1" applyBorder="1" applyAlignment="1">
      <alignment vertical="center" wrapText="1"/>
    </xf>
    <xf numFmtId="164" fontId="3" fillId="0" borderId="1" xfId="1" applyNumberFormat="1" applyBorder="1" applyAlignment="1" applyProtection="1">
      <alignment horizontal="center" vertical="center" wrapText="1"/>
      <protection locked="0"/>
    </xf>
    <xf numFmtId="1" fontId="3" fillId="0" borderId="1" xfId="1" applyNumberFormat="1" applyBorder="1" applyAlignment="1" applyProtection="1">
      <alignment horizontal="center" vertical="center" wrapText="1"/>
      <protection locked="0"/>
    </xf>
    <xf numFmtId="0" fontId="3" fillId="0" borderId="9" xfId="1" applyBorder="1" applyAlignment="1" applyProtection="1">
      <alignment horizontal="left" vertical="center" wrapText="1" indent="3"/>
      <protection locked="0"/>
    </xf>
    <xf numFmtId="0" fontId="3" fillId="0" borderId="10" xfId="1" applyBorder="1" applyAlignment="1" applyProtection="1">
      <alignment horizontal="left" vertical="center" wrapText="1" indent="3"/>
      <protection locked="0"/>
    </xf>
    <xf numFmtId="0" fontId="3" fillId="0" borderId="10" xfId="1" applyBorder="1" applyAlignment="1" applyProtection="1">
      <alignment vertical="center" wrapText="1"/>
      <protection locked="0"/>
    </xf>
    <xf numFmtId="0" fontId="3" fillId="0" borderId="9" xfId="1" quotePrefix="1" applyBorder="1" applyAlignment="1" applyProtection="1">
      <alignment vertical="center"/>
      <protection locked="0"/>
    </xf>
    <xf numFmtId="0" fontId="3" fillId="0" borderId="10" xfId="1" applyBorder="1" applyAlignment="1" applyProtection="1">
      <alignment vertical="center"/>
      <protection locked="0"/>
    </xf>
    <xf numFmtId="0" fontId="3" fillId="0" borderId="9" xfId="1" quotePrefix="1" applyBorder="1" applyAlignment="1" applyProtection="1">
      <alignment horizontal="left" vertical="center" wrapText="1"/>
      <protection locked="0"/>
    </xf>
    <xf numFmtId="0" fontId="3" fillId="0" borderId="9" xfId="1" applyBorder="1" applyAlignment="1" applyProtection="1">
      <alignment horizontal="left" vertical="center" indent="3"/>
      <protection locked="0"/>
    </xf>
    <xf numFmtId="0" fontId="16" fillId="0" borderId="0" xfId="0" applyFont="1" applyAlignment="1">
      <alignment wrapText="1"/>
    </xf>
    <xf numFmtId="0" fontId="0" fillId="0" borderId="12" xfId="0" applyBorder="1" applyAlignment="1" applyProtection="1">
      <alignment horizontal="left" vertical="center" wrapText="1"/>
      <protection locked="0"/>
    </xf>
    <xf numFmtId="0" fontId="0" fillId="0" borderId="12" xfId="0" applyBorder="1" applyAlignment="1">
      <alignment horizontal="left" vertical="center"/>
    </xf>
    <xf numFmtId="0" fontId="0" fillId="0" borderId="12" xfId="0" applyBorder="1" applyAlignment="1">
      <alignment horizontal="left" vertical="center" wrapText="1"/>
    </xf>
    <xf numFmtId="14" fontId="0" fillId="0" borderId="12" xfId="0" applyNumberFormat="1" applyBorder="1" applyAlignment="1">
      <alignment vertical="center"/>
    </xf>
    <xf numFmtId="0" fontId="0" fillId="0" borderId="12" xfId="0" applyBorder="1" applyAlignment="1">
      <alignment vertical="center"/>
    </xf>
    <xf numFmtId="0" fontId="0" fillId="0" borderId="20" xfId="0" applyBorder="1" applyAlignment="1">
      <alignment vertical="center"/>
    </xf>
    <xf numFmtId="0" fontId="0" fillId="4" borderId="19" xfId="0" applyFill="1" applyBorder="1" applyAlignment="1">
      <alignment horizontal="left" vertical="center"/>
    </xf>
    <xf numFmtId="0" fontId="0" fillId="4" borderId="0" xfId="0" applyFill="1" applyAlignment="1">
      <alignment vertical="center" wrapText="1"/>
    </xf>
    <xf numFmtId="14" fontId="0" fillId="4" borderId="20" xfId="0" applyNumberFormat="1" applyFill="1" applyBorder="1" applyAlignment="1">
      <alignment vertical="center"/>
    </xf>
    <xf numFmtId="0" fontId="0" fillId="4" borderId="12" xfId="0" applyFill="1" applyBorder="1" applyAlignment="1">
      <alignment vertical="center"/>
    </xf>
    <xf numFmtId="0" fontId="0" fillId="4" borderId="20" xfId="0" applyFill="1" applyBorder="1" applyAlignment="1">
      <alignment vertical="center"/>
    </xf>
    <xf numFmtId="9" fontId="0" fillId="4" borderId="12" xfId="2" applyFont="1" applyFill="1" applyBorder="1" applyAlignment="1">
      <alignment vertical="center"/>
    </xf>
    <xf numFmtId="0" fontId="0" fillId="0" borderId="12" xfId="0" applyBorder="1" applyAlignment="1" applyProtection="1">
      <alignment vertical="center" wrapText="1" indent="1"/>
      <protection locked="0"/>
    </xf>
    <xf numFmtId="0" fontId="0" fillId="3" borderId="12" xfId="0" applyFill="1" applyBorder="1" applyAlignment="1">
      <alignment vertical="center"/>
    </xf>
    <xf numFmtId="0" fontId="0" fillId="0" borderId="12" xfId="0" applyBorder="1" applyAlignment="1" applyProtection="1">
      <alignment horizontal="left" vertical="center" wrapText="1" indent="1"/>
      <protection locked="0"/>
    </xf>
    <xf numFmtId="0" fontId="0" fillId="0" borderId="0" xfId="0" applyAlignment="1">
      <alignment horizontal="left" vertical="center" wrapText="1" indent="1"/>
    </xf>
    <xf numFmtId="0" fontId="0" fillId="0" borderId="12" xfId="0" applyBorder="1" applyAlignment="1">
      <alignment vertical="center" wrapText="1"/>
    </xf>
    <xf numFmtId="166" fontId="0" fillId="0" borderId="0" xfId="0" applyNumberFormat="1" applyAlignment="1">
      <alignment horizontal="left" vertical="center" indent="1"/>
    </xf>
    <xf numFmtId="0" fontId="0" fillId="0" borderId="12" xfId="0" applyBorder="1" applyAlignment="1">
      <alignment horizontal="left" vertical="center" wrapText="1" indent="1"/>
    </xf>
    <xf numFmtId="0" fontId="22" fillId="0" borderId="0" xfId="0" applyFont="1" applyAlignment="1">
      <alignment vertical="center"/>
    </xf>
    <xf numFmtId="0" fontId="2" fillId="7" borderId="19" xfId="0" applyFont="1" applyFill="1" applyBorder="1" applyAlignment="1">
      <alignment horizontal="left" vertical="center"/>
    </xf>
    <xf numFmtId="0" fontId="2" fillId="7" borderId="0" xfId="0" applyFont="1" applyFill="1" applyAlignment="1">
      <alignment vertical="center" wrapText="1"/>
    </xf>
    <xf numFmtId="14" fontId="2" fillId="7" borderId="20" xfId="0" applyNumberFormat="1" applyFont="1" applyFill="1" applyBorder="1" applyAlignment="1">
      <alignment vertical="center"/>
    </xf>
    <xf numFmtId="0" fontId="2" fillId="7" borderId="12" xfId="0" applyFont="1" applyFill="1" applyBorder="1" applyAlignment="1">
      <alignment vertical="center"/>
    </xf>
    <xf numFmtId="0" fontId="2" fillId="7" borderId="20" xfId="0" applyFont="1" applyFill="1" applyBorder="1" applyAlignment="1">
      <alignment vertical="center"/>
    </xf>
    <xf numFmtId="9" fontId="2" fillId="7" borderId="12" xfId="2" applyFont="1" applyFill="1" applyBorder="1" applyAlignment="1">
      <alignment vertical="center"/>
    </xf>
    <xf numFmtId="166" fontId="2" fillId="0" borderId="0" xfId="0" applyNumberFormat="1" applyFont="1" applyAlignment="1">
      <alignment vertical="center"/>
    </xf>
    <xf numFmtId="14" fontId="0" fillId="0" borderId="20" xfId="0" applyNumberFormat="1" applyBorder="1" applyAlignment="1">
      <alignment vertical="center"/>
    </xf>
    <xf numFmtId="0" fontId="23" fillId="2" borderId="1" xfId="1" applyFont="1" applyFill="1" applyBorder="1" applyAlignment="1" applyProtection="1">
      <alignment horizontal="center" vertical="center" wrapText="1"/>
      <protection locked="0"/>
    </xf>
    <xf numFmtId="0" fontId="23" fillId="2" borderId="1" xfId="1" applyFont="1" applyFill="1" applyBorder="1" applyAlignment="1" applyProtection="1">
      <alignment vertical="center" wrapText="1"/>
      <protection locked="0"/>
    </xf>
    <xf numFmtId="0" fontId="24" fillId="8" borderId="1" xfId="1" applyFont="1" applyFill="1" applyBorder="1" applyAlignment="1" applyProtection="1">
      <alignment vertical="center" wrapText="1"/>
      <protection locked="0"/>
    </xf>
    <xf numFmtId="44" fontId="24" fillId="8" borderId="1" xfId="1" applyNumberFormat="1" applyFont="1" applyFill="1" applyBorder="1" applyAlignment="1" applyProtection="1">
      <alignment vertical="center" wrapText="1"/>
      <protection locked="0"/>
    </xf>
    <xf numFmtId="44" fontId="16" fillId="0" borderId="0" xfId="1" applyNumberFormat="1"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26" fillId="0" borderId="12" xfId="0" applyFont="1" applyBorder="1" applyAlignment="1">
      <alignment horizontal="left" vertical="center"/>
    </xf>
    <xf numFmtId="0" fontId="26" fillId="0" borderId="12" xfId="0" applyFont="1" applyBorder="1" applyAlignment="1" applyProtection="1">
      <alignment horizontal="left" vertical="center" wrapText="1" indent="1"/>
      <protection locked="0"/>
    </xf>
    <xf numFmtId="0" fontId="26" fillId="0" borderId="12" xfId="0" applyFont="1" applyBorder="1" applyAlignment="1" applyProtection="1">
      <alignment horizontal="left" vertical="center" wrapText="1"/>
      <protection locked="0"/>
    </xf>
    <xf numFmtId="14" fontId="26" fillId="0" borderId="12" xfId="0" applyNumberFormat="1" applyFont="1" applyBorder="1" applyAlignment="1">
      <alignment vertical="center"/>
    </xf>
    <xf numFmtId="0" fontId="26" fillId="0" borderId="12" xfId="0" applyFont="1" applyBorder="1" applyAlignment="1">
      <alignment vertical="center"/>
    </xf>
    <xf numFmtId="0" fontId="26" fillId="0" borderId="20" xfId="0" applyFont="1" applyBorder="1" applyAlignment="1">
      <alignment vertical="center"/>
    </xf>
    <xf numFmtId="14" fontId="26" fillId="8" borderId="12" xfId="0" applyNumberFormat="1" applyFont="1" applyFill="1" applyBorder="1" applyAlignment="1">
      <alignment vertical="center"/>
    </xf>
    <xf numFmtId="9" fontId="26" fillId="0" borderId="12" xfId="2" applyFont="1" applyFill="1" applyBorder="1" applyAlignment="1">
      <alignment vertical="center"/>
    </xf>
    <xf numFmtId="166" fontId="26" fillId="0" borderId="0" xfId="0" applyNumberFormat="1" applyFont="1" applyAlignment="1">
      <alignment vertical="center"/>
    </xf>
    <xf numFmtId="0" fontId="3" fillId="0" borderId="1" xfId="1" quotePrefix="1" applyBorder="1" applyAlignment="1">
      <alignment horizontal="left" vertical="center" wrapText="1" indent="1"/>
    </xf>
    <xf numFmtId="0" fontId="3" fillId="0" borderId="1" xfId="1" applyBorder="1" applyAlignment="1">
      <alignment horizontal="left" vertical="center" wrapText="1" indent="1"/>
    </xf>
    <xf numFmtId="0" fontId="20" fillId="2" borderId="9" xfId="1" applyFont="1" applyFill="1" applyBorder="1" applyAlignment="1" applyProtection="1">
      <alignment horizontal="center" vertical="center" wrapText="1"/>
      <protection locked="0"/>
    </xf>
    <xf numFmtId="0" fontId="20" fillId="2" borderId="11" xfId="1" applyFont="1" applyFill="1" applyBorder="1" applyAlignment="1" applyProtection="1">
      <alignment horizontal="center" vertical="center" wrapText="1"/>
      <protection locked="0"/>
    </xf>
    <xf numFmtId="0" fontId="20" fillId="2" borderId="1" xfId="1" applyFont="1" applyFill="1" applyBorder="1" applyAlignment="1" applyProtection="1">
      <alignment horizontal="center" vertical="center" wrapText="1"/>
      <protection locked="0"/>
    </xf>
    <xf numFmtId="0" fontId="19" fillId="0" borderId="22" xfId="1" quotePrefix="1" applyFont="1" applyBorder="1" applyAlignment="1" applyProtection="1">
      <alignment horizontal="left" vertical="center" wrapText="1" indent="1"/>
      <protection locked="0"/>
    </xf>
    <xf numFmtId="0" fontId="19" fillId="0" borderId="23" xfId="1" applyFont="1" applyBorder="1" applyAlignment="1" applyProtection="1">
      <alignment horizontal="left" vertical="center" wrapText="1" indent="1"/>
      <protection locked="0"/>
    </xf>
    <xf numFmtId="0" fontId="19" fillId="0" borderId="24" xfId="1" applyFont="1" applyBorder="1" applyAlignment="1" applyProtection="1">
      <alignment horizontal="left" vertical="center" wrapText="1" indent="1"/>
      <protection locked="0"/>
    </xf>
    <xf numFmtId="0" fontId="19" fillId="0" borderId="22" xfId="1" quotePrefix="1" applyFont="1" applyBorder="1" applyAlignment="1" applyProtection="1">
      <alignment horizontal="left" vertical="center" wrapText="1"/>
      <protection locked="0"/>
    </xf>
    <xf numFmtId="0" fontId="19" fillId="0" borderId="23" xfId="1" applyFont="1" applyBorder="1" applyAlignment="1" applyProtection="1">
      <alignment horizontal="left" vertical="center" wrapText="1"/>
      <protection locked="0"/>
    </xf>
    <xf numFmtId="0" fontId="19" fillId="0" borderId="24" xfId="1" applyFont="1" applyBorder="1" applyAlignment="1" applyProtection="1">
      <alignment horizontal="left" vertical="center" wrapText="1"/>
      <protection locked="0"/>
    </xf>
    <xf numFmtId="0" fontId="20" fillId="2" borderId="27" xfId="1" applyFont="1" applyFill="1" applyBorder="1" applyAlignment="1">
      <alignment horizontal="center" vertical="center" textRotation="90" wrapText="1"/>
    </xf>
    <xf numFmtId="0" fontId="20" fillId="2" borderId="29" xfId="1" applyFont="1" applyFill="1" applyBorder="1" applyAlignment="1">
      <alignment horizontal="center" vertical="center" textRotation="90" wrapText="1"/>
    </xf>
    <xf numFmtId="0" fontId="19" fillId="0" borderId="1" xfId="1" applyFont="1" applyBorder="1" applyAlignment="1" applyProtection="1">
      <alignment horizontal="left" vertical="center" wrapText="1" indent="1"/>
      <protection locked="0"/>
    </xf>
    <xf numFmtId="0" fontId="19" fillId="0" borderId="1" xfId="1" quotePrefix="1" applyFont="1" applyBorder="1" applyAlignment="1">
      <alignment horizontal="left" vertical="center" wrapText="1" indent="1"/>
    </xf>
    <xf numFmtId="0" fontId="19" fillId="0" borderId="1" xfId="1" applyFont="1" applyBorder="1" applyAlignment="1">
      <alignment horizontal="left" vertical="center" wrapText="1" indent="1"/>
    </xf>
    <xf numFmtId="0" fontId="3" fillId="0" borderId="25" xfId="1" applyBorder="1" applyAlignment="1" applyProtection="1">
      <alignment horizontal="center" vertical="center" wrapText="1"/>
      <protection locked="0"/>
    </xf>
    <xf numFmtId="0" fontId="3" fillId="0" borderId="27" xfId="1" applyBorder="1" applyAlignment="1" applyProtection="1">
      <alignment horizontal="center" vertical="center" wrapText="1"/>
      <protection locked="0"/>
    </xf>
    <xf numFmtId="0" fontId="3" fillId="0" borderId="26" xfId="1" applyBorder="1" applyAlignment="1" applyProtection="1">
      <alignment horizontal="center" vertical="center" wrapText="1"/>
      <protection locked="0"/>
    </xf>
    <xf numFmtId="0" fontId="3" fillId="0" borderId="28" xfId="1" applyBorder="1" applyAlignment="1" applyProtection="1">
      <alignment horizontal="center" vertical="center" wrapText="1"/>
      <protection locked="0"/>
    </xf>
    <xf numFmtId="0" fontId="3" fillId="0" borderId="22" xfId="1" applyBorder="1" applyAlignment="1" applyProtection="1">
      <alignment horizontal="center" vertical="center" wrapText="1"/>
      <protection locked="0"/>
    </xf>
    <xf numFmtId="0" fontId="3" fillId="0" borderId="24" xfId="1" applyBorder="1" applyAlignment="1" applyProtection="1">
      <alignment horizontal="center" vertical="center" wrapText="1"/>
      <protection locked="0"/>
    </xf>
    <xf numFmtId="0" fontId="3" fillId="0" borderId="9" xfId="1" quotePrefix="1" applyBorder="1" applyAlignment="1" applyProtection="1">
      <alignment horizontal="left" vertical="center" wrapText="1"/>
      <protection locked="0"/>
    </xf>
    <xf numFmtId="0" fontId="3" fillId="0" borderId="11" xfId="1" quotePrefix="1" applyBorder="1" applyAlignment="1" applyProtection="1">
      <alignment horizontal="left" vertical="center" wrapText="1"/>
      <protection locked="0"/>
    </xf>
    <xf numFmtId="0" fontId="20" fillId="2" borderId="10" xfId="1" applyFont="1" applyFill="1" applyBorder="1" applyAlignment="1" applyProtection="1">
      <alignment horizontal="center" vertical="center" wrapText="1"/>
      <protection locked="0"/>
    </xf>
    <xf numFmtId="0" fontId="1" fillId="2" borderId="12" xfId="0" applyFont="1" applyFill="1" applyBorder="1" applyAlignment="1">
      <alignment horizontal="center" vertical="center"/>
    </xf>
    <xf numFmtId="0" fontId="21" fillId="5" borderId="16" xfId="0" applyFont="1" applyFill="1" applyBorder="1" applyAlignment="1">
      <alignment horizontal="center" vertical="center"/>
    </xf>
    <xf numFmtId="0" fontId="21" fillId="5" borderId="17" xfId="0" applyFont="1" applyFill="1" applyBorder="1" applyAlignment="1">
      <alignment horizontal="center" vertical="center"/>
    </xf>
    <xf numFmtId="0" fontId="21" fillId="5" borderId="18" xfId="0" applyFont="1" applyFill="1" applyBorder="1" applyAlignment="1">
      <alignment horizontal="center" vertical="center"/>
    </xf>
    <xf numFmtId="0" fontId="1" fillId="2" borderId="18" xfId="0" applyFont="1" applyFill="1" applyBorder="1" applyAlignment="1">
      <alignment horizontal="center" vertical="center"/>
    </xf>
    <xf numFmtId="0" fontId="1" fillId="6" borderId="2" xfId="0" applyFont="1" applyFill="1" applyBorder="1" applyAlignment="1">
      <alignment horizontal="left"/>
    </xf>
    <xf numFmtId="0" fontId="1" fillId="6" borderId="4" xfId="0" applyFont="1" applyFill="1" applyBorder="1" applyAlignment="1">
      <alignment horizontal="left"/>
    </xf>
    <xf numFmtId="0" fontId="1" fillId="6" borderId="2" xfId="0" applyFont="1" applyFill="1" applyBorder="1" applyAlignment="1">
      <alignment horizontal="left" indent="1"/>
    </xf>
    <xf numFmtId="0" fontId="1" fillId="6" borderId="3" xfId="0" applyFont="1" applyFill="1" applyBorder="1" applyAlignment="1">
      <alignment horizontal="left" indent="1"/>
    </xf>
    <xf numFmtId="0" fontId="1" fillId="6" borderId="4" xfId="0" applyFont="1" applyFill="1" applyBorder="1" applyAlignment="1">
      <alignment horizontal="left" indent="1"/>
    </xf>
    <xf numFmtId="0" fontId="1" fillId="6" borderId="5" xfId="0" applyFont="1" applyFill="1" applyBorder="1" applyAlignment="1">
      <alignment horizontal="left" wrapText="1"/>
    </xf>
    <xf numFmtId="0" fontId="1" fillId="6" borderId="7" xfId="0" applyFont="1" applyFill="1" applyBorder="1" applyAlignment="1">
      <alignment horizontal="left" wrapText="1"/>
    </xf>
  </cellXfs>
  <cellStyles count="15">
    <cellStyle name="Date" xfId="12" xr:uid="{987B9231-3982-4920-A03C-61DA508E563C}"/>
    <cellStyle name="Encabezado 1 2" xfId="8" xr:uid="{9DA73DA1-3802-4408-8C1B-82E38D45C6F7}"/>
    <cellStyle name="Hyperlink" xfId="4" builtinId="8" customBuiltin="1"/>
    <cellStyle name="Label" xfId="3" xr:uid="{EC795DC0-AD59-48B0-B0C1-0749B5361A91}"/>
    <cellStyle name="Millares 2" xfId="6" xr:uid="{A0A57CEE-ED1A-41AA-96E7-38DCD26EBD9D}"/>
    <cellStyle name="Name" xfId="13" xr:uid="{54ECFFC5-1B39-4157-B507-672F56DAE19E}"/>
    <cellStyle name="Normal" xfId="0" builtinId="0"/>
    <cellStyle name="Normal 2 2" xfId="1" xr:uid="{34433AA3-1FA0-4A29-A1C5-C5BFAD76E922}"/>
    <cellStyle name="Percent" xfId="2" builtinId="5"/>
    <cellStyle name="Project Start" xfId="11" xr:uid="{A6EADF3C-6705-4123-80F9-DE424BA65E9F}"/>
    <cellStyle name="Task" xfId="14" xr:uid="{C41C9723-B2DA-4AB8-AFF4-DCBA44B4FC8F}"/>
    <cellStyle name="Título 2 2" xfId="9" xr:uid="{949BEB4C-693C-4CB3-A37E-BC9E2A453AC8}"/>
    <cellStyle name="Título 3 2" xfId="10" xr:uid="{65F94664-2DAE-4B1C-B095-A03D2AD31F24}"/>
    <cellStyle name="Título 4" xfId="7" xr:uid="{876A8996-7B8F-4C24-A73C-076F838412FA}"/>
    <cellStyle name="zHiddenText" xfId="5" xr:uid="{933FB6B3-7CA8-4B9E-87CF-A46CB67C385D}"/>
  </cellStyles>
  <dxfs count="123">
    <dxf>
      <font>
        <color rgb="FF006100"/>
      </font>
      <fill>
        <patternFill>
          <bgColor rgb="FFC6EFCE"/>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tint="-0.249977111117893"/>
        </patternFill>
      </fill>
    </dxf>
    <dxf>
      <font>
        <b/>
        <i val="0"/>
        <color theme="1"/>
      </font>
      <fill>
        <patternFill patternType="solid">
          <bgColor theme="0" tint="-0.249977111117893"/>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font>
        <b/>
        <i val="0"/>
        <color theme="1"/>
      </font>
      <fill>
        <patternFill patternType="solid">
          <bgColor theme="0" tint="-0.14999847407452621"/>
        </patternFill>
      </fill>
    </dxf>
    <dxf>
      <font>
        <b/>
        <i val="0"/>
        <color theme="1"/>
      </font>
      <fill>
        <patternFill patternType="solid">
          <bgColor theme="0"/>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4A523034-DB63-46FA-94C0-0514B7BB3C70}">
      <tableStyleElement type="wholeTable" dxfId="122"/>
      <tableStyleElement type="headerRow" dxfId="121"/>
      <tableStyleElement type="totalRow" dxfId="120"/>
      <tableStyleElement type="firstColumn" dxfId="119"/>
      <tableStyleElement type="lastColumn" dxfId="118"/>
      <tableStyleElement type="firstRowStripe" dxfId="117"/>
      <tableStyleElement type="secondRowStripe" dxfId="116"/>
      <tableStyleElement type="firstColumnStripe" dxfId="115"/>
      <tableStyleElement type="secondColumnStripe" dxfId="1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542925</xdr:colOff>
      <xdr:row>0</xdr:row>
      <xdr:rowOff>57150</xdr:rowOff>
    </xdr:from>
    <xdr:to>
      <xdr:col>13</xdr:col>
      <xdr:colOff>553539</xdr:colOff>
      <xdr:row>11</xdr:row>
      <xdr:rowOff>115017</xdr:rowOff>
    </xdr:to>
    <xdr:pic>
      <xdr:nvPicPr>
        <xdr:cNvPr id="2" name="1 Imagen">
          <a:extLst>
            <a:ext uri="{FF2B5EF4-FFF2-40B4-BE49-F238E27FC236}">
              <a16:creationId xmlns:a16="http://schemas.microsoft.com/office/drawing/2014/main" id="{3DA4519E-7CA9-4AE8-88B8-42F525C81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46155" y="53340"/>
          <a:ext cx="3161484" cy="20236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oão Montenegro" id="{D2D11B86-1110-4E7E-A708-76EA704E5834}" userId="S::jmontenegro.reentry@parfois.com::af5b58e9-df8f-4a26-beb1-e2199090da5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30" dT="2024-04-24T11:46:46.64" personId="{D2D11B86-1110-4E7E-A708-76EA704E5834}" id="{AB7FABD7-85E4-4ECA-B25E-99FF7F2E7BBD}">
    <text>check availability with ismael and tania</text>
  </threadedComment>
  <threadedComment ref="Q34" dT="2024-04-24T11:46:46.64" personId="{D2D11B86-1110-4E7E-A708-76EA704E5834}" id="{FD3AC4AD-1C25-4CC3-9D6B-30AC0114A05A}">
    <text>check availability with ismael and tania</text>
  </threadedComment>
</ThreadedComments>
</file>

<file path=xl/threadedComments/threadedComment2.xml><?xml version="1.0" encoding="utf-8"?>
<ThreadedComments xmlns="http://schemas.microsoft.com/office/spreadsheetml/2018/threadedcomments" xmlns:x="http://schemas.openxmlformats.org/spreadsheetml/2006/main">
  <threadedComment ref="D21" dT="2024-05-23T11:48:49.51" personId="{D2D11B86-1110-4E7E-A708-76EA704E5834}" id="{13689524-B49A-4B21-A5EF-6AACC8B6D0E2}">
    <text>editar depois de testes com tania e bruno</text>
  </threadedComment>
  <threadedComment ref="D22" dT="2024-05-23T11:48:49.51" personId="{D2D11B86-1110-4E7E-A708-76EA704E5834}" id="{816BCA62-7C51-41BF-9A3D-C0BCF6B9B544}">
    <text>editar depois de testes com tania e bruno</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B0EA2C7-4D3D-4C7A-8D8A-0947B296D63A}">
  <we:reference id="WA200003696" version="1.3.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a:ext xmlns:a="http://schemas.openxmlformats.org/drawingml/2006/main" uri="{0858819E-0033-43BF-8937-05EC82904868}">
      <we:backgroundApp state="0" runtimeId="Taskpane.Url"/>
    </a:ext>
  </we:extLst>
</we:webextension>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F56F-0E7B-4F27-ADBE-F8F1FED99FC9}">
  <sheetPr>
    <pageSetUpPr fitToPage="1"/>
  </sheetPr>
  <dimension ref="B2:I26"/>
  <sheetViews>
    <sheetView showGridLines="0" topLeftCell="A6" zoomScale="70" zoomScaleNormal="70" workbookViewId="0">
      <selection activeCell="H17" sqref="H17:I17"/>
    </sheetView>
  </sheetViews>
  <sheetFormatPr defaultColWidth="11.5546875" defaultRowHeight="14.4" x14ac:dyDescent="0.3"/>
  <cols>
    <col min="1" max="1" width="2.6640625" style="53" customWidth="1"/>
    <col min="2" max="2" width="8" style="53" customWidth="1"/>
    <col min="3" max="9" width="45.6640625" style="53" customWidth="1"/>
    <col min="10" max="16384" width="11.5546875" style="53"/>
  </cols>
  <sheetData>
    <row r="2" spans="2:9" ht="34.950000000000003" customHeight="1" x14ac:dyDescent="0.3">
      <c r="B2" s="147" t="s">
        <v>0</v>
      </c>
      <c r="C2" s="48" t="s">
        <v>1</v>
      </c>
      <c r="D2" s="49" t="s">
        <v>409</v>
      </c>
      <c r="E2" s="50"/>
      <c r="F2" s="51" t="s">
        <v>2</v>
      </c>
      <c r="G2" s="52" t="s">
        <v>3</v>
      </c>
      <c r="H2" s="51" t="s">
        <v>4</v>
      </c>
      <c r="I2" s="52" t="s">
        <v>5</v>
      </c>
    </row>
    <row r="3" spans="2:9" ht="34.950000000000003" customHeight="1" x14ac:dyDescent="0.3">
      <c r="B3" s="148"/>
      <c r="C3" s="120" t="s">
        <v>6</v>
      </c>
      <c r="D3" s="121" t="s">
        <v>7</v>
      </c>
      <c r="E3" s="121" t="s">
        <v>8</v>
      </c>
      <c r="F3" s="121" t="s">
        <v>9</v>
      </c>
      <c r="G3" s="121" t="s">
        <v>10</v>
      </c>
      <c r="H3" s="54" t="s">
        <v>11</v>
      </c>
      <c r="I3" s="51" t="s">
        <v>12</v>
      </c>
    </row>
    <row r="4" spans="2:9" ht="34.950000000000003" customHeight="1" x14ac:dyDescent="0.3">
      <c r="B4" s="148"/>
      <c r="C4" s="122" t="s">
        <v>13</v>
      </c>
      <c r="D4" s="122" t="s">
        <v>14</v>
      </c>
      <c r="E4" s="122" t="s">
        <v>15</v>
      </c>
      <c r="F4" s="123">
        <v>200000</v>
      </c>
      <c r="G4" s="122" t="s">
        <v>16</v>
      </c>
      <c r="H4" s="55" t="s">
        <v>17</v>
      </c>
      <c r="I4" s="52" t="s">
        <v>18</v>
      </c>
    </row>
    <row r="5" spans="2:9" ht="34.950000000000003" customHeight="1" x14ac:dyDescent="0.3">
      <c r="B5" s="148"/>
      <c r="C5" s="48" t="s">
        <v>19</v>
      </c>
      <c r="D5" s="48" t="s">
        <v>20</v>
      </c>
      <c r="E5" s="140" t="s">
        <v>21</v>
      </c>
      <c r="F5" s="140"/>
      <c r="G5" s="140"/>
      <c r="H5" s="140" t="s">
        <v>22</v>
      </c>
      <c r="I5" s="140"/>
    </row>
    <row r="6" spans="2:9" ht="34.950000000000003" customHeight="1" x14ac:dyDescent="0.3">
      <c r="B6" s="148"/>
      <c r="C6" s="141" t="s">
        <v>23</v>
      </c>
      <c r="D6" s="144"/>
      <c r="E6" s="136"/>
      <c r="F6" s="137"/>
      <c r="G6" s="137"/>
      <c r="H6" s="136"/>
      <c r="I6" s="136"/>
    </row>
    <row r="7" spans="2:9" ht="34.950000000000003" customHeight="1" x14ac:dyDescent="0.3">
      <c r="B7" s="148"/>
      <c r="C7" s="142"/>
      <c r="D7" s="145"/>
      <c r="E7" s="137"/>
      <c r="F7" s="137"/>
      <c r="G7" s="137"/>
      <c r="H7" s="136"/>
      <c r="I7" s="136"/>
    </row>
    <row r="8" spans="2:9" ht="34.950000000000003" customHeight="1" x14ac:dyDescent="0.3">
      <c r="B8" s="148"/>
      <c r="C8" s="142"/>
      <c r="D8" s="145"/>
      <c r="E8" s="140" t="s">
        <v>24</v>
      </c>
      <c r="F8" s="150"/>
      <c r="G8" s="151"/>
      <c r="H8" s="136"/>
      <c r="I8" s="136"/>
    </row>
    <row r="9" spans="2:9" ht="34.950000000000003" customHeight="1" x14ac:dyDescent="0.3">
      <c r="B9" s="148"/>
      <c r="C9" s="142"/>
      <c r="D9" s="145"/>
      <c r="E9" s="140"/>
      <c r="F9" s="151"/>
      <c r="G9" s="151"/>
      <c r="H9" s="136"/>
      <c r="I9" s="136"/>
    </row>
    <row r="10" spans="2:9" ht="84" customHeight="1" x14ac:dyDescent="0.3">
      <c r="B10" s="148"/>
      <c r="C10" s="143"/>
      <c r="D10" s="146"/>
      <c r="E10" s="48" t="s">
        <v>25</v>
      </c>
      <c r="F10" s="56" t="s">
        <v>26</v>
      </c>
      <c r="G10" s="57"/>
      <c r="H10" s="54" t="s">
        <v>27</v>
      </c>
      <c r="I10" s="52"/>
    </row>
    <row r="11" spans="2:9" ht="34.950000000000003" customHeight="1" x14ac:dyDescent="0.3">
      <c r="B11" s="148"/>
      <c r="C11" s="140" t="s">
        <v>28</v>
      </c>
      <c r="D11" s="140"/>
      <c r="E11" s="140"/>
      <c r="F11" s="140"/>
      <c r="G11" s="140"/>
      <c r="H11" s="140" t="s">
        <v>29</v>
      </c>
      <c r="I11" s="140"/>
    </row>
    <row r="12" spans="2:9" ht="34.950000000000003" customHeight="1" x14ac:dyDescent="0.3">
      <c r="B12" s="148"/>
      <c r="C12" s="149"/>
      <c r="D12" s="149"/>
      <c r="E12" s="149"/>
      <c r="F12" s="149"/>
      <c r="G12" s="149"/>
      <c r="H12" s="48" t="s">
        <v>30</v>
      </c>
      <c r="I12" s="48" t="s">
        <v>31</v>
      </c>
    </row>
    <row r="13" spans="2:9" ht="34.950000000000003" customHeight="1" x14ac:dyDescent="0.3">
      <c r="B13" s="148"/>
      <c r="C13" s="149"/>
      <c r="D13" s="149"/>
      <c r="E13" s="149"/>
      <c r="F13" s="149"/>
      <c r="G13" s="149"/>
      <c r="H13" s="82">
        <f>PLANEAMENTO!F6</f>
        <v>45299</v>
      </c>
      <c r="I13" s="82">
        <f>PLANEAMENTO!J6</f>
        <v>45565</v>
      </c>
    </row>
    <row r="14" spans="2:9" ht="34.950000000000003" customHeight="1" x14ac:dyDescent="0.3">
      <c r="B14" s="148"/>
      <c r="C14" s="138" t="s">
        <v>32</v>
      </c>
      <c r="D14" s="139"/>
      <c r="E14" s="138" t="s">
        <v>33</v>
      </c>
      <c r="F14" s="139"/>
      <c r="G14" s="48" t="s">
        <v>34</v>
      </c>
      <c r="H14" s="138" t="s">
        <v>35</v>
      </c>
      <c r="I14" s="139"/>
    </row>
    <row r="15" spans="2:9" ht="34.950000000000003" customHeight="1" x14ac:dyDescent="0.3">
      <c r="B15" s="148"/>
      <c r="C15" s="152"/>
      <c r="D15" s="153"/>
      <c r="E15" s="152"/>
      <c r="F15" s="153"/>
      <c r="G15" s="156"/>
      <c r="H15" s="48" t="s">
        <v>36</v>
      </c>
      <c r="I15" s="48" t="s">
        <v>37</v>
      </c>
    </row>
    <row r="16" spans="2:9" ht="34.950000000000003" customHeight="1" x14ac:dyDescent="0.3">
      <c r="B16" s="148"/>
      <c r="C16" s="154"/>
      <c r="D16" s="155"/>
      <c r="E16" s="154"/>
      <c r="F16" s="155"/>
      <c r="G16" s="157"/>
      <c r="H16" s="83"/>
      <c r="I16" s="83"/>
    </row>
    <row r="17" spans="2:9" ht="34.950000000000003" customHeight="1" x14ac:dyDescent="0.3">
      <c r="B17" s="148"/>
      <c r="C17" s="138" t="s">
        <v>38</v>
      </c>
      <c r="D17" s="160"/>
      <c r="E17" s="139"/>
      <c r="F17" s="138" t="s">
        <v>39</v>
      </c>
      <c r="G17" s="160"/>
      <c r="H17" s="160" t="s">
        <v>40</v>
      </c>
      <c r="I17" s="139"/>
    </row>
    <row r="18" spans="2:9" ht="34.950000000000003" customHeight="1" x14ac:dyDescent="0.3">
      <c r="B18" s="148"/>
      <c r="C18" s="84"/>
      <c r="D18" s="85"/>
      <c r="E18" s="86"/>
      <c r="F18" s="87"/>
      <c r="G18" s="88"/>
      <c r="H18" s="82"/>
      <c r="I18" s="82"/>
    </row>
    <row r="19" spans="2:9" ht="49.2" customHeight="1" x14ac:dyDescent="0.3">
      <c r="B19" s="148"/>
      <c r="C19" s="84"/>
      <c r="D19" s="85"/>
      <c r="E19" s="85"/>
      <c r="F19" s="158"/>
      <c r="G19" s="159"/>
      <c r="H19" s="82"/>
      <c r="I19" s="82"/>
    </row>
    <row r="20" spans="2:9" ht="35.4" customHeight="1" x14ac:dyDescent="0.3">
      <c r="B20" s="148"/>
      <c r="C20" s="90"/>
      <c r="D20" s="85"/>
      <c r="E20" s="85"/>
      <c r="F20" s="89"/>
      <c r="G20" s="85"/>
      <c r="H20" s="82"/>
      <c r="I20" s="82"/>
    </row>
    <row r="21" spans="2:9" ht="49.95" customHeight="1" x14ac:dyDescent="0.3">
      <c r="B21" s="148"/>
      <c r="C21" s="84"/>
      <c r="D21" s="85"/>
      <c r="E21" s="85"/>
      <c r="F21" s="89"/>
      <c r="G21" s="85"/>
      <c r="H21" s="82"/>
      <c r="I21" s="82"/>
    </row>
    <row r="22" spans="2:9" ht="34.950000000000003" customHeight="1" x14ac:dyDescent="0.3">
      <c r="B22" s="148"/>
      <c r="C22" s="84"/>
      <c r="D22" s="85"/>
      <c r="E22" s="85"/>
      <c r="F22" s="84"/>
      <c r="G22" s="85"/>
      <c r="H22" s="82"/>
      <c r="I22" s="82"/>
    </row>
    <row r="23" spans="2:9" ht="34.950000000000003" customHeight="1" x14ac:dyDescent="0.3">
      <c r="B23" s="148"/>
      <c r="C23" s="84"/>
      <c r="D23" s="85"/>
      <c r="E23" s="85"/>
      <c r="F23" s="84"/>
      <c r="G23" s="85"/>
      <c r="H23" s="82"/>
      <c r="I23" s="82"/>
    </row>
    <row r="24" spans="2:9" ht="34.950000000000003" customHeight="1" x14ac:dyDescent="0.3">
      <c r="B24" s="148"/>
      <c r="C24" s="84"/>
      <c r="D24" s="85"/>
      <c r="E24" s="85"/>
      <c r="F24" s="84"/>
      <c r="G24" s="85"/>
      <c r="H24" s="82"/>
      <c r="I24" s="82"/>
    </row>
    <row r="25" spans="2:9" ht="34.950000000000003" customHeight="1" x14ac:dyDescent="0.3">
      <c r="B25" s="148"/>
      <c r="C25" s="84"/>
      <c r="D25" s="85"/>
      <c r="E25" s="85"/>
      <c r="F25" s="84"/>
      <c r="G25" s="85"/>
      <c r="H25" s="82"/>
      <c r="I25" s="82"/>
    </row>
    <row r="26" spans="2:9" ht="34.950000000000003" customHeight="1" x14ac:dyDescent="0.3">
      <c r="B26" s="148"/>
      <c r="C26" s="84"/>
      <c r="D26" s="85"/>
      <c r="E26" s="85"/>
      <c r="F26" s="84"/>
      <c r="G26" s="85"/>
      <c r="H26" s="82"/>
      <c r="I26" s="82"/>
    </row>
  </sheetData>
  <mergeCells count="22">
    <mergeCell ref="B2:B26"/>
    <mergeCell ref="H5:I5"/>
    <mergeCell ref="E5:G5"/>
    <mergeCell ref="C12:G13"/>
    <mergeCell ref="C14:D14"/>
    <mergeCell ref="E14:F14"/>
    <mergeCell ref="C11:G11"/>
    <mergeCell ref="E8:E9"/>
    <mergeCell ref="F8:G9"/>
    <mergeCell ref="C15:D16"/>
    <mergeCell ref="E15:F16"/>
    <mergeCell ref="G15:G16"/>
    <mergeCell ref="F19:G19"/>
    <mergeCell ref="F17:G17"/>
    <mergeCell ref="H17:I17"/>
    <mergeCell ref="C17:E17"/>
    <mergeCell ref="E6:G7"/>
    <mergeCell ref="H6:I9"/>
    <mergeCell ref="H14:I14"/>
    <mergeCell ref="H11:I11"/>
    <mergeCell ref="C6:C10"/>
    <mergeCell ref="D6:D10"/>
  </mergeCells>
  <pageMargins left="7.874015748031496E-2" right="7.874015748031496E-2" top="0.55118110236220474" bottom="0.55118110236220474" header="0.31496062992125984" footer="0.31496062992125984"/>
  <pageSetup paperSize="9" scale="44" orientation="landscape" r:id="rId1"/>
  <headerFooter>
    <oddHeader>&amp;C&amp;G</oddHeader>
  </headerFooter>
  <legacyDrawingHF r:id="rId2"/>
  <extLst>
    <ext xmlns:x14="http://schemas.microsoft.com/office/spreadsheetml/2009/9/main" uri="{CCE6A557-97BC-4b89-ADB6-D9C93CAAB3DF}">
      <x14:dataValidations xmlns:xm="http://schemas.microsoft.com/office/excel/2006/main" count="2">
        <x14:dataValidation type="list" allowBlank="1" showInputMessage="1" showErrorMessage="1" xr:uid="{FBC7FB5B-CEB8-4B59-808E-52B4A10CA12F}">
          <x14:formula1>
            <xm:f>Valores!$F$32:$F$34</xm:f>
          </x14:formula1>
          <xm:sqref>F10</xm:sqref>
        </x14:dataValidation>
        <x14:dataValidation type="list" allowBlank="1" showInputMessage="1" showErrorMessage="1" xr:uid="{487898BC-A2AF-4A5C-B094-A81B990A9268}">
          <x14:formula1>
            <xm:f>Valores!$F$37:$F$40</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D6A2-43FA-4522-8346-73A00C36CEFF}">
  <sheetPr filterMode="1"/>
  <dimension ref="A2:X76"/>
  <sheetViews>
    <sheetView showGridLines="0" tabSelected="1" zoomScale="80" zoomScaleNormal="80" workbookViewId="0">
      <pane xSplit="4" topLeftCell="J1" activePane="topRight" state="frozen"/>
      <selection pane="topRight" activeCell="R6" sqref="R6"/>
    </sheetView>
  </sheetViews>
  <sheetFormatPr defaultColWidth="2.44140625" defaultRowHeight="14.4" x14ac:dyDescent="0.3"/>
  <cols>
    <col min="1" max="1" width="3.33203125" style="58" bestFit="1" customWidth="1"/>
    <col min="2" max="2" width="2.6640625" style="59" bestFit="1" customWidth="1"/>
    <col min="3" max="3" width="14.5546875" style="60" customWidth="1"/>
    <col min="4" max="4" width="53.6640625" style="61" customWidth="1"/>
    <col min="5" max="5" width="17.6640625" style="61" customWidth="1"/>
    <col min="6" max="6" width="13.44140625" style="62" customWidth="1"/>
    <col min="7" max="8" width="10.33203125" style="59" customWidth="1"/>
    <col min="9" max="9" width="11" style="59" customWidth="1"/>
    <col min="10" max="10" width="13.5546875" style="59" customWidth="1"/>
    <col min="11" max="11" width="16.33203125" style="59" customWidth="1"/>
    <col min="12" max="12" width="12.44140625" style="59" customWidth="1"/>
    <col min="13" max="14" width="10.6640625" style="59" customWidth="1"/>
    <col min="15" max="15" width="10.109375" style="59" customWidth="1"/>
    <col min="16" max="17" width="12.33203125" style="59" customWidth="1"/>
    <col min="18" max="18" width="15" style="59" bestFit="1" customWidth="1"/>
    <col min="19" max="19" width="12.44140625" style="59" bestFit="1" customWidth="1"/>
    <col min="20" max="20" width="11.88671875" style="59" customWidth="1"/>
    <col min="21" max="21" width="10.109375" style="59" customWidth="1"/>
    <col min="22" max="22" width="12.88671875" style="59" customWidth="1"/>
    <col min="23" max="23" width="14.109375" style="59" customWidth="1"/>
    <col min="24" max="24" width="15.5546875" style="63" customWidth="1"/>
    <col min="25" max="16384" width="2.44140625" style="63"/>
  </cols>
  <sheetData>
    <row r="2" spans="1:24" x14ac:dyDescent="0.3">
      <c r="C2" s="64" t="str">
        <f>'FICHA PROJETO'!D2</f>
        <v>ALMA for Stores / RH / Product</v>
      </c>
      <c r="D2" s="59"/>
      <c r="E2" s="63"/>
      <c r="F2" s="59" t="s">
        <v>41</v>
      </c>
      <c r="J2" s="65">
        <f>MAX(SEGUIMIENTO!B:B)</f>
        <v>45611</v>
      </c>
      <c r="L2" s="63"/>
      <c r="Q2" s="66"/>
    </row>
    <row r="3" spans="1:24" x14ac:dyDescent="0.3">
      <c r="C3" s="64"/>
      <c r="D3" s="59"/>
      <c r="E3" s="59"/>
    </row>
    <row r="4" spans="1:24" x14ac:dyDescent="0.3">
      <c r="F4" s="161" t="s">
        <v>42</v>
      </c>
      <c r="G4" s="161"/>
      <c r="H4" s="161"/>
      <c r="I4" s="161"/>
      <c r="J4" s="161"/>
      <c r="K4" s="161"/>
      <c r="L4" s="162" t="s">
        <v>43</v>
      </c>
      <c r="M4" s="163"/>
      <c r="N4" s="163"/>
      <c r="O4" s="163"/>
      <c r="P4" s="163"/>
      <c r="Q4" s="163"/>
      <c r="R4" s="163"/>
      <c r="S4" s="164"/>
      <c r="T4" s="165" t="s">
        <v>44</v>
      </c>
      <c r="U4" s="161"/>
      <c r="V4" s="161"/>
      <c r="W4" s="161"/>
    </row>
    <row r="5" spans="1:24" s="78" customFormat="1" ht="28.8" x14ac:dyDescent="0.3">
      <c r="A5" s="67"/>
      <c r="B5" s="68"/>
      <c r="C5" s="69" t="s">
        <v>45</v>
      </c>
      <c r="D5" s="69" t="s">
        <v>46</v>
      </c>
      <c r="E5" s="70" t="s">
        <v>47</v>
      </c>
      <c r="F5" s="71" t="s">
        <v>30</v>
      </c>
      <c r="G5" s="72" t="s">
        <v>48</v>
      </c>
      <c r="H5" s="72" t="s">
        <v>49</v>
      </c>
      <c r="I5" s="72" t="s">
        <v>50</v>
      </c>
      <c r="J5" s="72" t="s">
        <v>31</v>
      </c>
      <c r="K5" s="72" t="s">
        <v>51</v>
      </c>
      <c r="L5" s="81" t="s">
        <v>30</v>
      </c>
      <c r="M5" s="74" t="s">
        <v>52</v>
      </c>
      <c r="N5" s="73" t="s">
        <v>53</v>
      </c>
      <c r="O5" s="73" t="s">
        <v>48</v>
      </c>
      <c r="P5" s="75" t="s">
        <v>54</v>
      </c>
      <c r="Q5" s="73" t="s">
        <v>55</v>
      </c>
      <c r="R5" s="73" t="s">
        <v>56</v>
      </c>
      <c r="S5" s="73" t="s">
        <v>57</v>
      </c>
      <c r="T5" s="76" t="s">
        <v>58</v>
      </c>
      <c r="U5" s="77" t="s">
        <v>59</v>
      </c>
      <c r="V5" s="77" t="s">
        <v>60</v>
      </c>
      <c r="W5" s="77" t="s">
        <v>61</v>
      </c>
      <c r="X5" s="78" t="s">
        <v>62</v>
      </c>
    </row>
    <row r="6" spans="1:24" s="118" customFormat="1" x14ac:dyDescent="0.3">
      <c r="A6" s="111"/>
      <c r="B6" s="64" t="s">
        <v>63</v>
      </c>
      <c r="C6" s="112" t="str">
        <f>'FICHA PROJETO'!I2</f>
        <v>PR.0079</v>
      </c>
      <c r="D6" s="113" t="str">
        <f>'FICHA PROJETO'!$D$2</f>
        <v>ALMA for Stores / RH / Product</v>
      </c>
      <c r="E6" s="113"/>
      <c r="F6" s="114">
        <f>IF(MIN(F7:F76)=0,$J$2,MIN(F7:F76))</f>
        <v>45299</v>
      </c>
      <c r="G6" s="115">
        <f>IF(J6="",0,NETWORKDAYS(F6,J6))</f>
        <v>191</v>
      </c>
      <c r="H6" s="116">
        <f>+H7+H13+H20+H24+H27+H33+H38+H53+H59+H65+H41+H47</f>
        <v>231</v>
      </c>
      <c r="I6" s="116">
        <f>+I7+I13+I20+I24+I27+I33+I38+I53+I59+I65+I41+I47</f>
        <v>231</v>
      </c>
      <c r="J6" s="114">
        <f>IF(MAX(J7:J76)=0,$J$2,MAX(J7:J76))</f>
        <v>45565</v>
      </c>
      <c r="K6" s="116"/>
      <c r="L6" s="114">
        <f>IF(MIN(L7:L76)=0,$J$2,MIN(L7:L76))</f>
        <v>45299</v>
      </c>
      <c r="M6" s="116">
        <f>+M7+M13+M20+M24+M27+M33+M38+M53+M59+M65+M41+M47</f>
        <v>231</v>
      </c>
      <c r="N6" s="116">
        <f>+N7+N13+N20+N24+N27+N33+N38+N53+N59+N65+N41+N47</f>
        <v>0</v>
      </c>
      <c r="O6" s="116">
        <f>+O7+O13+O20+O24+O27+O33+O38+O53+O59+O65+O41+O47</f>
        <v>428</v>
      </c>
      <c r="P6" s="114">
        <f>IF(MAX(P7:P76)=0,$J$2,MAX(P7:P76))</f>
        <v>45611</v>
      </c>
      <c r="Q6" s="114">
        <f>IF(MAX(Q7:Q76)=0,$J$2,MAX(Q7:Q76))</f>
        <v>45611</v>
      </c>
      <c r="R6" s="116" t="s">
        <v>64</v>
      </c>
      <c r="S6" s="116" t="str">
        <f>IF(V6=1,"Concluído",IF(V6=0,"Não iniciado","Em progresso"))</f>
        <v>Concluído</v>
      </c>
      <c r="T6" s="116">
        <f t="shared" ref="T6:T12" si="0">IF(L6="",0,IF(L6="",IF(F6&gt;$J$2,0,_xlfn.DAYS($J$2,F6)),_xlfn.DAYS(L6,F6)))</f>
        <v>0</v>
      </c>
      <c r="U6" s="116">
        <f>IF(J6="",0,_xlfn.DAYS(Q6,J6))</f>
        <v>46</v>
      </c>
      <c r="V6" s="117">
        <f>IF(M6=0,0,M6/SUM(M6:N6))</f>
        <v>1</v>
      </c>
      <c r="W6" s="117">
        <f>IF(I6=0,0,I6/H6)</f>
        <v>1</v>
      </c>
    </row>
    <row r="7" spans="1:24" x14ac:dyDescent="0.3">
      <c r="A7" s="58">
        <v>1</v>
      </c>
      <c r="B7" s="59" t="s">
        <v>65</v>
      </c>
      <c r="C7" s="98" t="str">
        <f>$C$6&amp;"."&amp;$A$7</f>
        <v>PR.0079.1</v>
      </c>
      <c r="D7" s="98" t="s">
        <v>66</v>
      </c>
      <c r="E7" s="99"/>
      <c r="F7" s="100">
        <f>IF(MIN(F8:F12)=0,$J$2,MIN(F8:F12))</f>
        <v>45306</v>
      </c>
      <c r="G7" s="101">
        <f>IF(J7="",0,NETWORKDAYS(F7,J7))</f>
        <v>10</v>
      </c>
      <c r="H7" s="102">
        <f>SUM(H8:H12)</f>
        <v>21</v>
      </c>
      <c r="I7" s="102">
        <f>SUM(I8:I12)</f>
        <v>21</v>
      </c>
      <c r="J7" s="100">
        <f>IF(MAX(J8:J12)=0,$J$2,MAX(J8:J12))</f>
        <v>45317</v>
      </c>
      <c r="K7" s="102"/>
      <c r="L7" s="100">
        <f>IF(MIN(L8:L12)=0,$J$2,MIN(L8:L12))</f>
        <v>45306</v>
      </c>
      <c r="M7" s="102">
        <f>SUM(M8:M12)</f>
        <v>21</v>
      </c>
      <c r="N7" s="102">
        <f>SUM(N8:N12)</f>
        <v>0</v>
      </c>
      <c r="O7" s="101">
        <f>IF(L7="",NETWORKDAYS($J$2,Q7),NETWORKDAYS(L7,Q7))</f>
        <v>18</v>
      </c>
      <c r="P7" s="100">
        <f>IF(MAX(P8:P12)=0,$J$2,MAX(P8:P12))</f>
        <v>45329</v>
      </c>
      <c r="Q7" s="119">
        <f>IF(MAX(Q8:Q12)=0,$J$2,MAX(Q8:Q12))</f>
        <v>45329</v>
      </c>
      <c r="R7" s="102" t="s">
        <v>64</v>
      </c>
      <c r="S7" s="97" t="str">
        <f>IF(V7=1,"Concluído",IF(V7=0,"Não iniciado","Em progresso"))</f>
        <v>Concluído</v>
      </c>
      <c r="T7" s="102">
        <f t="shared" si="0"/>
        <v>0</v>
      </c>
      <c r="U7" s="102">
        <f>IF(J7="",0,_xlfn.DAYS(Q7,J7))</f>
        <v>12</v>
      </c>
      <c r="V7" s="103">
        <f t="shared" ref="V7:V12" si="1">IF(M7=0,0,M7/SUM(M7:N7))</f>
        <v>1</v>
      </c>
      <c r="W7" s="103">
        <f>IF(I7=0,0,I7/H7)</f>
        <v>1</v>
      </c>
    </row>
    <row r="8" spans="1:24" ht="28.8" x14ac:dyDescent="0.3">
      <c r="A8" s="58">
        <v>1</v>
      </c>
      <c r="B8" s="59" t="s">
        <v>67</v>
      </c>
      <c r="C8" s="93" t="str">
        <f>$C$7&amp;"."&amp;A8</f>
        <v>PR.0079.1.1</v>
      </c>
      <c r="D8" s="104" t="s">
        <v>68</v>
      </c>
      <c r="E8" s="92" t="s">
        <v>69</v>
      </c>
      <c r="F8" s="95">
        <v>45306</v>
      </c>
      <c r="G8" s="96">
        <f t="shared" ref="G8:G12" si="2">IF(J8="",0,NETWORKDAYS(F8,J8))</f>
        <v>5</v>
      </c>
      <c r="H8" s="96">
        <f t="shared" ref="H8:H12" si="3">G8</f>
        <v>5</v>
      </c>
      <c r="I8" s="96">
        <f t="shared" ref="I8:I9" si="4">IF(H8=0,0,IF($J$2&gt;J8,-IF(J8&lt;$J$2,NETWORKDAYS(J8,F8),NETWORKDAYS($J$2,F8)),IF($J$2&gt;F8,-IF(J8&lt;$J$2,NETWORKDAYS(J8,F8),NETWORKDAYS($J$2,F8)),IF(F8&gt;$J$2,0,NETWORKDAYS($J$2,F8)))))</f>
        <v>5</v>
      </c>
      <c r="J8" s="95">
        <v>45310</v>
      </c>
      <c r="K8" s="96"/>
      <c r="L8" s="95">
        <v>45306</v>
      </c>
      <c r="M8" s="96">
        <v>5</v>
      </c>
      <c r="N8" s="96">
        <f>H8-M8</f>
        <v>0</v>
      </c>
      <c r="O8" s="105">
        <f t="shared" ref="O8:O12" si="5">IF(L8="",NETWORKDAYS($J$2,Q8),NETWORKDAYS(L8,Q8))</f>
        <v>5</v>
      </c>
      <c r="P8" s="95">
        <f t="shared" ref="P8:P12" si="6">IF(F8&gt;$J$2,F8+N8-1,IF(AND(L8="",F8&gt;=$J$2),F8+N8,L8+N8))</f>
        <v>45306</v>
      </c>
      <c r="Q8" s="95">
        <f>IF(P8&lt;J8,J8,P8)</f>
        <v>45310</v>
      </c>
      <c r="R8" s="97" t="s">
        <v>64</v>
      </c>
      <c r="S8" s="97" t="str">
        <f t="shared" ref="S8:S76" si="7">IF(V8=1,"Concluído",IF(V8=0,"Não iniciado","Em progresso"))</f>
        <v>Concluído</v>
      </c>
      <c r="T8" s="96">
        <f t="shared" si="0"/>
        <v>0</v>
      </c>
      <c r="U8" s="96">
        <f t="shared" ref="U8:U12" si="8">IF(J8="",0,_xlfn.DAYS(Q8,J8))</f>
        <v>0</v>
      </c>
      <c r="V8" s="79">
        <f t="shared" si="1"/>
        <v>1</v>
      </c>
      <c r="W8" s="80">
        <f t="shared" ref="W8:W12" si="9">IF(I8=0,0,I8/H8)</f>
        <v>1</v>
      </c>
    </row>
    <row r="9" spans="1:24" ht="28.8" x14ac:dyDescent="0.3">
      <c r="A9" s="58">
        <v>2</v>
      </c>
      <c r="B9" s="59" t="s">
        <v>67</v>
      </c>
      <c r="C9" s="93" t="str">
        <f t="shared" ref="C9:C12" si="10">$C$7&amp;"."&amp;A9</f>
        <v>PR.0079.1.2</v>
      </c>
      <c r="D9" s="104" t="s">
        <v>70</v>
      </c>
      <c r="E9" s="92" t="s">
        <v>69</v>
      </c>
      <c r="F9" s="95">
        <v>45306</v>
      </c>
      <c r="G9" s="96">
        <f t="shared" si="2"/>
        <v>5</v>
      </c>
      <c r="H9" s="96">
        <f t="shared" si="3"/>
        <v>5</v>
      </c>
      <c r="I9" s="96">
        <f t="shared" si="4"/>
        <v>5</v>
      </c>
      <c r="J9" s="95">
        <v>45310</v>
      </c>
      <c r="K9" s="96"/>
      <c r="L9" s="95">
        <v>45306</v>
      </c>
      <c r="M9" s="96">
        <v>5</v>
      </c>
      <c r="N9" s="96">
        <f t="shared" ref="N9:N12" si="11">H9-M9</f>
        <v>0</v>
      </c>
      <c r="O9" s="105">
        <f t="shared" si="5"/>
        <v>5</v>
      </c>
      <c r="P9" s="95">
        <f t="shared" si="6"/>
        <v>45306</v>
      </c>
      <c r="Q9" s="95">
        <f t="shared" ref="Q9:Q15" si="12">IF(P9&lt;J9,J9,P9)</f>
        <v>45310</v>
      </c>
      <c r="R9" s="97" t="s">
        <v>64</v>
      </c>
      <c r="S9" s="97" t="str">
        <f t="shared" si="7"/>
        <v>Concluído</v>
      </c>
      <c r="T9" s="96">
        <f t="shared" si="0"/>
        <v>0</v>
      </c>
      <c r="U9" s="96">
        <f t="shared" si="8"/>
        <v>0</v>
      </c>
      <c r="V9" s="79">
        <f t="shared" si="1"/>
        <v>1</v>
      </c>
      <c r="W9" s="80">
        <f t="shared" si="9"/>
        <v>1</v>
      </c>
    </row>
    <row r="10" spans="1:24" ht="28.8" x14ac:dyDescent="0.3">
      <c r="A10" s="58">
        <v>3</v>
      </c>
      <c r="B10" s="59" t="s">
        <v>67</v>
      </c>
      <c r="C10" s="93" t="str">
        <f t="shared" si="10"/>
        <v>PR.0079.1.3</v>
      </c>
      <c r="D10" s="104" t="s">
        <v>71</v>
      </c>
      <c r="E10" s="92" t="s">
        <v>69</v>
      </c>
      <c r="F10" s="95">
        <v>45313</v>
      </c>
      <c r="G10" s="96">
        <f t="shared" ref="G10:G11" si="13">IF(J10="",0,NETWORKDAYS(F10,J10))</f>
        <v>5</v>
      </c>
      <c r="H10" s="96">
        <f t="shared" ref="H10:H11" si="14">G10</f>
        <v>5</v>
      </c>
      <c r="I10" s="96">
        <f t="shared" ref="I10:I11" si="15">IF(H10=0,0,IF($J$2&gt;J10,-IF(J10&lt;$J$2,NETWORKDAYS(J10,F10),NETWORKDAYS($J$2,F10)),IF($J$2&gt;F10,-IF(J10&lt;$J$2,NETWORKDAYS(J10,F10),NETWORKDAYS($J$2,F10)),IF(F10&gt;$J$2,0,NETWORKDAYS($J$2,F10)))))</f>
        <v>5</v>
      </c>
      <c r="J10" s="95">
        <v>45317</v>
      </c>
      <c r="K10" s="96"/>
      <c r="L10" s="95">
        <v>45306</v>
      </c>
      <c r="M10" s="96">
        <v>5</v>
      </c>
      <c r="N10" s="96">
        <f t="shared" si="11"/>
        <v>0</v>
      </c>
      <c r="O10" s="105">
        <f t="shared" si="5"/>
        <v>10</v>
      </c>
      <c r="P10" s="95"/>
      <c r="Q10" s="95">
        <f t="shared" si="12"/>
        <v>45317</v>
      </c>
      <c r="R10" s="97" t="s">
        <v>64</v>
      </c>
      <c r="S10" s="97" t="str">
        <f t="shared" si="7"/>
        <v>Concluído</v>
      </c>
      <c r="T10" s="96">
        <f t="shared" ref="T10:T11" si="16">IF(L10="",0,IF(L10="",IF(F10&gt;$J$2,0,_xlfn.DAYS($J$2,F10)),_xlfn.DAYS(L10,F10)))</f>
        <v>-7</v>
      </c>
      <c r="U10" s="96">
        <f t="shared" ref="U10:U11" si="17">IF(J10="",0,_xlfn.DAYS(Q10,J10))</f>
        <v>0</v>
      </c>
      <c r="V10" s="79">
        <f t="shared" ref="V10:V11" si="18">IF(M10=0,0,M10/SUM(M10:N10))</f>
        <v>1</v>
      </c>
      <c r="W10" s="80">
        <f t="shared" ref="W10:W11" si="19">IF(I10=0,0,I10/H10)</f>
        <v>1</v>
      </c>
    </row>
    <row r="11" spans="1:24" ht="28.8" x14ac:dyDescent="0.3">
      <c r="A11" s="58">
        <v>4</v>
      </c>
      <c r="B11" s="59" t="s">
        <v>67</v>
      </c>
      <c r="C11" s="93" t="str">
        <f t="shared" si="10"/>
        <v>PR.0079.1.4</v>
      </c>
      <c r="D11" s="104" t="s">
        <v>72</v>
      </c>
      <c r="E11" s="92" t="s">
        <v>69</v>
      </c>
      <c r="F11" s="95">
        <v>45313</v>
      </c>
      <c r="G11" s="96">
        <f t="shared" si="13"/>
        <v>5</v>
      </c>
      <c r="H11" s="96">
        <f t="shared" si="14"/>
        <v>5</v>
      </c>
      <c r="I11" s="96">
        <f t="shared" si="15"/>
        <v>5</v>
      </c>
      <c r="J11" s="95">
        <v>45317</v>
      </c>
      <c r="K11" s="96"/>
      <c r="L11" s="95">
        <v>45306</v>
      </c>
      <c r="M11" s="96">
        <v>5</v>
      </c>
      <c r="N11" s="96">
        <f t="shared" si="11"/>
        <v>0</v>
      </c>
      <c r="O11" s="105">
        <f t="shared" si="5"/>
        <v>10</v>
      </c>
      <c r="P11" s="95"/>
      <c r="Q11" s="95">
        <f t="shared" si="12"/>
        <v>45317</v>
      </c>
      <c r="R11" s="97" t="s">
        <v>64</v>
      </c>
      <c r="S11" s="97" t="str">
        <f t="shared" si="7"/>
        <v>Concluído</v>
      </c>
      <c r="T11" s="96">
        <f t="shared" si="16"/>
        <v>-7</v>
      </c>
      <c r="U11" s="96">
        <f t="shared" si="17"/>
        <v>0</v>
      </c>
      <c r="V11" s="79">
        <f t="shared" si="18"/>
        <v>1</v>
      </c>
      <c r="W11" s="80">
        <f t="shared" si="19"/>
        <v>1</v>
      </c>
    </row>
    <row r="12" spans="1:24" x14ac:dyDescent="0.3">
      <c r="A12" s="58">
        <v>5</v>
      </c>
      <c r="B12" s="59" t="s">
        <v>73</v>
      </c>
      <c r="C12" s="93" t="str">
        <f t="shared" si="10"/>
        <v>PR.0079.1.5</v>
      </c>
      <c r="D12" s="92" t="s">
        <v>74</v>
      </c>
      <c r="E12" s="92"/>
      <c r="F12" s="95">
        <v>45317</v>
      </c>
      <c r="G12" s="96">
        <f t="shared" si="2"/>
        <v>1</v>
      </c>
      <c r="H12" s="96">
        <f t="shared" si="3"/>
        <v>1</v>
      </c>
      <c r="I12" s="96">
        <v>1</v>
      </c>
      <c r="J12" s="95">
        <v>45317</v>
      </c>
      <c r="K12" s="96"/>
      <c r="L12" s="95">
        <v>45329</v>
      </c>
      <c r="M12" s="96">
        <v>1</v>
      </c>
      <c r="N12" s="96">
        <f t="shared" si="11"/>
        <v>0</v>
      </c>
      <c r="O12" s="105">
        <f t="shared" si="5"/>
        <v>1</v>
      </c>
      <c r="P12" s="95">
        <f t="shared" si="6"/>
        <v>45329</v>
      </c>
      <c r="Q12" s="95">
        <f t="shared" si="12"/>
        <v>45329</v>
      </c>
      <c r="R12" s="97" t="s">
        <v>64</v>
      </c>
      <c r="S12" s="97" t="str">
        <f t="shared" si="7"/>
        <v>Concluído</v>
      </c>
      <c r="T12" s="96">
        <f t="shared" si="0"/>
        <v>12</v>
      </c>
      <c r="U12" s="96">
        <f t="shared" si="8"/>
        <v>12</v>
      </c>
      <c r="V12" s="79">
        <f t="shared" si="1"/>
        <v>1</v>
      </c>
      <c r="W12" s="80">
        <f t="shared" si="9"/>
        <v>1</v>
      </c>
    </row>
    <row r="13" spans="1:24" x14ac:dyDescent="0.3">
      <c r="A13" s="58">
        <v>2</v>
      </c>
      <c r="B13" s="59" t="s">
        <v>65</v>
      </c>
      <c r="C13" s="98" t="str">
        <f>$C$6&amp;"."&amp;A13</f>
        <v>PR.0079.2</v>
      </c>
      <c r="D13" s="98" t="s">
        <v>75</v>
      </c>
      <c r="E13" s="99"/>
      <c r="F13" s="100">
        <f>IF(MIN(F14:F19)=0,$J$2,MIN(F14:F19))</f>
        <v>45299</v>
      </c>
      <c r="G13" s="101">
        <f>IF(J13="",0,NETWORKDAYS(F13,J13))</f>
        <v>25</v>
      </c>
      <c r="H13" s="102">
        <f>SUM(H14:H19)</f>
        <v>41</v>
      </c>
      <c r="I13" s="102">
        <f>SUM(I14:I19)</f>
        <v>41</v>
      </c>
      <c r="J13" s="100">
        <f>IF(MAX(J14:J19)=0,$J$2,MAX(J14:J19))</f>
        <v>45331</v>
      </c>
      <c r="K13" s="102"/>
      <c r="L13" s="100">
        <f>IF(MIN(L14:L19)=0,$J$2,MIN(L14:L19))</f>
        <v>45299</v>
      </c>
      <c r="M13" s="102">
        <f t="shared" ref="M13:N13" si="20">SUM(M14:M19)</f>
        <v>41</v>
      </c>
      <c r="N13" s="102">
        <f t="shared" si="20"/>
        <v>0</v>
      </c>
      <c r="O13" s="101">
        <f>IF(L13="",NETWORKDAYS($J$2,Q13),NETWORKDAYS(L13,Q13))</f>
        <v>37</v>
      </c>
      <c r="P13" s="100">
        <f>IF(MAX(P14:P19)=0,$J$2,MAX(P14:P19))</f>
        <v>45338</v>
      </c>
      <c r="Q13" s="119">
        <f>IF(MAX(Q14:Q19)=0,$J$2,MAX(Q14:Q19))</f>
        <v>45349</v>
      </c>
      <c r="R13" s="102" t="s">
        <v>64</v>
      </c>
      <c r="S13" s="97" t="str">
        <f t="shared" si="7"/>
        <v>Concluído</v>
      </c>
      <c r="T13" s="102">
        <f t="shared" ref="T13:T21" si="21">IF(L13="",0,IF(L13="",IF(F13&gt;$J$2,0,_xlfn.DAYS($J$2,F13)),_xlfn.DAYS(L13,F13)))</f>
        <v>0</v>
      </c>
      <c r="U13" s="102">
        <f>IF(J13="",0,_xlfn.DAYS(Q13,J13))</f>
        <v>18</v>
      </c>
      <c r="V13" s="103">
        <f t="shared" ref="V13:V21" si="22">IF(M13=0,0,M13/SUM(M13:N13))</f>
        <v>1</v>
      </c>
      <c r="W13" s="103">
        <f t="shared" ref="W13:W21" si="23">IF(I13=0,0,I13/H13)</f>
        <v>1</v>
      </c>
    </row>
    <row r="14" spans="1:24" x14ac:dyDescent="0.3">
      <c r="A14" s="58">
        <v>1</v>
      </c>
      <c r="B14" s="59" t="s">
        <v>67</v>
      </c>
      <c r="C14" s="93" t="str">
        <f t="shared" ref="C14:C19" si="24">$C$13&amp;"."&amp;A14</f>
        <v>PR.0079.2.1</v>
      </c>
      <c r="D14" s="106" t="s">
        <v>76</v>
      </c>
      <c r="E14" s="92" t="s">
        <v>77</v>
      </c>
      <c r="F14" s="95">
        <v>45299</v>
      </c>
      <c r="G14" s="96">
        <f t="shared" ref="G14:G23" si="25">IF(J14="",0,NETWORKDAYS(F14,J14))</f>
        <v>15</v>
      </c>
      <c r="H14" s="96">
        <f t="shared" ref="H14:H23" si="26">G14</f>
        <v>15</v>
      </c>
      <c r="I14" s="96">
        <f t="shared" ref="I14:I22" si="27">IF(H14=0,0,IF($J$2&gt;J14,-IF(J14&lt;$J$2,NETWORKDAYS(J14,F14),NETWORKDAYS($J$2,F14)),IF($J$2&gt;F14,-IF(J14&lt;$J$2,NETWORKDAYS(J14,F14),NETWORKDAYS($J$2,F14)),IF(F14&gt;$J$2,0,NETWORKDAYS($J$2,F14)))))</f>
        <v>15</v>
      </c>
      <c r="J14" s="95">
        <v>45317</v>
      </c>
      <c r="K14" s="96"/>
      <c r="L14" s="95">
        <v>45299</v>
      </c>
      <c r="M14" s="96">
        <v>15</v>
      </c>
      <c r="N14" s="96">
        <f t="shared" ref="N14:N15" si="28">H14-M14</f>
        <v>0</v>
      </c>
      <c r="O14" s="96">
        <f t="shared" ref="O14:O23" si="29">IF(L14="",NETWORKDAYS($J$2,Q14),NETWORKDAYS(L14,Q14))</f>
        <v>15</v>
      </c>
      <c r="P14" s="95">
        <f t="shared" ref="P14:P21" si="30">IF(F14&gt;$J$2,F14+N14-1,IF(AND(L14="",F14&gt;=$J$2),F14+N14,L14+N14))</f>
        <v>45299</v>
      </c>
      <c r="Q14" s="95">
        <f t="shared" si="12"/>
        <v>45317</v>
      </c>
      <c r="R14" s="97" t="s">
        <v>64</v>
      </c>
      <c r="S14" s="97" t="str">
        <f t="shared" si="7"/>
        <v>Concluído</v>
      </c>
      <c r="T14" s="96">
        <f t="shared" si="21"/>
        <v>0</v>
      </c>
      <c r="U14" s="96">
        <f t="shared" ref="U14:U21" si="31">IF(J14="",0,_xlfn.DAYS(Q14,J14))</f>
        <v>0</v>
      </c>
      <c r="V14" s="79">
        <f t="shared" si="22"/>
        <v>1</v>
      </c>
      <c r="W14" s="80">
        <f t="shared" si="23"/>
        <v>1</v>
      </c>
    </row>
    <row r="15" spans="1:24" x14ac:dyDescent="0.3">
      <c r="A15" s="58">
        <v>2</v>
      </c>
      <c r="B15" s="59" t="s">
        <v>67</v>
      </c>
      <c r="C15" s="93" t="str">
        <f t="shared" si="24"/>
        <v>PR.0079.2.2</v>
      </c>
      <c r="D15" s="106" t="s">
        <v>78</v>
      </c>
      <c r="E15" s="92" t="s">
        <v>77</v>
      </c>
      <c r="F15" s="95">
        <v>45320</v>
      </c>
      <c r="G15" s="96">
        <f t="shared" si="25"/>
        <v>5</v>
      </c>
      <c r="H15" s="96">
        <f t="shared" si="26"/>
        <v>5</v>
      </c>
      <c r="I15" s="96">
        <f t="shared" si="27"/>
        <v>5</v>
      </c>
      <c r="J15" s="95">
        <v>45324</v>
      </c>
      <c r="K15" s="96"/>
      <c r="L15" s="95">
        <v>45299</v>
      </c>
      <c r="M15" s="96">
        <v>5</v>
      </c>
      <c r="N15" s="96">
        <f t="shared" si="28"/>
        <v>0</v>
      </c>
      <c r="O15" s="96">
        <f t="shared" si="29"/>
        <v>20</v>
      </c>
      <c r="P15" s="95">
        <f t="shared" si="30"/>
        <v>45299</v>
      </c>
      <c r="Q15" s="95">
        <f t="shared" si="12"/>
        <v>45324</v>
      </c>
      <c r="R15" s="97" t="s">
        <v>64</v>
      </c>
      <c r="S15" s="97" t="str">
        <f t="shared" si="7"/>
        <v>Concluído</v>
      </c>
      <c r="T15" s="96">
        <f t="shared" si="21"/>
        <v>-21</v>
      </c>
      <c r="U15" s="96">
        <f t="shared" si="31"/>
        <v>0</v>
      </c>
      <c r="V15" s="79">
        <f t="shared" si="22"/>
        <v>1</v>
      </c>
      <c r="W15" s="80">
        <f t="shared" si="23"/>
        <v>1</v>
      </c>
    </row>
    <row r="16" spans="1:24" x14ac:dyDescent="0.3">
      <c r="A16" s="58">
        <v>3</v>
      </c>
      <c r="B16" s="59" t="s">
        <v>67</v>
      </c>
      <c r="C16" s="93" t="str">
        <f t="shared" si="24"/>
        <v>PR.0079.2.3</v>
      </c>
      <c r="D16" s="106" t="s">
        <v>79</v>
      </c>
      <c r="E16" s="92" t="s">
        <v>77</v>
      </c>
      <c r="F16" s="95">
        <v>45327</v>
      </c>
      <c r="G16" s="96">
        <f t="shared" si="25"/>
        <v>5</v>
      </c>
      <c r="H16" s="96">
        <f t="shared" si="26"/>
        <v>5</v>
      </c>
      <c r="I16" s="96">
        <f t="shared" si="27"/>
        <v>5</v>
      </c>
      <c r="J16" s="95">
        <v>45331</v>
      </c>
      <c r="K16" s="96"/>
      <c r="L16" s="95">
        <v>45327</v>
      </c>
      <c r="M16" s="96">
        <v>5</v>
      </c>
      <c r="N16" s="96">
        <f t="shared" ref="N16:N19" si="32">H16-M16</f>
        <v>0</v>
      </c>
      <c r="O16" s="96">
        <f t="shared" si="29"/>
        <v>17</v>
      </c>
      <c r="P16" s="95">
        <f t="shared" ref="P16:P19" si="33">IF(F16&gt;$J$2,F16+N16-1,IF(AND(L16="",F16&gt;=$J$2),F16+N16,L16+N16))</f>
        <v>45327</v>
      </c>
      <c r="Q16" s="95">
        <v>45349</v>
      </c>
      <c r="R16" s="97" t="s">
        <v>64</v>
      </c>
      <c r="S16" s="97" t="str">
        <f t="shared" si="7"/>
        <v>Concluído</v>
      </c>
      <c r="T16" s="96">
        <f t="shared" ref="T16:T19" si="34">IF(L16="",0,IF(L16="",IF(F16&gt;$J$2,0,_xlfn.DAYS($J$2,F16)),_xlfn.DAYS(L16,F16)))</f>
        <v>0</v>
      </c>
      <c r="U16" s="96">
        <f t="shared" ref="U16:U19" si="35">IF(J16="",0,_xlfn.DAYS(Q16,J16))</f>
        <v>18</v>
      </c>
      <c r="V16" s="79">
        <f t="shared" ref="V16:V19" si="36">IF(M16=0,0,M16/SUM(M16:N16))</f>
        <v>1</v>
      </c>
      <c r="W16" s="80">
        <f t="shared" ref="W16:W19" si="37">IF(I16=0,0,I16/H16)</f>
        <v>1</v>
      </c>
    </row>
    <row r="17" spans="1:23" x14ac:dyDescent="0.3">
      <c r="A17" s="58">
        <v>4</v>
      </c>
      <c r="B17" s="59" t="s">
        <v>67</v>
      </c>
      <c r="C17" s="93" t="str">
        <f t="shared" si="24"/>
        <v>PR.0079.2.4</v>
      </c>
      <c r="D17" s="106" t="s">
        <v>80</v>
      </c>
      <c r="E17" s="92" t="s">
        <v>77</v>
      </c>
      <c r="F17" s="95">
        <v>45320</v>
      </c>
      <c r="G17" s="96">
        <f>IF(J17="",0,NETWORKDAYS(F17,J17))</f>
        <v>10</v>
      </c>
      <c r="H17" s="96">
        <f>G17</f>
        <v>10</v>
      </c>
      <c r="I17" s="96">
        <f>IF(H17=0,0,IF($J$2&gt;J17,-IF(J17&lt;$J$2,NETWORKDAYS(J17,F17),NETWORKDAYS($J$2,F17)),IF($J$2&gt;F17,-IF(J17&lt;$J$2,NETWORKDAYS(J17,F17),NETWORKDAYS($J$2,F17)),IF(F17&gt;$J$2,0,NETWORKDAYS($J$2,F17)))))</f>
        <v>10</v>
      </c>
      <c r="J17" s="95">
        <v>45331</v>
      </c>
      <c r="K17" s="96"/>
      <c r="L17" s="95">
        <v>45320</v>
      </c>
      <c r="M17" s="96">
        <v>10</v>
      </c>
      <c r="N17" s="96">
        <f>H17-M17</f>
        <v>0</v>
      </c>
      <c r="O17" s="96">
        <f>IF(L17="",NETWORKDAYS($J$2,Q17),NETWORKDAYS(L17,Q17))</f>
        <v>10</v>
      </c>
      <c r="P17" s="95"/>
      <c r="Q17" s="95">
        <f>IF(P17&lt;J17,J17,P17)</f>
        <v>45331</v>
      </c>
      <c r="R17" s="97" t="s">
        <v>64</v>
      </c>
      <c r="S17" s="97" t="str">
        <f>IF(V17=1,"Concluído",IF(V17=0,"Não iniciado","Em progresso"))</f>
        <v>Concluído</v>
      </c>
      <c r="T17" s="96">
        <f>IF(L17="",0,IF(L17="",IF(F17&gt;$J$2,0,_xlfn.DAYS($J$2,F17)),_xlfn.DAYS(L17,F17)))</f>
        <v>0</v>
      </c>
      <c r="U17" s="96">
        <f>IF(J17="",0,_xlfn.DAYS(Q17,J17))</f>
        <v>0</v>
      </c>
      <c r="V17" s="79">
        <f>IF(M17=0,0,M17/SUM(M17:N17))</f>
        <v>1</v>
      </c>
      <c r="W17" s="80">
        <f>IF(I17=0,0,I17/H17)</f>
        <v>1</v>
      </c>
    </row>
    <row r="18" spans="1:23" ht="28.8" x14ac:dyDescent="0.3">
      <c r="A18" s="58">
        <v>5</v>
      </c>
      <c r="B18" s="59" t="s">
        <v>67</v>
      </c>
      <c r="C18" s="93" t="str">
        <f t="shared" si="24"/>
        <v>PR.0079.2.5</v>
      </c>
      <c r="D18" s="106" t="s">
        <v>81</v>
      </c>
      <c r="E18" s="92" t="s">
        <v>69</v>
      </c>
      <c r="F18" s="95">
        <v>45327</v>
      </c>
      <c r="G18" s="96">
        <f t="shared" si="25"/>
        <v>5</v>
      </c>
      <c r="H18" s="96">
        <f t="shared" si="26"/>
        <v>5</v>
      </c>
      <c r="I18" s="96">
        <f t="shared" si="27"/>
        <v>5</v>
      </c>
      <c r="J18" s="95">
        <v>45331</v>
      </c>
      <c r="K18" s="96"/>
      <c r="L18" s="95">
        <v>45327</v>
      </c>
      <c r="M18" s="96">
        <v>5</v>
      </c>
      <c r="N18" s="96">
        <f t="shared" si="32"/>
        <v>0</v>
      </c>
      <c r="O18" s="96">
        <f t="shared" si="29"/>
        <v>17</v>
      </c>
      <c r="P18" s="95">
        <f t="shared" si="33"/>
        <v>45327</v>
      </c>
      <c r="Q18" s="95">
        <v>45349</v>
      </c>
      <c r="R18" s="97" t="s">
        <v>64</v>
      </c>
      <c r="S18" s="97" t="str">
        <f t="shared" si="7"/>
        <v>Concluído</v>
      </c>
      <c r="T18" s="96">
        <f t="shared" si="34"/>
        <v>0</v>
      </c>
      <c r="U18" s="96">
        <f t="shared" si="35"/>
        <v>18</v>
      </c>
      <c r="V18" s="79">
        <f t="shared" si="36"/>
        <v>1</v>
      </c>
      <c r="W18" s="80">
        <f t="shared" si="37"/>
        <v>1</v>
      </c>
    </row>
    <row r="19" spans="1:23" x14ac:dyDescent="0.3">
      <c r="A19" s="58">
        <v>6</v>
      </c>
      <c r="B19" s="59" t="s">
        <v>73</v>
      </c>
      <c r="C19" s="93" t="str">
        <f t="shared" si="24"/>
        <v>PR.0079.2.6</v>
      </c>
      <c r="D19" s="92" t="s">
        <v>82</v>
      </c>
      <c r="E19" s="92"/>
      <c r="F19" s="95">
        <v>45331</v>
      </c>
      <c r="G19" s="96">
        <f t="shared" si="25"/>
        <v>1</v>
      </c>
      <c r="H19" s="96">
        <f t="shared" si="26"/>
        <v>1</v>
      </c>
      <c r="I19" s="96">
        <v>1</v>
      </c>
      <c r="J19" s="95">
        <v>45331</v>
      </c>
      <c r="K19" s="96"/>
      <c r="L19" s="95">
        <v>45338</v>
      </c>
      <c r="M19" s="96">
        <v>1</v>
      </c>
      <c r="N19" s="96">
        <f t="shared" si="32"/>
        <v>0</v>
      </c>
      <c r="O19" s="96">
        <f t="shared" si="29"/>
        <v>1</v>
      </c>
      <c r="P19" s="95">
        <f t="shared" si="33"/>
        <v>45338</v>
      </c>
      <c r="Q19" s="95">
        <f t="shared" ref="Q19" si="38">IF(P19&lt;J19,J19,P19)</f>
        <v>45338</v>
      </c>
      <c r="R19" s="97" t="s">
        <v>64</v>
      </c>
      <c r="S19" s="97" t="str">
        <f t="shared" si="7"/>
        <v>Concluído</v>
      </c>
      <c r="T19" s="96">
        <f t="shared" si="34"/>
        <v>7</v>
      </c>
      <c r="U19" s="96">
        <f t="shared" si="35"/>
        <v>7</v>
      </c>
      <c r="V19" s="79">
        <f t="shared" si="36"/>
        <v>1</v>
      </c>
      <c r="W19" s="80">
        <f t="shared" si="37"/>
        <v>1</v>
      </c>
    </row>
    <row r="20" spans="1:23" x14ac:dyDescent="0.3">
      <c r="A20" s="58">
        <v>3</v>
      </c>
      <c r="B20" s="59" t="s">
        <v>65</v>
      </c>
      <c r="C20" s="98" t="str">
        <f>$C$6&amp;"."&amp;A20</f>
        <v>PR.0079.3</v>
      </c>
      <c r="D20" s="98" t="s">
        <v>83</v>
      </c>
      <c r="E20" s="99"/>
      <c r="F20" s="100">
        <f>IF(MIN(F21:F23)=0,$J$2,MIN(F21:F23))</f>
        <v>45334</v>
      </c>
      <c r="G20" s="101">
        <f>IF(J20="",0,NETWORKDAYS(F20,J20))</f>
        <v>10</v>
      </c>
      <c r="H20" s="102">
        <f>SUM(H21:H23)</f>
        <v>16</v>
      </c>
      <c r="I20" s="102">
        <f>SUM(I21:I23)</f>
        <v>16</v>
      </c>
      <c r="J20" s="100">
        <f>IF(MAX(J21:J23)=0,$J$2,MAX(J21:J23))</f>
        <v>45345</v>
      </c>
      <c r="K20" s="102"/>
      <c r="L20" s="100">
        <f>IF(MIN(L21:L23)=0,$J$2,MIN(L21:L23))</f>
        <v>45348</v>
      </c>
      <c r="M20" s="102">
        <f>SUM(M21:M23)</f>
        <v>16</v>
      </c>
      <c r="N20" s="102">
        <f>SUM(N21:N23)</f>
        <v>0</v>
      </c>
      <c r="O20" s="101">
        <f>IF(L20="",NETWORKDAYS($J$2,Q20),NETWORKDAYS(L20,Q20))</f>
        <v>16</v>
      </c>
      <c r="P20" s="100">
        <f>IF(MAX(P21:P23)=0,$J$2,MAX(P21:P23))</f>
        <v>45369</v>
      </c>
      <c r="Q20" s="119">
        <f>IF(MAX(Q21:Q23)=0,$J$2,MAX(Q21:Q23))</f>
        <v>45369</v>
      </c>
      <c r="R20" s="102" t="s">
        <v>64</v>
      </c>
      <c r="S20" s="97" t="str">
        <f t="shared" si="7"/>
        <v>Concluído</v>
      </c>
      <c r="T20" s="102">
        <f t="shared" ref="T20" si="39">IF(L20="",0,IF(L20="",IF(F20&gt;$J$2,0,_xlfn.DAYS($J$2,F20)),_xlfn.DAYS(L20,F20)))</f>
        <v>14</v>
      </c>
      <c r="U20" s="102">
        <f>IF(J20="",0,_xlfn.DAYS(Q20,J20))</f>
        <v>24</v>
      </c>
      <c r="V20" s="103">
        <f t="shared" ref="V20" si="40">IF(M20=0,0,M20/SUM(M20:N20))</f>
        <v>1</v>
      </c>
      <c r="W20" s="103">
        <f t="shared" ref="W20" si="41">IF(I20=0,0,I20/H20)</f>
        <v>1</v>
      </c>
    </row>
    <row r="21" spans="1:23" ht="43.2" x14ac:dyDescent="0.3">
      <c r="A21" s="58">
        <v>1</v>
      </c>
      <c r="B21" s="59" t="s">
        <v>67</v>
      </c>
      <c r="C21" s="93" t="str">
        <f>$C$20&amp;"."&amp;A21</f>
        <v>PR.0079.3.1</v>
      </c>
      <c r="D21" s="106" t="s">
        <v>84</v>
      </c>
      <c r="E21" s="92" t="s">
        <v>85</v>
      </c>
      <c r="F21" s="95">
        <v>45334</v>
      </c>
      <c r="G21" s="96">
        <f t="shared" si="25"/>
        <v>5</v>
      </c>
      <c r="H21" s="96">
        <f t="shared" si="26"/>
        <v>5</v>
      </c>
      <c r="I21" s="96">
        <f t="shared" si="27"/>
        <v>5</v>
      </c>
      <c r="J21" s="95">
        <v>45338</v>
      </c>
      <c r="K21" s="96"/>
      <c r="L21" s="95">
        <v>45348</v>
      </c>
      <c r="M21" s="96">
        <v>5</v>
      </c>
      <c r="N21" s="96">
        <f t="shared" ref="N21:N23" si="42">H21-M21</f>
        <v>0</v>
      </c>
      <c r="O21" s="96">
        <f t="shared" si="29"/>
        <v>15</v>
      </c>
      <c r="P21" s="95">
        <f t="shared" si="30"/>
        <v>45348</v>
      </c>
      <c r="Q21" s="95">
        <v>45366</v>
      </c>
      <c r="R21" s="97" t="s">
        <v>64</v>
      </c>
      <c r="S21" s="97" t="str">
        <f t="shared" si="7"/>
        <v>Concluído</v>
      </c>
      <c r="T21" s="96">
        <f t="shared" si="21"/>
        <v>14</v>
      </c>
      <c r="U21" s="96">
        <f t="shared" si="31"/>
        <v>28</v>
      </c>
      <c r="V21" s="79">
        <f t="shared" si="22"/>
        <v>1</v>
      </c>
      <c r="W21" s="80">
        <f t="shared" si="23"/>
        <v>1</v>
      </c>
    </row>
    <row r="22" spans="1:23" x14ac:dyDescent="0.3">
      <c r="A22" s="58">
        <v>2</v>
      </c>
      <c r="B22" s="59" t="s">
        <v>67</v>
      </c>
      <c r="C22" s="93" t="str">
        <f t="shared" ref="C22" si="43">$C$20&amp;"."&amp;A22</f>
        <v>PR.0079.3.2</v>
      </c>
      <c r="D22" s="107" t="s">
        <v>86</v>
      </c>
      <c r="E22" s="92" t="s">
        <v>15</v>
      </c>
      <c r="F22" s="95">
        <v>45334</v>
      </c>
      <c r="G22" s="96">
        <f t="shared" si="25"/>
        <v>10</v>
      </c>
      <c r="H22" s="96">
        <f t="shared" si="26"/>
        <v>10</v>
      </c>
      <c r="I22" s="96">
        <f t="shared" si="27"/>
        <v>10</v>
      </c>
      <c r="J22" s="95">
        <v>45345</v>
      </c>
      <c r="K22" s="96"/>
      <c r="L22" s="95">
        <v>45348</v>
      </c>
      <c r="M22" s="96">
        <v>10</v>
      </c>
      <c r="N22" s="96">
        <f t="shared" si="42"/>
        <v>0</v>
      </c>
      <c r="O22" s="105">
        <f t="shared" ref="O22" si="44">IF(L22="",NETWORKDAYS($J$2,Q22),NETWORKDAYS(L22,Q22))</f>
        <v>16</v>
      </c>
      <c r="P22" s="95">
        <f t="shared" ref="P22:P25" si="45">IF(F22&gt;$J$2,F22+N22-1,IF(AND(L22="",F22&gt;=$J$2),F22+N22,L22+N22))</f>
        <v>45348</v>
      </c>
      <c r="Q22" s="95">
        <v>45369</v>
      </c>
      <c r="R22" s="97" t="s">
        <v>64</v>
      </c>
      <c r="S22" s="97" t="str">
        <f t="shared" si="7"/>
        <v>Concluído</v>
      </c>
      <c r="T22" s="96">
        <f t="shared" ref="T22:T25" si="46">IF(L22="",0,IF(L22="",IF(F22&gt;$J$2,0,_xlfn.DAYS($J$2,F22)),_xlfn.DAYS(L22,F22)))</f>
        <v>14</v>
      </c>
      <c r="U22" s="96">
        <f t="shared" ref="U22:U23" si="47">IF(J22="",0,_xlfn.DAYS(Q22,J22))</f>
        <v>24</v>
      </c>
      <c r="V22" s="79">
        <f t="shared" ref="V22:V25" si="48">IF(M22=0,0,M22/SUM(M22:N22))</f>
        <v>1</v>
      </c>
      <c r="W22" s="80">
        <f t="shared" ref="W22:W25" si="49">IF(I22=0,0,I22/H22)</f>
        <v>1</v>
      </c>
    </row>
    <row r="23" spans="1:23" x14ac:dyDescent="0.3">
      <c r="A23" s="58">
        <v>5</v>
      </c>
      <c r="B23" s="59" t="s">
        <v>73</v>
      </c>
      <c r="C23" s="93" t="str">
        <f t="shared" ref="C23" si="50">$C$20&amp;"."&amp;A23</f>
        <v>PR.0079.3.5</v>
      </c>
      <c r="D23" s="92" t="s">
        <v>87</v>
      </c>
      <c r="E23" s="92"/>
      <c r="F23" s="95">
        <v>45345</v>
      </c>
      <c r="G23" s="96">
        <f t="shared" si="25"/>
        <v>1</v>
      </c>
      <c r="H23" s="96">
        <f t="shared" si="26"/>
        <v>1</v>
      </c>
      <c r="I23" s="96">
        <v>1</v>
      </c>
      <c r="J23" s="95">
        <v>45345</v>
      </c>
      <c r="K23" s="96"/>
      <c r="L23" s="95">
        <f>MAX(Q21:Q22)</f>
        <v>45369</v>
      </c>
      <c r="M23" s="96">
        <v>1</v>
      </c>
      <c r="N23" s="96">
        <f t="shared" si="42"/>
        <v>0</v>
      </c>
      <c r="O23" s="96">
        <f t="shared" si="29"/>
        <v>1</v>
      </c>
      <c r="P23" s="95">
        <f t="shared" si="45"/>
        <v>45369</v>
      </c>
      <c r="Q23" s="95">
        <f t="shared" ref="Q23" si="51">IF(P23&lt;J23,J23,P23)</f>
        <v>45369</v>
      </c>
      <c r="R23" s="97" t="s">
        <v>64</v>
      </c>
      <c r="S23" s="97" t="str">
        <f t="shared" si="7"/>
        <v>Concluído</v>
      </c>
      <c r="T23" s="96">
        <f t="shared" si="46"/>
        <v>24</v>
      </c>
      <c r="U23" s="96">
        <f t="shared" si="47"/>
        <v>24</v>
      </c>
      <c r="V23" s="79">
        <f t="shared" si="48"/>
        <v>1</v>
      </c>
      <c r="W23" s="80">
        <f t="shared" si="49"/>
        <v>1</v>
      </c>
    </row>
    <row r="24" spans="1:23" x14ac:dyDescent="0.3">
      <c r="A24" s="58">
        <v>4</v>
      </c>
      <c r="B24" s="59" t="s">
        <v>65</v>
      </c>
      <c r="C24" s="98" t="str">
        <f>$C$6&amp;"."&amp;A24</f>
        <v>PR.0079.4</v>
      </c>
      <c r="D24" s="98" t="s">
        <v>88</v>
      </c>
      <c r="E24" s="99"/>
      <c r="F24" s="100">
        <f>IF(MIN(F25:F26)=0,$J$2,MIN(F25:F26))</f>
        <v>45341</v>
      </c>
      <c r="G24" s="101">
        <f>IF(J24="",0,NETWORKDAYS(F24,J24))</f>
        <v>5</v>
      </c>
      <c r="H24" s="102">
        <f>SUM(H25:H26)</f>
        <v>6</v>
      </c>
      <c r="I24" s="102">
        <f>SUM(I25:I26)</f>
        <v>6</v>
      </c>
      <c r="J24" s="100">
        <f>IF(MAX(J25:J26)=0,$J$2,MAX(J25:J26))</f>
        <v>45345</v>
      </c>
      <c r="K24" s="102"/>
      <c r="L24" s="100">
        <f>IF(MIN(L25:L27)=0,$J$2,MIN(L25:L27))</f>
        <v>45362</v>
      </c>
      <c r="M24" s="102">
        <f>SUM(M25:M26)</f>
        <v>6</v>
      </c>
      <c r="N24" s="102">
        <f>SUM(N25:N26)</f>
        <v>0</v>
      </c>
      <c r="O24" s="101">
        <f>IF(L24="",NETWORKDAYS($J$2,Q24),NETWORKDAYS(L24,Q24))</f>
        <v>9</v>
      </c>
      <c r="P24" s="100">
        <f>IF(MAX(P25:P26)=0,$J$2,MAX(P25:P26))</f>
        <v>45372</v>
      </c>
      <c r="Q24" s="119">
        <f>IF(MAX(Q25:Q26)=0,$J$2,MAX(Q25:Q26))</f>
        <v>45372</v>
      </c>
      <c r="R24" s="102" t="s">
        <v>64</v>
      </c>
      <c r="S24" s="97" t="str">
        <f t="shared" si="7"/>
        <v>Concluído</v>
      </c>
      <c r="T24" s="102">
        <f t="shared" si="46"/>
        <v>21</v>
      </c>
      <c r="U24" s="102">
        <f>IF(J24="",0,_xlfn.DAYS(Q24,J24))</f>
        <v>27</v>
      </c>
      <c r="V24" s="103">
        <f t="shared" si="48"/>
        <v>1</v>
      </c>
      <c r="W24" s="103">
        <f t="shared" si="49"/>
        <v>1</v>
      </c>
    </row>
    <row r="25" spans="1:23" ht="28.8" x14ac:dyDescent="0.3">
      <c r="A25" s="58">
        <v>1</v>
      </c>
      <c r="B25" s="59" t="s">
        <v>67</v>
      </c>
      <c r="C25" s="93" t="str">
        <f>$C$24&amp;"."&amp;A25</f>
        <v>PR.0079.4.1</v>
      </c>
      <c r="D25" s="106" t="s">
        <v>89</v>
      </c>
      <c r="E25" s="92" t="s">
        <v>69</v>
      </c>
      <c r="F25" s="95">
        <v>45341</v>
      </c>
      <c r="G25" s="96">
        <f t="shared" ref="G25:G26" si="52">IF(J25="",0,NETWORKDAYS(F25,J25))</f>
        <v>5</v>
      </c>
      <c r="H25" s="96">
        <f t="shared" ref="H25:H26" si="53">G25</f>
        <v>5</v>
      </c>
      <c r="I25" s="96">
        <f t="shared" ref="I25" si="54">IF(H25=0,0,IF($J$2&gt;J25,-IF(J25&lt;$J$2,NETWORKDAYS(J25,F25),NETWORKDAYS($J$2,F25)),IF($J$2&gt;F25,-IF(J25&lt;$J$2,NETWORKDAYS(J25,F25),NETWORKDAYS($J$2,F25)),IF(F25&gt;$J$2,0,NETWORKDAYS($J$2,F25)))))</f>
        <v>5</v>
      </c>
      <c r="J25" s="95">
        <v>45345</v>
      </c>
      <c r="K25" s="108"/>
      <c r="L25" s="95">
        <v>45365</v>
      </c>
      <c r="M25" s="96">
        <v>5</v>
      </c>
      <c r="N25" s="96">
        <f t="shared" ref="N25:N26" si="55">H25-M25</f>
        <v>0</v>
      </c>
      <c r="O25" s="96">
        <f t="shared" ref="O25:O26" si="56">IF(L25="",NETWORKDAYS($J$2,Q25),NETWORKDAYS(L25,Q25))</f>
        <v>6</v>
      </c>
      <c r="P25" s="95">
        <f t="shared" si="45"/>
        <v>45365</v>
      </c>
      <c r="Q25" s="95">
        <v>45372</v>
      </c>
      <c r="R25" s="97" t="s">
        <v>64</v>
      </c>
      <c r="S25" s="97" t="str">
        <f t="shared" si="7"/>
        <v>Concluído</v>
      </c>
      <c r="T25" s="96">
        <f t="shared" si="46"/>
        <v>24</v>
      </c>
      <c r="U25" s="96">
        <f t="shared" ref="U25:U26" si="57">IF(J25="",0,_xlfn.DAYS(Q25,J25))</f>
        <v>27</v>
      </c>
      <c r="V25" s="79">
        <f t="shared" si="48"/>
        <v>1</v>
      </c>
      <c r="W25" s="80">
        <f t="shared" si="49"/>
        <v>1</v>
      </c>
    </row>
    <row r="26" spans="1:23" x14ac:dyDescent="0.3">
      <c r="A26" s="58">
        <v>2</v>
      </c>
      <c r="B26" s="59" t="s">
        <v>73</v>
      </c>
      <c r="C26" s="93" t="str">
        <f t="shared" ref="C26" si="58">$C$24&amp;"."&amp;A26</f>
        <v>PR.0079.4.2</v>
      </c>
      <c r="D26" s="109" t="s">
        <v>90</v>
      </c>
      <c r="E26" s="92"/>
      <c r="F26" s="95">
        <v>45345</v>
      </c>
      <c r="G26" s="96">
        <f t="shared" si="52"/>
        <v>1</v>
      </c>
      <c r="H26" s="96">
        <f t="shared" si="53"/>
        <v>1</v>
      </c>
      <c r="I26" s="96">
        <v>1</v>
      </c>
      <c r="J26" s="95">
        <v>45345</v>
      </c>
      <c r="K26" s="96"/>
      <c r="L26" s="95">
        <f>MAX(Q25)</f>
        <v>45372</v>
      </c>
      <c r="M26" s="96">
        <v>1</v>
      </c>
      <c r="N26" s="96">
        <f t="shared" si="55"/>
        <v>0</v>
      </c>
      <c r="O26" s="105">
        <f t="shared" si="56"/>
        <v>1</v>
      </c>
      <c r="P26" s="95">
        <f t="shared" ref="P26" si="59">IF(F26&gt;$J$2,F26+N26-1,IF(AND(L26="",F26&gt;=$J$2),F26+N26,L26+N26))</f>
        <v>45372</v>
      </c>
      <c r="Q26" s="95">
        <f t="shared" ref="Q26" si="60">IF(P26&lt;J26,J26,P26)</f>
        <v>45372</v>
      </c>
      <c r="R26" s="97" t="s">
        <v>64</v>
      </c>
      <c r="S26" s="97" t="str">
        <f t="shared" si="7"/>
        <v>Concluído</v>
      </c>
      <c r="T26" s="96">
        <f t="shared" ref="T26" si="61">IF(L26="",0,IF(L26="",IF(F26&gt;$J$2,0,_xlfn.DAYS($J$2,F26)),_xlfn.DAYS(L26,F26)))</f>
        <v>27</v>
      </c>
      <c r="U26" s="96">
        <f t="shared" si="57"/>
        <v>27</v>
      </c>
      <c r="V26" s="79">
        <f t="shared" ref="V26" si="62">IF(M26=0,0,M26/SUM(M26:N26))</f>
        <v>1</v>
      </c>
      <c r="W26" s="80">
        <f t="shared" ref="W26" si="63">IF(I26=0,0,I26/H26)</f>
        <v>1</v>
      </c>
    </row>
    <row r="27" spans="1:23" x14ac:dyDescent="0.3">
      <c r="A27" s="58">
        <v>5</v>
      </c>
      <c r="B27" s="59" t="s">
        <v>65</v>
      </c>
      <c r="C27" s="98" t="str">
        <f>$C$6&amp;"."&amp;A27</f>
        <v>PR.0079.5</v>
      </c>
      <c r="D27" s="98" t="s">
        <v>91</v>
      </c>
      <c r="E27" s="99"/>
      <c r="F27" s="100">
        <f>IF(MIN(F28:F32)=0,$J$2,MIN(F28:F32))</f>
        <v>45348</v>
      </c>
      <c r="G27" s="101">
        <f>IF(J27="",0,NETWORKDAYS(F27,J27))</f>
        <v>20</v>
      </c>
      <c r="H27" s="102">
        <f>SUM(H28:H32)</f>
        <v>31</v>
      </c>
      <c r="I27" s="102">
        <f>SUM(I28:I32)</f>
        <v>31</v>
      </c>
      <c r="J27" s="100">
        <f>IF(MAX(J28:J32)=0,$J$2,MAX(J28:J32))</f>
        <v>45373</v>
      </c>
      <c r="K27" s="102"/>
      <c r="L27" s="100">
        <f>IF(MIN(L28:L30)=0,$J$2,MIN(L28:L30))</f>
        <v>45362</v>
      </c>
      <c r="M27" s="102">
        <f t="shared" ref="M27" si="64">SUM(M28:M32)</f>
        <v>31</v>
      </c>
      <c r="N27" s="102">
        <f t="shared" ref="N27" si="65">SUM(N28:N32)</f>
        <v>0</v>
      </c>
      <c r="O27" s="101">
        <f>IF(L27="",NETWORKDAYS($J$2,Q27),NETWORKDAYS(L27,Q27))</f>
        <v>60</v>
      </c>
      <c r="P27" s="100">
        <f>IF(MAX(P28:P32)=0,$J$2,MAX(P28:P32))</f>
        <v>45405</v>
      </c>
      <c r="Q27" s="119">
        <f>IF(MAX(Q28:Q32)=0,$J$2,MAX(Q28:Q32))</f>
        <v>45443</v>
      </c>
      <c r="R27" s="102" t="s">
        <v>64</v>
      </c>
      <c r="S27" s="97" t="str">
        <f t="shared" si="7"/>
        <v>Concluído</v>
      </c>
      <c r="T27" s="102">
        <f t="shared" ref="T27:T32" si="66">IF(L27="",0,IF(L27="",IF(F27&gt;$J$2,0,_xlfn.DAYS($J$2,F27)),_xlfn.DAYS(L27,F27)))</f>
        <v>14</v>
      </c>
      <c r="U27" s="102">
        <f>IF(J27="",0,_xlfn.DAYS(Q27,J27))</f>
        <v>70</v>
      </c>
      <c r="V27" s="103">
        <f t="shared" ref="V27:V32" si="67">IF(M27=0,0,M27/SUM(M27:N27))</f>
        <v>1</v>
      </c>
      <c r="W27" s="103">
        <f t="shared" ref="W27:W32" si="68">IF(I27=0,0,I27/H27)</f>
        <v>1</v>
      </c>
    </row>
    <row r="28" spans="1:23" x14ac:dyDescent="0.3">
      <c r="A28" s="58">
        <v>1</v>
      </c>
      <c r="B28" s="59" t="s">
        <v>67</v>
      </c>
      <c r="C28" s="93" t="str">
        <f>$C$27&amp;"."&amp;A28</f>
        <v>PR.0079.5.1</v>
      </c>
      <c r="D28" s="106" t="s">
        <v>92</v>
      </c>
      <c r="E28" s="92" t="s">
        <v>93</v>
      </c>
      <c r="F28" s="95">
        <v>45348</v>
      </c>
      <c r="G28" s="96">
        <f t="shared" ref="G28:G32" si="69">IF(J28="",0,NETWORKDAYS(F28,J28))</f>
        <v>15</v>
      </c>
      <c r="H28" s="96">
        <f t="shared" ref="H28:H32" si="70">G28</f>
        <v>15</v>
      </c>
      <c r="I28" s="96">
        <f t="shared" ref="I28:I31" si="71">IF(H28=0,0,IF($J$2&gt;J28,-IF(J28&lt;$J$2,NETWORKDAYS(J28,F28),NETWORKDAYS($J$2,F28)),IF($J$2&gt;F28,-IF(J28&lt;$J$2,NETWORKDAYS(J28,F28),NETWORKDAYS($J$2,F28)),IF(F28&gt;$J$2,0,NETWORKDAYS($J$2,F28)))))</f>
        <v>15</v>
      </c>
      <c r="J28" s="95">
        <v>45366</v>
      </c>
      <c r="K28" s="96"/>
      <c r="L28" s="95">
        <v>45362</v>
      </c>
      <c r="M28" s="96">
        <v>15</v>
      </c>
      <c r="N28" s="96">
        <f t="shared" ref="N28:N32" si="72">H28-M28</f>
        <v>0</v>
      </c>
      <c r="O28" s="96">
        <f t="shared" ref="O28:O32" si="73">IF(L28="",NETWORKDAYS($J$2,Q28),NETWORKDAYS(L28,Q28))</f>
        <v>32</v>
      </c>
      <c r="P28" s="95">
        <f t="shared" ref="P28:P32" si="74">IF(F28&gt;$J$2,F28+N28-1,IF(AND(L28="",F28&gt;=$J$2),F28+N28,L28+N28))</f>
        <v>45362</v>
      </c>
      <c r="Q28" s="95">
        <v>45405</v>
      </c>
      <c r="R28" s="97" t="s">
        <v>64</v>
      </c>
      <c r="S28" s="97" t="str">
        <f t="shared" si="7"/>
        <v>Concluído</v>
      </c>
      <c r="T28" s="96">
        <f t="shared" si="66"/>
        <v>14</v>
      </c>
      <c r="U28" s="96">
        <f t="shared" ref="U28:U32" si="75">IF(J28="",0,_xlfn.DAYS(Q28,J28))</f>
        <v>39</v>
      </c>
      <c r="V28" s="79">
        <f t="shared" si="67"/>
        <v>1</v>
      </c>
      <c r="W28" s="80">
        <f t="shared" si="68"/>
        <v>1</v>
      </c>
    </row>
    <row r="29" spans="1:23" x14ac:dyDescent="0.3">
      <c r="A29" s="58">
        <v>2</v>
      </c>
      <c r="B29" s="59" t="s">
        <v>67</v>
      </c>
      <c r="C29" s="93" t="str">
        <f t="shared" ref="C29:C32" si="76">$C$27&amp;"."&amp;A29</f>
        <v>PR.0079.5.2</v>
      </c>
      <c r="D29" s="107" t="s">
        <v>94</v>
      </c>
      <c r="E29" s="92" t="s">
        <v>93</v>
      </c>
      <c r="F29" s="95">
        <v>45369</v>
      </c>
      <c r="G29" s="96">
        <f t="shared" si="69"/>
        <v>5</v>
      </c>
      <c r="H29" s="96">
        <f t="shared" si="70"/>
        <v>5</v>
      </c>
      <c r="I29" s="96">
        <f t="shared" si="71"/>
        <v>5</v>
      </c>
      <c r="J29" s="95">
        <v>45373</v>
      </c>
      <c r="K29" s="96"/>
      <c r="L29" s="95">
        <v>45369</v>
      </c>
      <c r="M29" s="96">
        <v>5</v>
      </c>
      <c r="N29" s="96">
        <f t="shared" si="72"/>
        <v>0</v>
      </c>
      <c r="O29" s="105">
        <f t="shared" si="73"/>
        <v>27</v>
      </c>
      <c r="P29" s="95">
        <f t="shared" si="74"/>
        <v>45369</v>
      </c>
      <c r="Q29" s="95">
        <v>45405</v>
      </c>
      <c r="R29" s="97" t="s">
        <v>64</v>
      </c>
      <c r="S29" s="97" t="str">
        <f t="shared" si="7"/>
        <v>Concluído</v>
      </c>
      <c r="T29" s="96">
        <f t="shared" si="66"/>
        <v>0</v>
      </c>
      <c r="U29" s="96">
        <f t="shared" si="75"/>
        <v>32</v>
      </c>
      <c r="V29" s="79">
        <f t="shared" si="67"/>
        <v>1</v>
      </c>
      <c r="W29" s="80">
        <f t="shared" si="68"/>
        <v>1</v>
      </c>
    </row>
    <row r="30" spans="1:23" x14ac:dyDescent="0.3">
      <c r="A30" s="58">
        <v>3</v>
      </c>
      <c r="B30" s="59" t="s">
        <v>67</v>
      </c>
      <c r="C30" s="93" t="str">
        <f t="shared" si="76"/>
        <v>PR.0079.5.3</v>
      </c>
      <c r="D30" s="106" t="s">
        <v>95</v>
      </c>
      <c r="E30" s="92" t="s">
        <v>15</v>
      </c>
      <c r="F30" s="95">
        <v>45369</v>
      </c>
      <c r="G30" s="96">
        <f t="shared" si="69"/>
        <v>5</v>
      </c>
      <c r="H30" s="96">
        <f t="shared" si="70"/>
        <v>5</v>
      </c>
      <c r="I30" s="96">
        <f t="shared" si="71"/>
        <v>5</v>
      </c>
      <c r="J30" s="95">
        <v>45373</v>
      </c>
      <c r="K30" s="96"/>
      <c r="L30" s="95">
        <v>45390</v>
      </c>
      <c r="M30" s="96">
        <v>5</v>
      </c>
      <c r="N30" s="96">
        <f t="shared" si="72"/>
        <v>0</v>
      </c>
      <c r="O30" s="96">
        <f t="shared" si="73"/>
        <v>40</v>
      </c>
      <c r="P30" s="95">
        <f t="shared" si="74"/>
        <v>45390</v>
      </c>
      <c r="Q30" s="95">
        <v>45443</v>
      </c>
      <c r="R30" s="97" t="s">
        <v>64</v>
      </c>
      <c r="S30" s="97" t="str">
        <f t="shared" si="7"/>
        <v>Concluído</v>
      </c>
      <c r="T30" s="96">
        <f t="shared" si="66"/>
        <v>21</v>
      </c>
      <c r="U30" s="96">
        <f t="shared" si="75"/>
        <v>70</v>
      </c>
      <c r="V30" s="79">
        <f t="shared" si="67"/>
        <v>1</v>
      </c>
      <c r="W30" s="80">
        <f t="shared" si="68"/>
        <v>1</v>
      </c>
    </row>
    <row r="31" spans="1:23" x14ac:dyDescent="0.3">
      <c r="A31" s="58">
        <v>4</v>
      </c>
      <c r="B31" s="59" t="s">
        <v>67</v>
      </c>
      <c r="C31" s="93" t="str">
        <f t="shared" si="76"/>
        <v>PR.0079.5.4</v>
      </c>
      <c r="D31" s="106" t="s">
        <v>81</v>
      </c>
      <c r="E31" s="92" t="s">
        <v>93</v>
      </c>
      <c r="F31" s="95">
        <v>45369</v>
      </c>
      <c r="G31" s="96">
        <f t="shared" si="69"/>
        <v>5</v>
      </c>
      <c r="H31" s="96">
        <f t="shared" si="70"/>
        <v>5</v>
      </c>
      <c r="I31" s="96">
        <f t="shared" si="71"/>
        <v>5</v>
      </c>
      <c r="J31" s="95">
        <v>45373</v>
      </c>
      <c r="K31" s="96"/>
      <c r="L31" s="95">
        <v>45401</v>
      </c>
      <c r="M31" s="96">
        <v>5</v>
      </c>
      <c r="N31" s="96">
        <f t="shared" si="72"/>
        <v>0</v>
      </c>
      <c r="O31" s="96">
        <f t="shared" si="73"/>
        <v>1</v>
      </c>
      <c r="P31" s="95">
        <f t="shared" si="74"/>
        <v>45401</v>
      </c>
      <c r="Q31" s="95">
        <f t="shared" ref="Q31" si="77">IF(P31&lt;J31,J31,P31)</f>
        <v>45401</v>
      </c>
      <c r="R31" s="97" t="s">
        <v>64</v>
      </c>
      <c r="S31" s="97" t="str">
        <f t="shared" si="7"/>
        <v>Concluído</v>
      </c>
      <c r="T31" s="96">
        <f t="shared" si="66"/>
        <v>32</v>
      </c>
      <c r="U31" s="96">
        <f t="shared" si="75"/>
        <v>28</v>
      </c>
      <c r="V31" s="79">
        <f t="shared" si="67"/>
        <v>1</v>
      </c>
      <c r="W31" s="80">
        <f t="shared" si="68"/>
        <v>1</v>
      </c>
    </row>
    <row r="32" spans="1:23" x14ac:dyDescent="0.3">
      <c r="A32" s="58">
        <v>5</v>
      </c>
      <c r="B32" s="59" t="s">
        <v>73</v>
      </c>
      <c r="C32" s="93" t="str">
        <f t="shared" si="76"/>
        <v>PR.0079.5.5</v>
      </c>
      <c r="D32" s="92" t="s">
        <v>96</v>
      </c>
      <c r="E32" s="92"/>
      <c r="F32" s="95">
        <v>45373</v>
      </c>
      <c r="G32" s="96">
        <f t="shared" si="69"/>
        <v>1</v>
      </c>
      <c r="H32" s="96">
        <f t="shared" si="70"/>
        <v>1</v>
      </c>
      <c r="I32" s="96">
        <v>1</v>
      </c>
      <c r="J32" s="95">
        <v>45373</v>
      </c>
      <c r="K32" s="96"/>
      <c r="L32" s="95">
        <v>45405</v>
      </c>
      <c r="M32" s="96">
        <v>1</v>
      </c>
      <c r="N32" s="96">
        <f t="shared" si="72"/>
        <v>0</v>
      </c>
      <c r="O32" s="96">
        <f t="shared" si="73"/>
        <v>1</v>
      </c>
      <c r="P32" s="95">
        <f t="shared" si="74"/>
        <v>45405</v>
      </c>
      <c r="Q32" s="95">
        <v>45405</v>
      </c>
      <c r="R32" s="97" t="s">
        <v>64</v>
      </c>
      <c r="S32" s="97" t="str">
        <f t="shared" si="7"/>
        <v>Concluído</v>
      </c>
      <c r="T32" s="96">
        <f t="shared" si="66"/>
        <v>32</v>
      </c>
      <c r="U32" s="96">
        <f t="shared" si="75"/>
        <v>32</v>
      </c>
      <c r="V32" s="79">
        <f t="shared" si="67"/>
        <v>1</v>
      </c>
      <c r="W32" s="80">
        <f t="shared" si="68"/>
        <v>1</v>
      </c>
    </row>
    <row r="33" spans="1:23" x14ac:dyDescent="0.3">
      <c r="A33" s="58">
        <v>6</v>
      </c>
      <c r="B33" s="59" t="s">
        <v>65</v>
      </c>
      <c r="C33" s="98" t="str">
        <f>$C$6&amp;"."&amp;A33</f>
        <v>PR.0079.6</v>
      </c>
      <c r="D33" s="98" t="s">
        <v>97</v>
      </c>
      <c r="E33" s="99"/>
      <c r="F33" s="100">
        <f>IF(MIN(F34:F37)=0,$J$2,MIN(F34:F37))</f>
        <v>45376</v>
      </c>
      <c r="G33" s="101">
        <f>IF(J33="",0,NETWORKDAYS(F33,J33))</f>
        <v>10</v>
      </c>
      <c r="H33" s="102">
        <f>SUM(H34:H37)</f>
        <v>16</v>
      </c>
      <c r="I33" s="102">
        <f>SUM(I34:I37)</f>
        <v>16</v>
      </c>
      <c r="J33" s="100">
        <f>IF(MAX(J34:J37)=0,$J$2,MAX(J34:J37))</f>
        <v>45387</v>
      </c>
      <c r="K33" s="102"/>
      <c r="L33" s="100">
        <f>IF(MIN(L34:L36)=0,$J$2,MIN(L34:L36))</f>
        <v>45411</v>
      </c>
      <c r="M33" s="102">
        <f>SUM(M34:M37)</f>
        <v>16</v>
      </c>
      <c r="N33" s="102">
        <f>SUM(N34:N37)</f>
        <v>0</v>
      </c>
      <c r="O33" s="101">
        <f>IF(L33="",NETWORKDAYS($J$2,Q33),NETWORKDAYS(L33,Q33))</f>
        <v>34</v>
      </c>
      <c r="P33" s="100">
        <f>IF(MAX(P34:P37)=0,$J$2,MAX(P34:P37))</f>
        <v>45456</v>
      </c>
      <c r="Q33" s="119">
        <f>IF(MAX(Q34:Q37)=0,$J$2,MAX(Q34:Q37))</f>
        <v>45456</v>
      </c>
      <c r="R33" s="102" t="s">
        <v>64</v>
      </c>
      <c r="S33" s="97" t="str">
        <f t="shared" si="7"/>
        <v>Concluído</v>
      </c>
      <c r="T33" s="102">
        <f t="shared" ref="T33:T37" si="78">IF(L33="",0,IF(L33="",IF(F33&gt;$J$2,0,_xlfn.DAYS($J$2,F33)),_xlfn.DAYS(L33,F33)))</f>
        <v>35</v>
      </c>
      <c r="U33" s="102">
        <f>IF(J33="",0,_xlfn.DAYS(Q33,J33))</f>
        <v>69</v>
      </c>
      <c r="V33" s="103">
        <f t="shared" ref="V33:V37" si="79">IF(M33=0,0,M33/SUM(M33:N33))</f>
        <v>1</v>
      </c>
      <c r="W33" s="103">
        <f t="shared" ref="W33:W37" si="80">IF(I33=0,0,I33/H33)</f>
        <v>1</v>
      </c>
    </row>
    <row r="34" spans="1:23" ht="57.6" x14ac:dyDescent="0.3">
      <c r="A34" s="58">
        <v>1</v>
      </c>
      <c r="B34" s="59" t="s">
        <v>67</v>
      </c>
      <c r="C34" s="93" t="str">
        <f>$C$33&amp;"."&amp;A34</f>
        <v>PR.0079.6.1</v>
      </c>
      <c r="D34" s="106" t="s">
        <v>98</v>
      </c>
      <c r="E34" s="92" t="s">
        <v>99</v>
      </c>
      <c r="F34" s="95">
        <v>45376</v>
      </c>
      <c r="G34" s="96">
        <f t="shared" ref="G34:G37" si="81">IF(J34="",0,NETWORKDAYS(F34,J34))</f>
        <v>5</v>
      </c>
      <c r="H34" s="96">
        <f t="shared" ref="H34:H57" si="82">G34</f>
        <v>5</v>
      </c>
      <c r="I34" s="96">
        <f t="shared" ref="I34" si="83">IF(H34=0,0,IF($J$2&gt;J34,-IF(J34&lt;$J$2,NETWORKDAYS(J34,F34),NETWORKDAYS($J$2,F34)),IF($J$2&gt;F34,-IF(J34&lt;$J$2,NETWORKDAYS(J34,F34),NETWORKDAYS($J$2,F34)),IF(F34&gt;$J$2,0,NETWORKDAYS($J$2,F34)))))</f>
        <v>5</v>
      </c>
      <c r="J34" s="95">
        <v>45380</v>
      </c>
      <c r="K34" s="96" t="s">
        <v>100</v>
      </c>
      <c r="L34" s="95">
        <v>45411</v>
      </c>
      <c r="M34" s="96">
        <v>5</v>
      </c>
      <c r="N34" s="96">
        <f t="shared" ref="N34:N37" si="84">H34-M34</f>
        <v>0</v>
      </c>
      <c r="O34" s="96">
        <f t="shared" ref="O34:O37" si="85">IF(L34="",NETWORKDAYS($J$2,Q34),NETWORKDAYS(L34,Q34))</f>
        <v>14</v>
      </c>
      <c r="P34" s="95">
        <f t="shared" ref="P34:P37" si="86">IF(F34&gt;$J$2,F34+N34-1,IF(AND(L34="",F34&gt;=$J$2),F34+N34,L34+N34))</f>
        <v>45411</v>
      </c>
      <c r="Q34" s="95">
        <v>45428</v>
      </c>
      <c r="R34" s="97" t="s">
        <v>64</v>
      </c>
      <c r="S34" s="97" t="str">
        <f t="shared" si="7"/>
        <v>Concluído</v>
      </c>
      <c r="T34" s="96">
        <f t="shared" si="78"/>
        <v>35</v>
      </c>
      <c r="U34" s="96">
        <f t="shared" ref="U34:U37" si="87">IF(J34="",0,_xlfn.DAYS(Q34,J34))</f>
        <v>48</v>
      </c>
      <c r="V34" s="79">
        <f t="shared" si="79"/>
        <v>1</v>
      </c>
      <c r="W34" s="80">
        <f t="shared" si="80"/>
        <v>1</v>
      </c>
    </row>
    <row r="35" spans="1:23" ht="57.6" x14ac:dyDescent="0.3">
      <c r="A35" s="58">
        <v>2</v>
      </c>
      <c r="B35" s="59" t="s">
        <v>67</v>
      </c>
      <c r="C35" s="93" t="str">
        <f>$C$33&amp;"."&amp;A35</f>
        <v>PR.0079.6.2</v>
      </c>
      <c r="D35" s="106" t="s">
        <v>101</v>
      </c>
      <c r="E35" s="92" t="s">
        <v>99</v>
      </c>
      <c r="F35" s="95">
        <v>45376</v>
      </c>
      <c r="G35" s="96">
        <f t="shared" ref="G35" si="88">IF(J35="",0,NETWORKDAYS(F35,J35))</f>
        <v>5</v>
      </c>
      <c r="H35" s="96">
        <f t="shared" ref="H35" si="89">G35</f>
        <v>5</v>
      </c>
      <c r="I35" s="96">
        <f t="shared" ref="I35" si="90">IF(H35=0,0,IF($J$2&gt;J35,-IF(J35&lt;$J$2,NETWORKDAYS(J35,F35),NETWORKDAYS($J$2,F35)),IF($J$2&gt;F35,-IF(J35&lt;$J$2,NETWORKDAYS(J35,F35),NETWORKDAYS($J$2,F35)),IF(F35&gt;$J$2,0,NETWORKDAYS($J$2,F35)))))</f>
        <v>5</v>
      </c>
      <c r="J35" s="95">
        <v>45380</v>
      </c>
      <c r="K35" s="96"/>
      <c r="L35" s="95">
        <v>45449</v>
      </c>
      <c r="M35" s="96">
        <v>5</v>
      </c>
      <c r="N35" s="96">
        <f t="shared" ref="N35" si="91">H35-M35</f>
        <v>0</v>
      </c>
      <c r="O35" s="96">
        <f t="shared" ref="O35" si="92">IF(L35="",NETWORKDAYS($J$2,Q35),NETWORKDAYS(L35,Q35))</f>
        <v>1</v>
      </c>
      <c r="P35" s="95">
        <f t="shared" si="86"/>
        <v>45449</v>
      </c>
      <c r="Q35" s="95">
        <v>45449</v>
      </c>
      <c r="R35" s="97" t="s">
        <v>64</v>
      </c>
      <c r="S35" s="97" t="str">
        <f t="shared" si="7"/>
        <v>Concluído</v>
      </c>
      <c r="T35" s="96">
        <f t="shared" ref="T35" si="93">IF(L35="",0,IF(L35="",IF(F35&gt;$J$2,0,_xlfn.DAYS($J$2,F35)),_xlfn.DAYS(L35,F35)))</f>
        <v>73</v>
      </c>
      <c r="U35" s="96">
        <f t="shared" ref="U35" si="94">IF(J35="",0,_xlfn.DAYS(Q35,J35))</f>
        <v>69</v>
      </c>
      <c r="V35" s="79">
        <f t="shared" ref="V35" si="95">IF(M35=0,0,M35/SUM(M35:N35))</f>
        <v>1</v>
      </c>
      <c r="W35" s="80">
        <f t="shared" ref="W35" si="96">IF(I35=0,0,I35/H35)</f>
        <v>1</v>
      </c>
    </row>
    <row r="36" spans="1:23" ht="48" customHeight="1" x14ac:dyDescent="0.3">
      <c r="A36" s="58">
        <v>3</v>
      </c>
      <c r="B36" s="59" t="s">
        <v>67</v>
      </c>
      <c r="C36" s="93" t="str">
        <f t="shared" ref="C36:C37" si="97">$C$33&amp;"."&amp;A36</f>
        <v>PR.0079.6.3</v>
      </c>
      <c r="D36" s="106" t="s">
        <v>86</v>
      </c>
      <c r="E36" s="92" t="s">
        <v>15</v>
      </c>
      <c r="F36" s="95">
        <v>45383</v>
      </c>
      <c r="G36" s="96">
        <f t="shared" ref="G36" si="98">IF(J36="",0,NETWORKDAYS(F36,J36))</f>
        <v>5</v>
      </c>
      <c r="H36" s="96">
        <f t="shared" ref="H36" si="99">G36</f>
        <v>5</v>
      </c>
      <c r="I36" s="96">
        <f t="shared" ref="I36" si="100">IF(H36=0,0,IF($J$2&gt;J36,-IF(J36&lt;$J$2,NETWORKDAYS(J36,F36),NETWORKDAYS($J$2,F36)),IF($J$2&gt;F36,-IF(J36&lt;$J$2,NETWORKDAYS(J36,F36),NETWORKDAYS($J$2,F36)),IF(F36&gt;$J$2,0,NETWORKDAYS($J$2,F36)))))</f>
        <v>5</v>
      </c>
      <c r="J36" s="95">
        <v>45387</v>
      </c>
      <c r="K36" s="96"/>
      <c r="L36" s="95">
        <v>45432</v>
      </c>
      <c r="M36" s="96">
        <v>5</v>
      </c>
      <c r="N36" s="96">
        <f t="shared" ref="N36" si="101">H36-M36</f>
        <v>0</v>
      </c>
      <c r="O36" s="96">
        <f t="shared" ref="O36" si="102">IF(L36="",NETWORKDAYS($J$2,Q36),NETWORKDAYS(L36,Q36))</f>
        <v>19</v>
      </c>
      <c r="P36" s="95">
        <f t="shared" si="86"/>
        <v>45432</v>
      </c>
      <c r="Q36" s="95">
        <v>45456</v>
      </c>
      <c r="R36" s="97" t="s">
        <v>64</v>
      </c>
      <c r="S36" s="97" t="str">
        <f t="shared" si="7"/>
        <v>Concluído</v>
      </c>
      <c r="T36" s="96">
        <f t="shared" ref="T36" si="103">IF(L36="",0,IF(L36="",IF(F36&gt;$J$2,0,_xlfn.DAYS($J$2,F36)),_xlfn.DAYS(L36,F36)))</f>
        <v>49</v>
      </c>
      <c r="U36" s="96">
        <f t="shared" ref="U36" si="104">IF(J36="",0,_xlfn.DAYS(Q36,J36))</f>
        <v>69</v>
      </c>
      <c r="V36" s="79">
        <f t="shared" ref="V36" si="105">IF(M36=0,0,M36/SUM(M36:N36))</f>
        <v>1</v>
      </c>
      <c r="W36" s="80">
        <f t="shared" ref="W36" si="106">IF(I36=0,0,I36/H36)</f>
        <v>1</v>
      </c>
    </row>
    <row r="37" spans="1:23" x14ac:dyDescent="0.3">
      <c r="A37" s="58">
        <v>4</v>
      </c>
      <c r="B37" s="59" t="s">
        <v>73</v>
      </c>
      <c r="C37" s="93" t="str">
        <f t="shared" si="97"/>
        <v>PR.0079.6.4</v>
      </c>
      <c r="D37" s="106" t="s">
        <v>102</v>
      </c>
      <c r="E37" s="92"/>
      <c r="F37" s="95">
        <v>45387</v>
      </c>
      <c r="G37" s="96">
        <f t="shared" si="81"/>
        <v>1</v>
      </c>
      <c r="H37" s="96">
        <f t="shared" si="82"/>
        <v>1</v>
      </c>
      <c r="I37" s="96">
        <v>1</v>
      </c>
      <c r="J37" s="95">
        <v>45387</v>
      </c>
      <c r="K37" s="96"/>
      <c r="L37" s="95">
        <f>MAX(Q34:Q36)</f>
        <v>45456</v>
      </c>
      <c r="M37" s="96">
        <v>1</v>
      </c>
      <c r="N37" s="96">
        <f t="shared" si="84"/>
        <v>0</v>
      </c>
      <c r="O37" s="105">
        <f t="shared" si="85"/>
        <v>1</v>
      </c>
      <c r="P37" s="95">
        <f t="shared" si="86"/>
        <v>45456</v>
      </c>
      <c r="Q37" s="95">
        <f t="shared" ref="Q37" si="107">IF(P37&lt;J37,J37,P37)</f>
        <v>45456</v>
      </c>
      <c r="R37" s="97" t="s">
        <v>64</v>
      </c>
      <c r="S37" s="97" t="str">
        <f t="shared" si="7"/>
        <v>Concluído</v>
      </c>
      <c r="T37" s="96">
        <f t="shared" si="78"/>
        <v>69</v>
      </c>
      <c r="U37" s="96">
        <f t="shared" si="87"/>
        <v>69</v>
      </c>
      <c r="V37" s="79">
        <f t="shared" si="79"/>
        <v>1</v>
      </c>
      <c r="W37" s="80">
        <f t="shared" si="80"/>
        <v>1</v>
      </c>
    </row>
    <row r="38" spans="1:23" x14ac:dyDescent="0.3">
      <c r="A38" s="58">
        <v>7</v>
      </c>
      <c r="B38" s="59" t="s">
        <v>65</v>
      </c>
      <c r="C38" s="98" t="str">
        <f>$C$6&amp;"."&amp;A38</f>
        <v>PR.0079.7</v>
      </c>
      <c r="D38" s="98" t="s">
        <v>103</v>
      </c>
      <c r="E38" s="99"/>
      <c r="F38" s="100">
        <f>IF(MIN(F39:F40)=0,$J$2,MIN(F39:F40))</f>
        <v>45383</v>
      </c>
      <c r="G38" s="96">
        <f>IF(J38="",0,NETWORKDAYS(F38,J38))</f>
        <v>5</v>
      </c>
      <c r="H38" s="97">
        <f>SUM(H39:H40)</f>
        <v>6</v>
      </c>
      <c r="I38" s="97">
        <f>SUM(I39:I40)</f>
        <v>6</v>
      </c>
      <c r="J38" s="100">
        <f>IF(MAX(J39:J40)=0,$J$2,MAX(J39:J40))</f>
        <v>45387</v>
      </c>
      <c r="K38" s="102"/>
      <c r="L38" s="100">
        <f>IF(MIN(L39:L40)=0,$J$2,MIN(L39:L40))</f>
        <v>45439</v>
      </c>
      <c r="M38" s="102">
        <f>SUM(M39:M40)</f>
        <v>6</v>
      </c>
      <c r="N38" s="102">
        <f>SUM(N39:N40)</f>
        <v>0</v>
      </c>
      <c r="O38" s="101">
        <f>IF(L38="",NETWORKDAYS($J$2,Q38),NETWORKDAYS(L38,Q38))</f>
        <v>9</v>
      </c>
      <c r="P38" s="100">
        <f>IF(MAX(P39:P40)=0,$J$2,MAX(P39:P40))</f>
        <v>45449</v>
      </c>
      <c r="Q38" s="119">
        <f>IF(MAX(Q39:Q40)=0,$J$2,MAX(Q39:Q40))</f>
        <v>45449</v>
      </c>
      <c r="R38" s="102" t="s">
        <v>64</v>
      </c>
      <c r="S38" s="97" t="str">
        <f t="shared" si="7"/>
        <v>Concluído</v>
      </c>
      <c r="T38" s="102">
        <f t="shared" ref="T38:T52" si="108">IF(L38="",0,IF(L38="",IF(F38&gt;$J$2,0,_xlfn.DAYS($J$2,F38)),_xlfn.DAYS(L38,F38)))</f>
        <v>56</v>
      </c>
      <c r="U38" s="102">
        <f>IF(J38="",0,_xlfn.DAYS(Q38,J38))</f>
        <v>62</v>
      </c>
      <c r="V38" s="103">
        <f t="shared" ref="V38:V52" si="109">IF(M38=0,0,M38/SUM(M38:N38))</f>
        <v>1</v>
      </c>
      <c r="W38" s="103">
        <f t="shared" ref="W38:W52" si="110">IF(I38=0,0,I38/H38)</f>
        <v>1</v>
      </c>
    </row>
    <row r="39" spans="1:23" x14ac:dyDescent="0.3">
      <c r="A39" s="58">
        <v>1</v>
      </c>
      <c r="B39" s="59" t="s">
        <v>67</v>
      </c>
      <c r="C39" s="93" t="str">
        <f>$C$38&amp;"."&amp;A39</f>
        <v>PR.0079.7.1</v>
      </c>
      <c r="D39" s="110" t="s">
        <v>104</v>
      </c>
      <c r="E39" s="92" t="s">
        <v>15</v>
      </c>
      <c r="F39" s="95">
        <v>45383</v>
      </c>
      <c r="G39" s="96">
        <f t="shared" ref="G39:G65" si="111">IF(J39="",0,NETWORKDAYS(F39,J39))</f>
        <v>5</v>
      </c>
      <c r="H39" s="96">
        <f t="shared" si="82"/>
        <v>5</v>
      </c>
      <c r="I39" s="96">
        <f t="shared" ref="I39:I57" si="112">IF(H39=0,0,IF($J$2&gt;J39,-IF(J39&lt;$J$2,NETWORKDAYS(J39,F39),NETWORKDAYS($J$2,F39)),IF($J$2&gt;F39,-IF(J39&lt;$J$2,NETWORKDAYS(J39,F39),NETWORKDAYS($J$2,F39)),IF(F39&gt;$J$2,0,NETWORKDAYS($J$2,F39)))))</f>
        <v>5</v>
      </c>
      <c r="J39" s="95">
        <v>45387</v>
      </c>
      <c r="K39" s="96"/>
      <c r="L39" s="95">
        <v>45439</v>
      </c>
      <c r="M39" s="96">
        <v>5</v>
      </c>
      <c r="N39" s="96">
        <f t="shared" ref="N39:N76" si="113">H39-M39</f>
        <v>0</v>
      </c>
      <c r="O39" s="96">
        <f t="shared" ref="O39:O40" si="114">IF(L39="",NETWORKDAYS($J$2,Q39),NETWORKDAYS(L39,Q39))</f>
        <v>9</v>
      </c>
      <c r="P39" s="95">
        <f t="shared" ref="P39" si="115">IF(F39&gt;$J$2,F39+N39-1,IF(AND(L39="",F39&gt;=$J$2),F39+N39,L39+N39))</f>
        <v>45439</v>
      </c>
      <c r="Q39" s="95">
        <v>45449</v>
      </c>
      <c r="R39" s="97" t="s">
        <v>64</v>
      </c>
      <c r="S39" s="97" t="str">
        <f t="shared" si="7"/>
        <v>Concluído</v>
      </c>
      <c r="T39" s="96">
        <f t="shared" si="108"/>
        <v>56</v>
      </c>
      <c r="U39" s="96">
        <f t="shared" ref="U39:U40" si="116">IF(J39="",0,_xlfn.DAYS(Q39,J39))</f>
        <v>62</v>
      </c>
      <c r="V39" s="79">
        <f t="shared" si="109"/>
        <v>1</v>
      </c>
      <c r="W39" s="80">
        <f t="shared" si="110"/>
        <v>1</v>
      </c>
    </row>
    <row r="40" spans="1:23" x14ac:dyDescent="0.3">
      <c r="A40" s="58">
        <v>2</v>
      </c>
      <c r="B40" s="59" t="s">
        <v>73</v>
      </c>
      <c r="C40" s="93" t="str">
        <f>$C$38&amp;"."&amp;A40</f>
        <v>PR.0079.7.2</v>
      </c>
      <c r="D40" s="110" t="s">
        <v>74</v>
      </c>
      <c r="E40" s="92"/>
      <c r="F40" s="95">
        <v>45387</v>
      </c>
      <c r="G40" s="96">
        <f t="shared" si="111"/>
        <v>1</v>
      </c>
      <c r="H40" s="96">
        <f t="shared" si="82"/>
        <v>1</v>
      </c>
      <c r="I40" s="96">
        <v>1</v>
      </c>
      <c r="J40" s="95">
        <v>45387</v>
      </c>
      <c r="K40" s="96"/>
      <c r="L40" s="95">
        <f>MAX(Q39)</f>
        <v>45449</v>
      </c>
      <c r="M40" s="96">
        <v>1</v>
      </c>
      <c r="N40" s="96">
        <f t="shared" si="113"/>
        <v>0</v>
      </c>
      <c r="O40" s="105">
        <f t="shared" si="114"/>
        <v>1</v>
      </c>
      <c r="P40" s="95">
        <f t="shared" ref="P40" si="117">IF(F40&gt;$J$2,F40+N40-1,IF(AND(L40="",F40&gt;=$J$2),F40+N40,L40+N40))</f>
        <v>45449</v>
      </c>
      <c r="Q40" s="95">
        <f t="shared" ref="Q40" si="118">IF(P40&lt;J40,J40,P40)</f>
        <v>45449</v>
      </c>
      <c r="R40" s="97" t="s">
        <v>64</v>
      </c>
      <c r="S40" s="97" t="str">
        <f t="shared" si="7"/>
        <v>Concluído</v>
      </c>
      <c r="T40" s="96">
        <f t="shared" si="108"/>
        <v>62</v>
      </c>
      <c r="U40" s="96">
        <f t="shared" si="116"/>
        <v>62</v>
      </c>
      <c r="V40" s="79">
        <f t="shared" si="109"/>
        <v>1</v>
      </c>
      <c r="W40" s="80">
        <f t="shared" si="110"/>
        <v>1</v>
      </c>
    </row>
    <row r="41" spans="1:23" x14ac:dyDescent="0.3">
      <c r="A41" s="58">
        <v>8</v>
      </c>
      <c r="B41" s="59" t="s">
        <v>65</v>
      </c>
      <c r="C41" s="93" t="str">
        <f>$C$6&amp;"."&amp;A41</f>
        <v>PR.0079.8</v>
      </c>
      <c r="D41" s="94" t="s">
        <v>105</v>
      </c>
      <c r="E41" s="92"/>
      <c r="F41" s="100">
        <f>IF(MIN(F42:F46)=0,$J$2,MIN(F42:F46))</f>
        <v>45390</v>
      </c>
      <c r="G41" s="96">
        <f t="shared" ref="G41:G52" si="119">IF(J41="",0,NETWORKDAYS(F41,J41))</f>
        <v>20</v>
      </c>
      <c r="H41" s="97">
        <f>SUM(H42:H46)</f>
        <v>31</v>
      </c>
      <c r="I41" s="97">
        <f>SUM(I42:I46)</f>
        <v>31</v>
      </c>
      <c r="J41" s="100">
        <f>IF(MAX(J42:J46)=0,$J$2,MAX(J42:J46))</f>
        <v>45415</v>
      </c>
      <c r="K41" s="102"/>
      <c r="L41" s="100">
        <f>IF(MIN(L42:L46)=0,$J$2,MIN(L42:L46))</f>
        <v>45449</v>
      </c>
      <c r="M41" s="97">
        <f>SUM(M42:M46)</f>
        <v>31</v>
      </c>
      <c r="N41" s="97">
        <f>SUM(N42:N46)</f>
        <v>0</v>
      </c>
      <c r="O41" s="96">
        <f>IF(L41="",NETWORKDAYS($J$2,Q41),NETWORKDAYS(L41,Q41))</f>
        <v>34</v>
      </c>
      <c r="P41" s="100">
        <f>IF(MAX(P42:P43)=0,$J$2,MAX(P42:P43))</f>
        <v>45481</v>
      </c>
      <c r="Q41" s="119">
        <f>IF(MAX(Q42:Q46)=0,$J$2,MAX(Q42:Q46))</f>
        <v>45496</v>
      </c>
      <c r="R41" s="102" t="s">
        <v>64</v>
      </c>
      <c r="S41" s="97" t="str">
        <f t="shared" si="7"/>
        <v>Concluído</v>
      </c>
      <c r="T41" s="97">
        <f t="shared" si="108"/>
        <v>59</v>
      </c>
      <c r="U41" s="97">
        <f>IF(J41="",0,_xlfn.DAYS(Q41,J41))</f>
        <v>81</v>
      </c>
      <c r="V41" s="80">
        <f t="shared" si="109"/>
        <v>1</v>
      </c>
      <c r="W41" s="80">
        <f t="shared" si="110"/>
        <v>1</v>
      </c>
    </row>
    <row r="42" spans="1:23" x14ac:dyDescent="0.3">
      <c r="A42" s="58">
        <v>1</v>
      </c>
      <c r="B42" s="59" t="s">
        <v>67</v>
      </c>
      <c r="C42" s="93" t="str">
        <f>$C$41&amp;"."&amp;A42</f>
        <v>PR.0079.8.1</v>
      </c>
      <c r="D42" s="106" t="s">
        <v>106</v>
      </c>
      <c r="E42" s="92" t="s">
        <v>93</v>
      </c>
      <c r="F42" s="95">
        <v>45390</v>
      </c>
      <c r="G42" s="96">
        <f t="shared" si="119"/>
        <v>15</v>
      </c>
      <c r="H42" s="96">
        <f t="shared" ref="H42:H46" si="120">G42</f>
        <v>15</v>
      </c>
      <c r="I42" s="96">
        <f t="shared" ref="I42:I45" si="121">IF(H42=0,0,IF($J$2&gt;J42,-IF(J42&lt;$J$2,NETWORKDAYS(J42,F42),NETWORKDAYS($J$2,F42)),IF($J$2&gt;F42,-IF(J42&lt;$J$2,NETWORKDAYS(J42,F42),NETWORKDAYS($J$2,F42)),IF(F42&gt;$J$2,0,NETWORKDAYS($J$2,F42)))))</f>
        <v>15</v>
      </c>
      <c r="J42" s="95">
        <v>45408</v>
      </c>
      <c r="K42" s="96"/>
      <c r="L42" s="95">
        <v>45449</v>
      </c>
      <c r="M42" s="97">
        <v>15</v>
      </c>
      <c r="N42" s="96">
        <f t="shared" ref="N42:N46" si="122">H42-M42</f>
        <v>0</v>
      </c>
      <c r="O42" s="96">
        <f t="shared" ref="O42:O52" si="123">IF(L42="",NETWORKDAYS($J$2,Q42),NETWORKDAYS(L42,Q42))</f>
        <v>27</v>
      </c>
      <c r="P42" s="95">
        <f t="shared" ref="P42:P46" si="124">IF(F42&gt;$J$2,F42+N42-1,IF(AND(L42="",F42&gt;=$J$2),F42+N42,L42+N42))</f>
        <v>45449</v>
      </c>
      <c r="Q42" s="95">
        <v>45485</v>
      </c>
      <c r="R42" s="97" t="s">
        <v>64</v>
      </c>
      <c r="S42" s="97" t="str">
        <f t="shared" ref="S42:S52" si="125">IF(V42=1,"Concluído",IF(V42=0,"Não iniciado","Em progresso"))</f>
        <v>Concluído</v>
      </c>
      <c r="T42" s="97">
        <f t="shared" si="108"/>
        <v>59</v>
      </c>
      <c r="U42" s="97">
        <f t="shared" ref="U42:U52" si="126">IF(J42="",0,_xlfn.DAYS(Q42,J42))</f>
        <v>77</v>
      </c>
      <c r="V42" s="80">
        <f t="shared" si="109"/>
        <v>1</v>
      </c>
      <c r="W42" s="80">
        <f t="shared" si="110"/>
        <v>1</v>
      </c>
    </row>
    <row r="43" spans="1:23" ht="28.8" x14ac:dyDescent="0.3">
      <c r="A43" s="58">
        <v>2</v>
      </c>
      <c r="B43" s="59" t="s">
        <v>67</v>
      </c>
      <c r="C43" s="93" t="str">
        <f>$C$41&amp;"."&amp;A43</f>
        <v>PR.0079.8.2</v>
      </c>
      <c r="D43" s="107" t="s">
        <v>107</v>
      </c>
      <c r="E43" s="92" t="s">
        <v>108</v>
      </c>
      <c r="F43" s="95">
        <v>45411</v>
      </c>
      <c r="G43" s="96">
        <f t="shared" si="119"/>
        <v>5</v>
      </c>
      <c r="H43" s="96">
        <f t="shared" si="120"/>
        <v>5</v>
      </c>
      <c r="I43" s="96">
        <f t="shared" si="121"/>
        <v>5</v>
      </c>
      <c r="J43" s="95">
        <v>45415</v>
      </c>
      <c r="K43" s="96"/>
      <c r="L43" s="95">
        <v>45481</v>
      </c>
      <c r="M43" s="97">
        <v>5</v>
      </c>
      <c r="N43" s="96">
        <f t="shared" si="122"/>
        <v>0</v>
      </c>
      <c r="O43" s="96">
        <f t="shared" si="123"/>
        <v>12</v>
      </c>
      <c r="P43" s="95">
        <f t="shared" si="124"/>
        <v>45481</v>
      </c>
      <c r="Q43" s="95">
        <v>45496</v>
      </c>
      <c r="R43" s="97" t="s">
        <v>64</v>
      </c>
      <c r="S43" s="97" t="str">
        <f t="shared" si="125"/>
        <v>Concluído</v>
      </c>
      <c r="T43" s="97">
        <f t="shared" si="108"/>
        <v>70</v>
      </c>
      <c r="U43" s="97">
        <f t="shared" si="126"/>
        <v>81</v>
      </c>
      <c r="V43" s="80">
        <f t="shared" si="109"/>
        <v>1</v>
      </c>
      <c r="W43" s="80">
        <f t="shared" si="110"/>
        <v>1</v>
      </c>
    </row>
    <row r="44" spans="1:23" ht="57.6" x14ac:dyDescent="0.3">
      <c r="A44" s="58">
        <v>3</v>
      </c>
      <c r="B44" s="59" t="s">
        <v>67</v>
      </c>
      <c r="C44" s="93" t="str">
        <f>$C$41&amp;"."&amp;A44</f>
        <v>PR.0079.8.3</v>
      </c>
      <c r="D44" s="106" t="s">
        <v>109</v>
      </c>
      <c r="E44" s="92" t="s">
        <v>99</v>
      </c>
      <c r="F44" s="95">
        <v>45411</v>
      </c>
      <c r="G44" s="96">
        <f t="shared" si="119"/>
        <v>5</v>
      </c>
      <c r="H44" s="96">
        <f t="shared" si="120"/>
        <v>5</v>
      </c>
      <c r="I44" s="96">
        <f t="shared" si="121"/>
        <v>5</v>
      </c>
      <c r="J44" s="95">
        <v>45415</v>
      </c>
      <c r="K44" s="96"/>
      <c r="L44" s="95">
        <v>45460</v>
      </c>
      <c r="M44" s="97">
        <v>5</v>
      </c>
      <c r="N44" s="96">
        <f t="shared" si="122"/>
        <v>0</v>
      </c>
      <c r="O44" s="96">
        <f t="shared" si="123"/>
        <v>5</v>
      </c>
      <c r="P44" s="95">
        <f t="shared" si="124"/>
        <v>45460</v>
      </c>
      <c r="Q44" s="95">
        <v>45464</v>
      </c>
      <c r="R44" s="97" t="s">
        <v>64</v>
      </c>
      <c r="S44" s="97" t="str">
        <f t="shared" si="125"/>
        <v>Concluído</v>
      </c>
      <c r="T44" s="97">
        <f t="shared" si="108"/>
        <v>49</v>
      </c>
      <c r="U44" s="97">
        <f t="shared" si="126"/>
        <v>49</v>
      </c>
      <c r="V44" s="80">
        <f t="shared" si="109"/>
        <v>1</v>
      </c>
      <c r="W44" s="80">
        <f t="shared" si="110"/>
        <v>1</v>
      </c>
    </row>
    <row r="45" spans="1:23" x14ac:dyDescent="0.3">
      <c r="A45" s="58">
        <v>4</v>
      </c>
      <c r="B45" s="59" t="s">
        <v>67</v>
      </c>
      <c r="C45" s="93" t="str">
        <f>$C$41&amp;"."&amp;A45</f>
        <v>PR.0079.8.4</v>
      </c>
      <c r="D45" s="106" t="s">
        <v>81</v>
      </c>
      <c r="E45" s="92" t="s">
        <v>15</v>
      </c>
      <c r="F45" s="95">
        <v>45411</v>
      </c>
      <c r="G45" s="96">
        <f t="shared" si="119"/>
        <v>5</v>
      </c>
      <c r="H45" s="96">
        <f t="shared" si="120"/>
        <v>5</v>
      </c>
      <c r="I45" s="96">
        <f t="shared" si="121"/>
        <v>5</v>
      </c>
      <c r="J45" s="95">
        <v>45415</v>
      </c>
      <c r="K45" s="96"/>
      <c r="L45" s="95">
        <v>45474</v>
      </c>
      <c r="M45" s="97">
        <v>5</v>
      </c>
      <c r="N45" s="96">
        <f t="shared" si="122"/>
        <v>0</v>
      </c>
      <c r="O45" s="96">
        <f t="shared" si="123"/>
        <v>5</v>
      </c>
      <c r="P45" s="95">
        <f t="shared" si="124"/>
        <v>45474</v>
      </c>
      <c r="Q45" s="95">
        <v>45478</v>
      </c>
      <c r="R45" s="97" t="s">
        <v>64</v>
      </c>
      <c r="S45" s="97" t="str">
        <f t="shared" si="125"/>
        <v>Concluído</v>
      </c>
      <c r="T45" s="97">
        <f t="shared" si="108"/>
        <v>63</v>
      </c>
      <c r="U45" s="97">
        <f t="shared" si="126"/>
        <v>63</v>
      </c>
      <c r="V45" s="80">
        <f t="shared" si="109"/>
        <v>1</v>
      </c>
      <c r="W45" s="80">
        <f t="shared" si="110"/>
        <v>1</v>
      </c>
    </row>
    <row r="46" spans="1:23" x14ac:dyDescent="0.3">
      <c r="A46" s="58">
        <v>5</v>
      </c>
      <c r="B46" s="59" t="s">
        <v>73</v>
      </c>
      <c r="C46" s="93" t="str">
        <f>$C$41&amp;"."&amp;A46</f>
        <v>PR.0079.8.5</v>
      </c>
      <c r="D46" s="92" t="s">
        <v>110</v>
      </c>
      <c r="E46" s="92"/>
      <c r="F46" s="95">
        <v>45415</v>
      </c>
      <c r="G46" s="96">
        <f t="shared" si="119"/>
        <v>1</v>
      </c>
      <c r="H46" s="96">
        <f t="shared" si="120"/>
        <v>1</v>
      </c>
      <c r="I46" s="96">
        <v>1</v>
      </c>
      <c r="J46" s="95">
        <v>45415</v>
      </c>
      <c r="K46" s="96"/>
      <c r="L46" s="95">
        <f>MAX(Q42:Q45)</f>
        <v>45496</v>
      </c>
      <c r="M46" s="97">
        <v>1</v>
      </c>
      <c r="N46" s="96">
        <f t="shared" si="122"/>
        <v>0</v>
      </c>
      <c r="O46" s="96">
        <f t="shared" si="123"/>
        <v>1</v>
      </c>
      <c r="P46" s="95">
        <f t="shared" si="124"/>
        <v>45496</v>
      </c>
      <c r="Q46" s="95">
        <f t="shared" ref="Q46" si="127">IF(P46&lt;J46,J46,P46)</f>
        <v>45496</v>
      </c>
      <c r="R46" s="97" t="s">
        <v>64</v>
      </c>
      <c r="S46" s="97" t="str">
        <f t="shared" si="125"/>
        <v>Concluído</v>
      </c>
      <c r="T46" s="97">
        <f t="shared" si="108"/>
        <v>81</v>
      </c>
      <c r="U46" s="97">
        <f t="shared" si="126"/>
        <v>81</v>
      </c>
      <c r="V46" s="80">
        <f t="shared" si="109"/>
        <v>1</v>
      </c>
      <c r="W46" s="80">
        <f t="shared" si="110"/>
        <v>1</v>
      </c>
    </row>
    <row r="47" spans="1:23" x14ac:dyDescent="0.3">
      <c r="A47" s="58">
        <v>9</v>
      </c>
      <c r="B47" s="59" t="s">
        <v>65</v>
      </c>
      <c r="C47" s="93" t="str">
        <f>$C$6&amp;"."&amp;A47</f>
        <v>PR.0079.9</v>
      </c>
      <c r="D47" s="94" t="s">
        <v>111</v>
      </c>
      <c r="E47" s="92"/>
      <c r="F47" s="100">
        <f>IF(MIN(F48:F52)=0,$J$2,MIN(F48:F52))</f>
        <v>45418</v>
      </c>
      <c r="G47" s="96">
        <f t="shared" si="119"/>
        <v>5</v>
      </c>
      <c r="H47" s="97">
        <f>SUM(H48:H52)</f>
        <v>16</v>
      </c>
      <c r="I47" s="97">
        <f>SUM(I48:I52)</f>
        <v>16</v>
      </c>
      <c r="J47" s="100">
        <f>IF(MAX(J48:J52)=0,$J$2,MAX(J48:J52))</f>
        <v>45422</v>
      </c>
      <c r="K47" s="102"/>
      <c r="L47" s="100">
        <f>IF(MIN(L48:L52)=0,$J$2,MIN(L48:L52))</f>
        <v>45488</v>
      </c>
      <c r="M47" s="97">
        <f t="shared" ref="M47:N47" si="128">SUM(M48:M52)</f>
        <v>16</v>
      </c>
      <c r="N47" s="97">
        <f t="shared" si="128"/>
        <v>0</v>
      </c>
      <c r="O47" s="96">
        <f t="shared" si="123"/>
        <v>14</v>
      </c>
      <c r="P47" s="100">
        <f>IF(MAX(P48:P49)=0,$J$2,MAX(P48:P49))</f>
        <v>45496</v>
      </c>
      <c r="Q47" s="119">
        <f>IF(MAX(Q48:Q52)=0,$J$2,MAX(Q48:Q52))</f>
        <v>45505</v>
      </c>
      <c r="R47" s="97" t="s">
        <v>64</v>
      </c>
      <c r="S47" s="97" t="str">
        <f t="shared" si="125"/>
        <v>Concluído</v>
      </c>
      <c r="T47" s="97">
        <f t="shared" si="108"/>
        <v>70</v>
      </c>
      <c r="U47" s="97">
        <f t="shared" si="126"/>
        <v>83</v>
      </c>
      <c r="V47" s="80">
        <f t="shared" si="109"/>
        <v>1</v>
      </c>
      <c r="W47" s="80">
        <f t="shared" si="110"/>
        <v>1</v>
      </c>
    </row>
    <row r="48" spans="1:23" ht="57.6" x14ac:dyDescent="0.3">
      <c r="A48" s="58">
        <v>1</v>
      </c>
      <c r="B48" s="59" t="s">
        <v>67</v>
      </c>
      <c r="C48" s="93" t="str">
        <f>$C$47&amp;"."&amp;A48</f>
        <v>PR.0079.9.1</v>
      </c>
      <c r="D48" s="106" t="s">
        <v>98</v>
      </c>
      <c r="E48" s="92" t="s">
        <v>99</v>
      </c>
      <c r="F48" s="95">
        <v>45418</v>
      </c>
      <c r="G48" s="96">
        <f t="shared" si="119"/>
        <v>5</v>
      </c>
      <c r="H48" s="96">
        <f t="shared" ref="H48:H52" si="129">G48</f>
        <v>5</v>
      </c>
      <c r="I48" s="96">
        <f t="shared" ref="I48:I50" si="130">IF(H48=0,0,IF($J$2&gt;J48,-IF(J48&lt;$J$2,NETWORKDAYS(J48,F48),NETWORKDAYS($J$2,F48)),IF($J$2&gt;F48,-IF(J48&lt;$J$2,NETWORKDAYS(J48,F48),NETWORKDAYS($J$2,F48)),IF(F48&gt;$J$2,0,NETWORKDAYS($J$2,F48)))))</f>
        <v>5</v>
      </c>
      <c r="J48" s="95">
        <v>45422</v>
      </c>
      <c r="K48" s="96"/>
      <c r="L48" s="95">
        <v>45488</v>
      </c>
      <c r="M48" s="97">
        <v>5</v>
      </c>
      <c r="N48" s="96">
        <f t="shared" ref="N48:N52" si="131">H48-M48</f>
        <v>0</v>
      </c>
      <c r="O48" s="96">
        <f t="shared" si="123"/>
        <v>10</v>
      </c>
      <c r="P48" s="95">
        <f t="shared" ref="P48:P52" si="132">IF(F48&gt;$J$2,F48+N48-1,IF(AND(L48="",F48&gt;=$J$2),F48+N48,L48+N48))</f>
        <v>45488</v>
      </c>
      <c r="Q48" s="95">
        <v>45499</v>
      </c>
      <c r="R48" s="97" t="s">
        <v>64</v>
      </c>
      <c r="S48" s="97" t="str">
        <f t="shared" si="125"/>
        <v>Concluído</v>
      </c>
      <c r="T48" s="97">
        <f t="shared" si="108"/>
        <v>70</v>
      </c>
      <c r="U48" s="97">
        <f t="shared" si="126"/>
        <v>77</v>
      </c>
      <c r="V48" s="80">
        <f t="shared" si="109"/>
        <v>1</v>
      </c>
      <c r="W48" s="80">
        <f t="shared" si="110"/>
        <v>1</v>
      </c>
    </row>
    <row r="49" spans="1:23" ht="57.6" x14ac:dyDescent="0.3">
      <c r="A49" s="58">
        <v>2</v>
      </c>
      <c r="B49" s="59" t="s">
        <v>67</v>
      </c>
      <c r="C49" s="93" t="str">
        <f>$C$47&amp;"."&amp;A49</f>
        <v>PR.0079.9.2</v>
      </c>
      <c r="D49" s="106" t="s">
        <v>101</v>
      </c>
      <c r="E49" s="92" t="s">
        <v>99</v>
      </c>
      <c r="F49" s="95">
        <v>45418</v>
      </c>
      <c r="G49" s="96">
        <f t="shared" si="119"/>
        <v>5</v>
      </c>
      <c r="H49" s="96">
        <f t="shared" si="129"/>
        <v>5</v>
      </c>
      <c r="I49" s="96">
        <f t="shared" si="130"/>
        <v>5</v>
      </c>
      <c r="J49" s="95">
        <v>45422</v>
      </c>
      <c r="K49" s="96"/>
      <c r="L49" s="95">
        <v>45496</v>
      </c>
      <c r="M49" s="97">
        <v>5</v>
      </c>
      <c r="N49" s="96">
        <f t="shared" si="131"/>
        <v>0</v>
      </c>
      <c r="O49" s="96">
        <f t="shared" si="123"/>
        <v>4</v>
      </c>
      <c r="P49" s="95">
        <f t="shared" si="132"/>
        <v>45496</v>
      </c>
      <c r="Q49" s="95">
        <v>45499</v>
      </c>
      <c r="R49" s="97" t="s">
        <v>64</v>
      </c>
      <c r="S49" s="97" t="str">
        <f t="shared" si="125"/>
        <v>Concluído</v>
      </c>
      <c r="T49" s="97">
        <f t="shared" si="108"/>
        <v>78</v>
      </c>
      <c r="U49" s="97">
        <f t="shared" si="126"/>
        <v>77</v>
      </c>
      <c r="V49" s="80">
        <f t="shared" si="109"/>
        <v>1</v>
      </c>
      <c r="W49" s="80">
        <f t="shared" si="110"/>
        <v>1</v>
      </c>
    </row>
    <row r="50" spans="1:23" x14ac:dyDescent="0.3">
      <c r="A50" s="58">
        <v>3</v>
      </c>
      <c r="B50" s="59" t="s">
        <v>67</v>
      </c>
      <c r="C50" s="93" t="str">
        <f>$C$47&amp;"."&amp;A50</f>
        <v>PR.0079.9.3</v>
      </c>
      <c r="D50" s="106" t="s">
        <v>86</v>
      </c>
      <c r="E50" s="92" t="s">
        <v>15</v>
      </c>
      <c r="F50" s="95">
        <v>45418</v>
      </c>
      <c r="G50" s="96">
        <f t="shared" si="119"/>
        <v>5</v>
      </c>
      <c r="H50" s="96">
        <f t="shared" si="129"/>
        <v>5</v>
      </c>
      <c r="I50" s="96">
        <f t="shared" si="130"/>
        <v>5</v>
      </c>
      <c r="J50" s="95">
        <v>45422</v>
      </c>
      <c r="K50" s="96"/>
      <c r="L50" s="95">
        <v>45502</v>
      </c>
      <c r="M50" s="97">
        <v>5</v>
      </c>
      <c r="N50" s="96">
        <f t="shared" si="131"/>
        <v>0</v>
      </c>
      <c r="O50" s="96">
        <f t="shared" si="123"/>
        <v>4</v>
      </c>
      <c r="P50" s="95">
        <f t="shared" si="132"/>
        <v>45502</v>
      </c>
      <c r="Q50" s="95">
        <v>45505</v>
      </c>
      <c r="R50" s="97" t="s">
        <v>64</v>
      </c>
      <c r="S50" s="97" t="str">
        <f t="shared" si="125"/>
        <v>Concluído</v>
      </c>
      <c r="T50" s="97">
        <f t="shared" si="108"/>
        <v>84</v>
      </c>
      <c r="U50" s="97">
        <f t="shared" si="126"/>
        <v>83</v>
      </c>
      <c r="V50" s="80">
        <f t="shared" si="109"/>
        <v>1</v>
      </c>
      <c r="W50" s="80">
        <f t="shared" si="110"/>
        <v>1</v>
      </c>
    </row>
    <row r="51" spans="1:23" s="135" customFormat="1" x14ac:dyDescent="0.3">
      <c r="A51" s="125">
        <v>4</v>
      </c>
      <c r="B51" s="126" t="s">
        <v>67</v>
      </c>
      <c r="C51" s="127" t="str">
        <f>$C$47&amp;"."&amp;A51</f>
        <v>PR.0079.9.4</v>
      </c>
      <c r="D51" s="128" t="s">
        <v>112</v>
      </c>
      <c r="E51" s="129" t="s">
        <v>15</v>
      </c>
      <c r="F51" s="130">
        <v>45418</v>
      </c>
      <c r="G51" s="131">
        <f t="shared" si="119"/>
        <v>5</v>
      </c>
      <c r="H51" s="131"/>
      <c r="I51" s="131"/>
      <c r="J51" s="130">
        <v>45422</v>
      </c>
      <c r="K51" s="131"/>
      <c r="L51" s="130">
        <v>45502</v>
      </c>
      <c r="M51" s="132">
        <v>0</v>
      </c>
      <c r="N51" s="131">
        <f t="shared" si="131"/>
        <v>0</v>
      </c>
      <c r="O51" s="131">
        <f t="shared" si="123"/>
        <v>1</v>
      </c>
      <c r="P51" s="130">
        <f t="shared" si="132"/>
        <v>45502</v>
      </c>
      <c r="Q51" s="133">
        <f t="shared" ref="Q51" si="133">IF(P51&lt;J51,J51,P51)</f>
        <v>45502</v>
      </c>
      <c r="R51" s="132" t="s">
        <v>113</v>
      </c>
      <c r="S51" s="132" t="str">
        <f t="shared" si="125"/>
        <v>Não iniciado</v>
      </c>
      <c r="T51" s="132">
        <f t="shared" si="108"/>
        <v>84</v>
      </c>
      <c r="U51" s="132">
        <f t="shared" si="126"/>
        <v>80</v>
      </c>
      <c r="V51" s="134">
        <f t="shared" si="109"/>
        <v>0</v>
      </c>
      <c r="W51" s="134">
        <f t="shared" si="110"/>
        <v>0</v>
      </c>
    </row>
    <row r="52" spans="1:23" x14ac:dyDescent="0.3">
      <c r="A52" s="58">
        <v>5</v>
      </c>
      <c r="B52" s="59" t="s">
        <v>73</v>
      </c>
      <c r="C52" s="93" t="str">
        <f>$C$47&amp;"."&amp;A52</f>
        <v>PR.0079.9.5</v>
      </c>
      <c r="D52" s="106" t="s">
        <v>114</v>
      </c>
      <c r="E52" s="92"/>
      <c r="F52" s="95">
        <v>45422</v>
      </c>
      <c r="G52" s="96">
        <f t="shared" si="119"/>
        <v>1</v>
      </c>
      <c r="H52" s="96">
        <f t="shared" si="129"/>
        <v>1</v>
      </c>
      <c r="I52" s="96">
        <v>1</v>
      </c>
      <c r="J52" s="95">
        <v>45422</v>
      </c>
      <c r="K52" s="96"/>
      <c r="L52" s="95">
        <f>MAX(Q48:Q51)</f>
        <v>45505</v>
      </c>
      <c r="M52" s="97">
        <v>1</v>
      </c>
      <c r="N52" s="96">
        <f t="shared" si="131"/>
        <v>0</v>
      </c>
      <c r="O52" s="96">
        <f t="shared" si="123"/>
        <v>1</v>
      </c>
      <c r="P52" s="95">
        <f t="shared" si="132"/>
        <v>45505</v>
      </c>
      <c r="Q52" s="119">
        <f>IF(MAX(Q48:Q51)=0,$J$2,MAX(Q48:Q51))</f>
        <v>45505</v>
      </c>
      <c r="R52" s="97" t="s">
        <v>64</v>
      </c>
      <c r="S52" s="97" t="str">
        <f t="shared" si="125"/>
        <v>Concluído</v>
      </c>
      <c r="T52" s="97">
        <f t="shared" si="108"/>
        <v>83</v>
      </c>
      <c r="U52" s="97">
        <f t="shared" si="126"/>
        <v>83</v>
      </c>
      <c r="V52" s="80">
        <f t="shared" si="109"/>
        <v>1</v>
      </c>
      <c r="W52" s="80">
        <f t="shared" si="110"/>
        <v>1</v>
      </c>
    </row>
    <row r="53" spans="1:23" x14ac:dyDescent="0.3">
      <c r="A53" s="58">
        <v>10</v>
      </c>
      <c r="B53" s="59" t="s">
        <v>65</v>
      </c>
      <c r="C53" s="93" t="str">
        <f>$C$6&amp;"."&amp;A53</f>
        <v>PR.0079.10</v>
      </c>
      <c r="D53" s="94" t="s">
        <v>115</v>
      </c>
      <c r="E53" s="92"/>
      <c r="F53" s="100">
        <f>IF(MIN(F54:F58)=0,$J$2,MIN(F54:F58))</f>
        <v>45509</v>
      </c>
      <c r="G53" s="96">
        <f t="shared" si="111"/>
        <v>21</v>
      </c>
      <c r="H53" s="97">
        <f>SUM(H54:H58)</f>
        <v>47</v>
      </c>
      <c r="I53" s="97">
        <f>SUM(I54:I58)</f>
        <v>47</v>
      </c>
      <c r="J53" s="100">
        <f>IF(MAX(J54:J58)=0,$J$2,MAX(J54:J58))</f>
        <v>45537</v>
      </c>
      <c r="K53" s="102"/>
      <c r="L53" s="100">
        <f>IF(MIN(L54:L58)=0,$J$2,MIN(L54:L58))</f>
        <v>45509</v>
      </c>
      <c r="M53" s="97">
        <f>SUM(M54:M58)</f>
        <v>47</v>
      </c>
      <c r="N53" s="97">
        <f>SUM(N54:N58)</f>
        <v>0</v>
      </c>
      <c r="O53" s="96">
        <f>IF(L53="",NETWORKDAYS($J$2,Q53),NETWORKDAYS(L53,Q53))</f>
        <v>65</v>
      </c>
      <c r="P53" s="100">
        <f>IF(MAX(P54:P55)=0,$J$2,MAX(P54:P55))</f>
        <v>45544</v>
      </c>
      <c r="Q53" s="119">
        <f>IF(MAX(Q54:Q58)=0,$J$2,MAX(Q54:Q58))</f>
        <v>45597</v>
      </c>
      <c r="R53" s="102" t="s">
        <v>64</v>
      </c>
      <c r="S53" s="97" t="str">
        <f t="shared" ref="S53" si="134">IF(V53=1,"Concluído",IF(V53=0,"Não iniciado","Em progresso"))</f>
        <v>Concluído</v>
      </c>
      <c r="T53" s="97">
        <f t="shared" ref="T53" si="135">IF(L53="",0,IF(L53="",IF(F53&gt;$J$2,0,_xlfn.DAYS($J$2,F53)),_xlfn.DAYS(L53,F53)))</f>
        <v>0</v>
      </c>
      <c r="U53" s="97">
        <f>IF(J53="",0,_xlfn.DAYS(Q53,J53))</f>
        <v>60</v>
      </c>
      <c r="V53" s="80">
        <f t="shared" ref="V53" si="136">IF(M53=0,0,M53/SUM(M53:N53))</f>
        <v>1</v>
      </c>
      <c r="W53" s="80">
        <f t="shared" ref="W53" si="137">IF(I53=0,0,I53/H53)</f>
        <v>1</v>
      </c>
    </row>
    <row r="54" spans="1:23" x14ac:dyDescent="0.3">
      <c r="A54" s="58">
        <v>1</v>
      </c>
      <c r="B54" s="59" t="s">
        <v>67</v>
      </c>
      <c r="C54" s="93" t="str">
        <f>$C$53&amp;"."&amp;A54</f>
        <v>PR.0079.10.1</v>
      </c>
      <c r="D54" s="106" t="s">
        <v>116</v>
      </c>
      <c r="E54" s="92" t="s">
        <v>93</v>
      </c>
      <c r="F54" s="95">
        <v>45509</v>
      </c>
      <c r="G54" s="96">
        <f t="shared" si="111"/>
        <v>20</v>
      </c>
      <c r="H54" s="96">
        <f t="shared" si="82"/>
        <v>20</v>
      </c>
      <c r="I54" s="96">
        <f t="shared" si="112"/>
        <v>20</v>
      </c>
      <c r="J54" s="95">
        <v>45534</v>
      </c>
      <c r="K54" s="96"/>
      <c r="L54" s="95">
        <f>F54</f>
        <v>45509</v>
      </c>
      <c r="M54" s="97">
        <v>20</v>
      </c>
      <c r="N54" s="96">
        <f t="shared" si="113"/>
        <v>0</v>
      </c>
      <c r="O54" s="96">
        <f t="shared" ref="O54:O76" si="138">IF(L54="",NETWORKDAYS($J$2,Q54),NETWORKDAYS(L54,Q54))</f>
        <v>40</v>
      </c>
      <c r="P54" s="95">
        <f t="shared" ref="P54:P76" si="139">IF(F54&gt;$J$2,F54+N54-1,IF(AND(L54="",F54&gt;=$J$2),F54+N54,L54+N54))</f>
        <v>45509</v>
      </c>
      <c r="Q54" s="95">
        <v>45562</v>
      </c>
      <c r="R54" s="97" t="s">
        <v>64</v>
      </c>
      <c r="S54" s="97" t="str">
        <f t="shared" si="7"/>
        <v>Concluído</v>
      </c>
      <c r="T54" s="97">
        <f t="shared" ref="T54:T58" si="140">IF(L54="",0,IF(L54="",IF(F54&gt;$J$2,0,_xlfn.DAYS($J$2,F54)),_xlfn.DAYS(L54,F54)))</f>
        <v>0</v>
      </c>
      <c r="U54" s="97">
        <f t="shared" ref="U54:U58" si="141">IF(J54="",0,_xlfn.DAYS(Q54,J54))</f>
        <v>28</v>
      </c>
      <c r="V54" s="80">
        <f t="shared" ref="V54:V76" si="142">IF(M54=0,0,M54/SUM(M54:N54))</f>
        <v>1</v>
      </c>
      <c r="W54" s="80">
        <f t="shared" ref="W54:W76" si="143">IF(I54=0,0,I54/H54)</f>
        <v>1</v>
      </c>
    </row>
    <row r="55" spans="1:23" ht="28.8" x14ac:dyDescent="0.3">
      <c r="A55" s="58">
        <v>2</v>
      </c>
      <c r="B55" s="59" t="s">
        <v>67</v>
      </c>
      <c r="C55" s="93" t="str">
        <f t="shared" ref="C55:C58" si="144">$C$53&amp;"."&amp;A55</f>
        <v>PR.0079.10.2</v>
      </c>
      <c r="D55" s="107" t="s">
        <v>117</v>
      </c>
      <c r="E55" s="92" t="s">
        <v>108</v>
      </c>
      <c r="F55" s="95">
        <v>45513</v>
      </c>
      <c r="G55" s="96">
        <f t="shared" si="111"/>
        <v>16</v>
      </c>
      <c r="H55" s="96">
        <f t="shared" si="82"/>
        <v>16</v>
      </c>
      <c r="I55" s="96">
        <f t="shared" si="112"/>
        <v>16</v>
      </c>
      <c r="J55" s="95">
        <v>45534</v>
      </c>
      <c r="K55" s="96"/>
      <c r="L55" s="95">
        <v>45544</v>
      </c>
      <c r="M55" s="97">
        <v>16</v>
      </c>
      <c r="N55" s="96">
        <f t="shared" si="113"/>
        <v>0</v>
      </c>
      <c r="O55" s="96">
        <f t="shared" si="138"/>
        <v>30</v>
      </c>
      <c r="P55" s="95">
        <f t="shared" si="139"/>
        <v>45544</v>
      </c>
      <c r="Q55" s="95">
        <v>45583</v>
      </c>
      <c r="R55" s="97" t="s">
        <v>64</v>
      </c>
      <c r="S55" s="97" t="str">
        <f t="shared" si="7"/>
        <v>Concluído</v>
      </c>
      <c r="T55" s="97">
        <f t="shared" si="140"/>
        <v>31</v>
      </c>
      <c r="U55" s="97">
        <f t="shared" si="141"/>
        <v>49</v>
      </c>
      <c r="V55" s="80">
        <f t="shared" si="142"/>
        <v>1</v>
      </c>
      <c r="W55" s="80">
        <f t="shared" si="143"/>
        <v>1</v>
      </c>
    </row>
    <row r="56" spans="1:23" ht="57.6" x14ac:dyDescent="0.3">
      <c r="A56" s="58">
        <v>3</v>
      </c>
      <c r="B56" s="59" t="s">
        <v>67</v>
      </c>
      <c r="C56" s="93" t="str">
        <f t="shared" si="144"/>
        <v>PR.0079.10.3</v>
      </c>
      <c r="D56" s="106" t="s">
        <v>118</v>
      </c>
      <c r="E56" s="92" t="s">
        <v>99</v>
      </c>
      <c r="F56" s="95">
        <v>45530</v>
      </c>
      <c r="G56" s="96">
        <f t="shared" si="111"/>
        <v>5</v>
      </c>
      <c r="H56" s="96">
        <f t="shared" si="82"/>
        <v>5</v>
      </c>
      <c r="I56" s="96">
        <f t="shared" si="112"/>
        <v>5</v>
      </c>
      <c r="J56" s="95">
        <v>45534</v>
      </c>
      <c r="K56" s="96"/>
      <c r="L56" s="95">
        <v>45551</v>
      </c>
      <c r="M56" s="97">
        <v>5</v>
      </c>
      <c r="N56" s="96">
        <f t="shared" si="113"/>
        <v>0</v>
      </c>
      <c r="O56" s="96">
        <f t="shared" si="138"/>
        <v>35</v>
      </c>
      <c r="P56" s="95">
        <f t="shared" si="139"/>
        <v>45551</v>
      </c>
      <c r="Q56" s="95">
        <v>45597</v>
      </c>
      <c r="R56" s="97" t="s">
        <v>64</v>
      </c>
      <c r="S56" s="97" t="str">
        <f t="shared" si="7"/>
        <v>Concluído</v>
      </c>
      <c r="T56" s="97">
        <f t="shared" si="140"/>
        <v>21</v>
      </c>
      <c r="U56" s="97">
        <f t="shared" si="141"/>
        <v>63</v>
      </c>
      <c r="V56" s="80">
        <f t="shared" si="142"/>
        <v>1</v>
      </c>
      <c r="W56" s="80">
        <f t="shared" si="143"/>
        <v>1</v>
      </c>
    </row>
    <row r="57" spans="1:23" x14ac:dyDescent="0.3">
      <c r="A57" s="58">
        <v>4</v>
      </c>
      <c r="B57" s="59" t="s">
        <v>67</v>
      </c>
      <c r="C57" s="93" t="str">
        <f t="shared" si="144"/>
        <v>PR.0079.10.4</v>
      </c>
      <c r="D57" s="106" t="s">
        <v>81</v>
      </c>
      <c r="E57" s="92" t="s">
        <v>15</v>
      </c>
      <c r="F57" s="95">
        <v>45530</v>
      </c>
      <c r="G57" s="96">
        <f t="shared" si="111"/>
        <v>5</v>
      </c>
      <c r="H57" s="96">
        <f t="shared" si="82"/>
        <v>5</v>
      </c>
      <c r="I57" s="96">
        <f t="shared" si="112"/>
        <v>5</v>
      </c>
      <c r="J57" s="95">
        <v>45534</v>
      </c>
      <c r="K57" s="96"/>
      <c r="L57" s="95">
        <v>45586</v>
      </c>
      <c r="M57" s="97">
        <v>5</v>
      </c>
      <c r="N57" s="96">
        <f t="shared" si="113"/>
        <v>0</v>
      </c>
      <c r="O57" s="96">
        <f t="shared" si="138"/>
        <v>1</v>
      </c>
      <c r="P57" s="95">
        <f t="shared" si="139"/>
        <v>45586</v>
      </c>
      <c r="Q57" s="95">
        <f>IF(P57&lt;J57,J57,P57)</f>
        <v>45586</v>
      </c>
      <c r="R57" s="97" t="s">
        <v>64</v>
      </c>
      <c r="S57" s="97" t="str">
        <f t="shared" si="7"/>
        <v>Concluído</v>
      </c>
      <c r="T57" s="97">
        <f t="shared" si="140"/>
        <v>56</v>
      </c>
      <c r="U57" s="97">
        <f t="shared" si="141"/>
        <v>52</v>
      </c>
      <c r="V57" s="80">
        <f t="shared" si="142"/>
        <v>1</v>
      </c>
      <c r="W57" s="80">
        <f t="shared" si="143"/>
        <v>1</v>
      </c>
    </row>
    <row r="58" spans="1:23" x14ac:dyDescent="0.3">
      <c r="A58" s="58">
        <v>5</v>
      </c>
      <c r="B58" s="59" t="s">
        <v>73</v>
      </c>
      <c r="C58" s="93" t="str">
        <f t="shared" si="144"/>
        <v>PR.0079.10.5</v>
      </c>
      <c r="D58" s="92" t="s">
        <v>119</v>
      </c>
      <c r="E58" s="92"/>
      <c r="F58" s="95">
        <v>45537</v>
      </c>
      <c r="G58" s="96">
        <f t="shared" si="111"/>
        <v>1</v>
      </c>
      <c r="H58" s="96">
        <f t="shared" ref="H58" si="145">G58</f>
        <v>1</v>
      </c>
      <c r="I58" s="96">
        <v>1</v>
      </c>
      <c r="J58" s="95">
        <v>45537</v>
      </c>
      <c r="K58" s="96"/>
      <c r="L58" s="95">
        <f>MAX(Q54:Q57)</f>
        <v>45597</v>
      </c>
      <c r="M58" s="97">
        <v>1</v>
      </c>
      <c r="N58" s="96">
        <f t="shared" si="113"/>
        <v>0</v>
      </c>
      <c r="O58" s="96">
        <f t="shared" si="138"/>
        <v>1</v>
      </c>
      <c r="P58" s="95">
        <f>IF(F58&gt;$J$2,F58+N58-1,IF(AND(L58="",F58&gt;=$J$2),F58+N58,L58+N58))</f>
        <v>45597</v>
      </c>
      <c r="Q58" s="95">
        <f t="shared" ref="Q58" si="146">IF(P58&lt;J58,J58,P58)</f>
        <v>45597</v>
      </c>
      <c r="R58" s="97" t="s">
        <v>64</v>
      </c>
      <c r="S58" s="97" t="str">
        <f t="shared" si="7"/>
        <v>Concluído</v>
      </c>
      <c r="T58" s="97">
        <f t="shared" si="140"/>
        <v>60</v>
      </c>
      <c r="U58" s="97">
        <f t="shared" si="141"/>
        <v>60</v>
      </c>
      <c r="V58" s="80">
        <f t="shared" si="142"/>
        <v>1</v>
      </c>
      <c r="W58" s="80">
        <f t="shared" si="143"/>
        <v>1</v>
      </c>
    </row>
    <row r="59" spans="1:23" x14ac:dyDescent="0.3">
      <c r="A59" s="125">
        <v>11</v>
      </c>
      <c r="B59" s="126" t="s">
        <v>65</v>
      </c>
      <c r="C59" s="127" t="str">
        <f>$C$6&amp;"."&amp;A59</f>
        <v>PR.0079.11</v>
      </c>
      <c r="D59" s="128" t="s">
        <v>120</v>
      </c>
      <c r="E59" s="129"/>
      <c r="F59" s="130">
        <f>IF(MIN(F60:F64)=0,$J$2,MIN(F60:F64))</f>
        <v>45538</v>
      </c>
      <c r="G59" s="131">
        <f t="shared" si="111"/>
        <v>20</v>
      </c>
      <c r="H59" s="131">
        <f>SUM(H60:H64)</f>
        <v>0</v>
      </c>
      <c r="I59" s="131">
        <f>SUM(I60:I64)</f>
        <v>0</v>
      </c>
      <c r="J59" s="130">
        <f>IF(MAX(J60:J64)=0,$J$2,MAX(J60:J64))</f>
        <v>45565</v>
      </c>
      <c r="K59" s="131"/>
      <c r="L59" s="95">
        <f>IF(MIN(L60:L64)=0,$J$2,MIN(L60:L64))</f>
        <v>45595</v>
      </c>
      <c r="M59" s="132">
        <f t="shared" ref="M59:N59" si="147">SUM(M60:M64)</f>
        <v>0</v>
      </c>
      <c r="N59" s="131">
        <f t="shared" si="147"/>
        <v>0</v>
      </c>
      <c r="O59" s="131">
        <f t="shared" si="138"/>
        <v>6</v>
      </c>
      <c r="P59" s="130">
        <f>IF(MAX(P60:P61)=0,$J$2,MAX(P60:P61))</f>
        <v>45600</v>
      </c>
      <c r="Q59" s="130">
        <f>IF(MAX(Q60:Q64)=0,$J$2,MAX(Q60:Q64))</f>
        <v>45602</v>
      </c>
      <c r="R59" s="132" t="s">
        <v>113</v>
      </c>
      <c r="S59" s="132" t="str">
        <f t="shared" si="7"/>
        <v>Não iniciado</v>
      </c>
      <c r="T59" s="132"/>
      <c r="U59" s="132"/>
      <c r="V59" s="134">
        <f t="shared" si="142"/>
        <v>0</v>
      </c>
      <c r="W59" s="134">
        <f t="shared" si="143"/>
        <v>0</v>
      </c>
    </row>
    <row r="60" spans="1:23" ht="57.6" x14ac:dyDescent="0.3">
      <c r="A60" s="125">
        <v>1</v>
      </c>
      <c r="B60" s="126" t="s">
        <v>67</v>
      </c>
      <c r="C60" s="127" t="str">
        <f>$C$59&amp;"."&amp;A60</f>
        <v>PR.0079.11.1</v>
      </c>
      <c r="D60" s="128" t="s">
        <v>98</v>
      </c>
      <c r="E60" s="129" t="s">
        <v>99</v>
      </c>
      <c r="F60" s="130">
        <v>45538</v>
      </c>
      <c r="G60" s="131"/>
      <c r="H60" s="131"/>
      <c r="I60" s="131"/>
      <c r="J60" s="130">
        <v>45541</v>
      </c>
      <c r="K60" s="131"/>
      <c r="L60" s="95">
        <v>45600</v>
      </c>
      <c r="M60" s="132">
        <v>0</v>
      </c>
      <c r="N60" s="131">
        <f t="shared" si="113"/>
        <v>0</v>
      </c>
      <c r="O60" s="131">
        <f t="shared" si="138"/>
        <v>1</v>
      </c>
      <c r="P60" s="130">
        <f t="shared" si="139"/>
        <v>45600</v>
      </c>
      <c r="Q60" s="130">
        <f>IF(P60&lt;J60,J60,P60)</f>
        <v>45600</v>
      </c>
      <c r="R60" s="132" t="s">
        <v>113</v>
      </c>
      <c r="S60" s="132" t="str">
        <f t="shared" si="7"/>
        <v>Não iniciado</v>
      </c>
      <c r="T60" s="132"/>
      <c r="U60" s="132"/>
      <c r="V60" s="134">
        <f t="shared" si="142"/>
        <v>0</v>
      </c>
      <c r="W60" s="134">
        <f t="shared" si="143"/>
        <v>0</v>
      </c>
    </row>
    <row r="61" spans="1:23" ht="57.6" x14ac:dyDescent="0.3">
      <c r="A61" s="125">
        <v>2</v>
      </c>
      <c r="B61" s="126" t="s">
        <v>67</v>
      </c>
      <c r="C61" s="127" t="str">
        <f t="shared" ref="C61:C64" si="148">$C$59&amp;"."&amp;A61</f>
        <v>PR.0079.11.2</v>
      </c>
      <c r="D61" s="128" t="s">
        <v>101</v>
      </c>
      <c r="E61" s="129" t="s">
        <v>99</v>
      </c>
      <c r="F61" s="130">
        <v>45544</v>
      </c>
      <c r="G61" s="131"/>
      <c r="H61" s="131"/>
      <c r="I61" s="131"/>
      <c r="J61" s="130">
        <v>45548</v>
      </c>
      <c r="K61" s="131"/>
      <c r="L61" s="95"/>
      <c r="M61" s="132"/>
      <c r="N61" s="131"/>
      <c r="O61" s="131"/>
      <c r="P61" s="130"/>
      <c r="Q61" s="130"/>
      <c r="R61" s="132" t="s">
        <v>113</v>
      </c>
      <c r="S61" s="132" t="str">
        <f t="shared" si="7"/>
        <v>Não iniciado</v>
      </c>
      <c r="T61" s="132"/>
      <c r="U61" s="132"/>
      <c r="V61" s="134">
        <f t="shared" si="142"/>
        <v>0</v>
      </c>
      <c r="W61" s="134">
        <f t="shared" si="143"/>
        <v>0</v>
      </c>
    </row>
    <row r="62" spans="1:23" x14ac:dyDescent="0.3">
      <c r="A62" s="125">
        <v>3</v>
      </c>
      <c r="B62" s="126" t="s">
        <v>67</v>
      </c>
      <c r="C62" s="127" t="str">
        <f t="shared" si="148"/>
        <v>PR.0079.11.3</v>
      </c>
      <c r="D62" s="128" t="s">
        <v>86</v>
      </c>
      <c r="E62" s="129" t="s">
        <v>15</v>
      </c>
      <c r="F62" s="130">
        <v>45551</v>
      </c>
      <c r="G62" s="131"/>
      <c r="H62" s="131"/>
      <c r="I62" s="131"/>
      <c r="J62" s="130">
        <v>45555</v>
      </c>
      <c r="K62" s="131"/>
      <c r="L62" s="95">
        <v>45595</v>
      </c>
      <c r="M62" s="132">
        <v>0</v>
      </c>
      <c r="N62" s="131">
        <f t="shared" si="113"/>
        <v>0</v>
      </c>
      <c r="O62" s="131">
        <f t="shared" si="138"/>
        <v>1</v>
      </c>
      <c r="P62" s="130">
        <f t="shared" si="139"/>
        <v>45595</v>
      </c>
      <c r="Q62" s="130">
        <f>IF(P62&lt;J62,J62,P62)</f>
        <v>45595</v>
      </c>
      <c r="R62" s="132" t="s">
        <v>113</v>
      </c>
      <c r="S62" s="132" t="str">
        <f t="shared" si="7"/>
        <v>Não iniciado</v>
      </c>
      <c r="T62" s="132"/>
      <c r="U62" s="132"/>
      <c r="V62" s="134">
        <f t="shared" si="142"/>
        <v>0</v>
      </c>
      <c r="W62" s="134">
        <f t="shared" si="143"/>
        <v>0</v>
      </c>
    </row>
    <row r="63" spans="1:23" x14ac:dyDescent="0.3">
      <c r="A63" s="125">
        <v>4</v>
      </c>
      <c r="B63" s="126" t="s">
        <v>67</v>
      </c>
      <c r="C63" s="127" t="str">
        <f t="shared" si="148"/>
        <v>PR.0079.11.4</v>
      </c>
      <c r="D63" s="128" t="s">
        <v>112</v>
      </c>
      <c r="E63" s="129" t="s">
        <v>15</v>
      </c>
      <c r="F63" s="130">
        <v>45558</v>
      </c>
      <c r="G63" s="131"/>
      <c r="H63" s="131"/>
      <c r="I63" s="131"/>
      <c r="J63" s="130">
        <v>45562</v>
      </c>
      <c r="K63" s="131"/>
      <c r="L63" s="95">
        <v>45602</v>
      </c>
      <c r="M63" s="132">
        <v>0</v>
      </c>
      <c r="N63" s="131">
        <f t="shared" si="113"/>
        <v>0</v>
      </c>
      <c r="O63" s="131">
        <f t="shared" si="138"/>
        <v>1</v>
      </c>
      <c r="P63" s="130">
        <f t="shared" si="139"/>
        <v>45602</v>
      </c>
      <c r="Q63" s="130">
        <f t="shared" ref="Q63" si="149">IF(P63&lt;J63,J63,P63)</f>
        <v>45602</v>
      </c>
      <c r="R63" s="132" t="s">
        <v>113</v>
      </c>
      <c r="S63" s="132" t="str">
        <f t="shared" si="7"/>
        <v>Não iniciado</v>
      </c>
      <c r="T63" s="132"/>
      <c r="U63" s="132"/>
      <c r="V63" s="134">
        <f t="shared" si="142"/>
        <v>0</v>
      </c>
      <c r="W63" s="134">
        <f t="shared" si="143"/>
        <v>0</v>
      </c>
    </row>
    <row r="64" spans="1:23" x14ac:dyDescent="0.3">
      <c r="A64" s="125">
        <v>5</v>
      </c>
      <c r="B64" s="126" t="s">
        <v>73</v>
      </c>
      <c r="C64" s="127" t="str">
        <f t="shared" si="148"/>
        <v>PR.0079.11.5</v>
      </c>
      <c r="D64" s="128" t="s">
        <v>114</v>
      </c>
      <c r="E64" s="129"/>
      <c r="F64" s="130">
        <v>45565</v>
      </c>
      <c r="G64" s="131"/>
      <c r="H64" s="131"/>
      <c r="I64" s="131"/>
      <c r="J64" s="130">
        <v>45565</v>
      </c>
      <c r="K64" s="131"/>
      <c r="L64" s="95">
        <f>MAX(Q60:Q63)</f>
        <v>45602</v>
      </c>
      <c r="M64" s="132">
        <v>0</v>
      </c>
      <c r="N64" s="131">
        <f t="shared" si="113"/>
        <v>0</v>
      </c>
      <c r="O64" s="131">
        <f t="shared" si="138"/>
        <v>1</v>
      </c>
      <c r="P64" s="130">
        <f t="shared" si="139"/>
        <v>45602</v>
      </c>
      <c r="Q64" s="130">
        <f>IF(MAX(Q60:Q63)=0,$J$2,MAX(Q60:Q63))</f>
        <v>45602</v>
      </c>
      <c r="R64" s="132" t="s">
        <v>113</v>
      </c>
      <c r="S64" s="132" t="str">
        <f t="shared" si="7"/>
        <v>Não iniciado</v>
      </c>
      <c r="T64" s="132"/>
      <c r="U64" s="132"/>
      <c r="V64" s="134">
        <f t="shared" si="142"/>
        <v>0</v>
      </c>
      <c r="W64" s="134">
        <f t="shared" si="143"/>
        <v>0</v>
      </c>
    </row>
    <row r="65" spans="1:23" x14ac:dyDescent="0.3">
      <c r="A65" s="125">
        <v>12</v>
      </c>
      <c r="B65" s="126" t="s">
        <v>65</v>
      </c>
      <c r="C65" s="127" t="str">
        <f>$C$6&amp;"."&amp;A65</f>
        <v>PR.0079.12</v>
      </c>
      <c r="D65" s="128" t="s">
        <v>121</v>
      </c>
      <c r="E65" s="129"/>
      <c r="F65" s="130">
        <f>IF(MIN(F66:F76)=0,$J$2,MIN(F66:F76))</f>
        <v>45432</v>
      </c>
      <c r="G65" s="131">
        <f t="shared" si="111"/>
        <v>20</v>
      </c>
      <c r="H65" s="131">
        <f>SUM(H66:H76)</f>
        <v>0</v>
      </c>
      <c r="I65" s="131">
        <f>SUM(I66:I76)</f>
        <v>0</v>
      </c>
      <c r="J65" s="130">
        <f>IF(MAX(J66:J76)=0,$J$2,MAX(J66:J76))</f>
        <v>45457</v>
      </c>
      <c r="K65" s="131"/>
      <c r="L65" s="95">
        <f>IF(MIN(L66:L70)=0,$J$2,MIN(L66:L70))</f>
        <v>45436</v>
      </c>
      <c r="M65" s="132">
        <f t="shared" ref="M65:N65" si="150">SUM(M66:M70)</f>
        <v>0</v>
      </c>
      <c r="N65" s="131">
        <f t="shared" si="150"/>
        <v>0</v>
      </c>
      <c r="O65" s="131">
        <f t="shared" si="138"/>
        <v>126</v>
      </c>
      <c r="P65" s="130">
        <f>IF(MAX(P66:P67)=0,$J$2,MAX(P66:P67))</f>
        <v>45611</v>
      </c>
      <c r="Q65" s="130">
        <f>IF(MAX(Q66:Q76)=0,$J$2,MAX(Q66:Q76))</f>
        <v>45611</v>
      </c>
      <c r="R65" s="132" t="s">
        <v>113</v>
      </c>
      <c r="S65" s="132" t="str">
        <f t="shared" si="7"/>
        <v>Não iniciado</v>
      </c>
      <c r="T65" s="132"/>
      <c r="U65" s="132"/>
      <c r="V65" s="134">
        <f t="shared" si="142"/>
        <v>0</v>
      </c>
      <c r="W65" s="134">
        <f t="shared" si="143"/>
        <v>0</v>
      </c>
    </row>
    <row r="66" spans="1:23" ht="41.25" customHeight="1" x14ac:dyDescent="0.3">
      <c r="A66" s="125">
        <v>1</v>
      </c>
      <c r="B66" s="126" t="s">
        <v>67</v>
      </c>
      <c r="C66" s="127" t="str">
        <f>$C$65&amp;"."&amp;A66</f>
        <v>PR.0079.12.1</v>
      </c>
      <c r="D66" s="128" t="s">
        <v>122</v>
      </c>
      <c r="E66" s="129" t="s">
        <v>123</v>
      </c>
      <c r="F66" s="130">
        <v>45432</v>
      </c>
      <c r="G66" s="131"/>
      <c r="H66" s="131"/>
      <c r="I66" s="131"/>
      <c r="J66" s="130">
        <v>45432</v>
      </c>
      <c r="K66" s="131"/>
      <c r="L66" s="95"/>
      <c r="M66" s="132">
        <v>0</v>
      </c>
      <c r="N66" s="131">
        <f t="shared" si="113"/>
        <v>0</v>
      </c>
      <c r="O66" s="131">
        <f t="shared" si="138"/>
        <v>-130</v>
      </c>
      <c r="P66" s="130">
        <f t="shared" si="139"/>
        <v>0</v>
      </c>
      <c r="Q66" s="130">
        <f t="shared" ref="Q66:Q67" si="151">IF(P66&lt;J66,J66,P66)</f>
        <v>45432</v>
      </c>
      <c r="R66" s="132" t="s">
        <v>113</v>
      </c>
      <c r="S66" s="132" t="str">
        <f t="shared" si="7"/>
        <v>Não iniciado</v>
      </c>
      <c r="T66" s="132"/>
      <c r="U66" s="132"/>
      <c r="V66" s="134">
        <f t="shared" si="142"/>
        <v>0</v>
      </c>
      <c r="W66" s="134">
        <f t="shared" si="143"/>
        <v>0</v>
      </c>
    </row>
    <row r="67" spans="1:23" x14ac:dyDescent="0.3">
      <c r="A67" s="125">
        <v>2</v>
      </c>
      <c r="B67" s="126" t="s">
        <v>67</v>
      </c>
      <c r="C67" s="127" t="str">
        <f t="shared" ref="C67:C68" si="152">$C$65&amp;"."&amp;A67</f>
        <v>PR.0079.12.2</v>
      </c>
      <c r="D67" s="128" t="s">
        <v>124</v>
      </c>
      <c r="E67" s="129" t="s">
        <v>15</v>
      </c>
      <c r="F67" s="130">
        <v>45432</v>
      </c>
      <c r="G67" s="131"/>
      <c r="H67" s="131"/>
      <c r="I67" s="131"/>
      <c r="J67" s="130">
        <v>45436</v>
      </c>
      <c r="K67" s="131"/>
      <c r="L67" s="95"/>
      <c r="M67" s="132">
        <v>0</v>
      </c>
      <c r="N67" s="131">
        <f t="shared" si="113"/>
        <v>0</v>
      </c>
      <c r="O67" s="131">
        <f t="shared" si="138"/>
        <v>-126</v>
      </c>
      <c r="P67" s="130">
        <f t="shared" si="139"/>
        <v>0</v>
      </c>
      <c r="Q67" s="130">
        <f t="shared" si="151"/>
        <v>45436</v>
      </c>
      <c r="R67" s="132" t="s">
        <v>113</v>
      </c>
      <c r="S67" s="132" t="str">
        <f t="shared" si="7"/>
        <v>Não iniciado</v>
      </c>
      <c r="T67" s="132"/>
      <c r="U67" s="132"/>
      <c r="V67" s="134">
        <f t="shared" si="142"/>
        <v>0</v>
      </c>
      <c r="W67" s="134">
        <f t="shared" si="143"/>
        <v>0</v>
      </c>
    </row>
    <row r="68" spans="1:23" ht="28.8" x14ac:dyDescent="0.3">
      <c r="A68" s="125">
        <v>3</v>
      </c>
      <c r="B68" s="126" t="s">
        <v>73</v>
      </c>
      <c r="C68" s="127" t="str">
        <f t="shared" si="152"/>
        <v>PR.0079.12.3</v>
      </c>
      <c r="D68" s="128" t="s">
        <v>125</v>
      </c>
      <c r="E68" s="129" t="s">
        <v>126</v>
      </c>
      <c r="F68" s="130">
        <v>45436</v>
      </c>
      <c r="G68" s="131"/>
      <c r="H68" s="131"/>
      <c r="I68" s="131"/>
      <c r="J68" s="130">
        <v>45436</v>
      </c>
      <c r="K68" s="131"/>
      <c r="L68" s="95">
        <f>MAX(Q66:Q67)</f>
        <v>45436</v>
      </c>
      <c r="M68" s="132">
        <v>0</v>
      </c>
      <c r="N68" s="131">
        <f t="shared" si="113"/>
        <v>0</v>
      </c>
      <c r="O68" s="131">
        <f t="shared" si="138"/>
        <v>126</v>
      </c>
      <c r="P68" s="130">
        <f t="shared" si="139"/>
        <v>45436</v>
      </c>
      <c r="Q68" s="130">
        <f t="shared" ref="Q68:Q71" si="153">IF(MAX(Q69:Q73)=0,$J$2,MAX(Q69:Q73))</f>
        <v>45611</v>
      </c>
      <c r="R68" s="132" t="s">
        <v>113</v>
      </c>
      <c r="S68" s="132" t="str">
        <f t="shared" si="7"/>
        <v>Não iniciado</v>
      </c>
      <c r="T68" s="132"/>
      <c r="U68" s="132"/>
      <c r="V68" s="134">
        <f t="shared" si="142"/>
        <v>0</v>
      </c>
      <c r="W68" s="134">
        <f t="shared" si="143"/>
        <v>0</v>
      </c>
    </row>
    <row r="69" spans="1:23" ht="43.2" x14ac:dyDescent="0.3">
      <c r="A69" s="125">
        <v>4</v>
      </c>
      <c r="B69" s="126" t="s">
        <v>67</v>
      </c>
      <c r="C69" s="127" t="str">
        <f t="shared" ref="C69:C76" si="154">$C$65&amp;"."&amp;A69</f>
        <v>PR.0079.12.4</v>
      </c>
      <c r="D69" s="128" t="s">
        <v>127</v>
      </c>
      <c r="E69" s="129" t="s">
        <v>123</v>
      </c>
      <c r="F69" s="130">
        <v>45439</v>
      </c>
      <c r="G69" s="131"/>
      <c r="H69" s="131"/>
      <c r="I69" s="131"/>
      <c r="J69" s="130">
        <v>45439</v>
      </c>
      <c r="K69" s="131"/>
      <c r="L69" s="95"/>
      <c r="M69" s="132">
        <v>0</v>
      </c>
      <c r="N69" s="131">
        <f t="shared" si="113"/>
        <v>0</v>
      </c>
      <c r="O69" s="131">
        <f t="shared" si="138"/>
        <v>-125</v>
      </c>
      <c r="P69" s="130">
        <f t="shared" si="139"/>
        <v>0</v>
      </c>
      <c r="Q69" s="130">
        <f t="shared" ref="Q69:Q70" si="155">IF(P69&lt;J69,J69,P69)</f>
        <v>45439</v>
      </c>
      <c r="R69" s="132" t="s">
        <v>113</v>
      </c>
      <c r="S69" s="132" t="str">
        <f t="shared" si="7"/>
        <v>Não iniciado</v>
      </c>
      <c r="T69" s="132"/>
      <c r="U69" s="132"/>
      <c r="V69" s="134">
        <f t="shared" si="142"/>
        <v>0</v>
      </c>
      <c r="W69" s="134">
        <f t="shared" si="143"/>
        <v>0</v>
      </c>
    </row>
    <row r="70" spans="1:23" x14ac:dyDescent="0.3">
      <c r="A70" s="125">
        <v>5</v>
      </c>
      <c r="B70" s="126" t="s">
        <v>67</v>
      </c>
      <c r="C70" s="127" t="str">
        <f t="shared" si="154"/>
        <v>PR.0079.12.5</v>
      </c>
      <c r="D70" s="128" t="s">
        <v>128</v>
      </c>
      <c r="E70" s="129" t="s">
        <v>15</v>
      </c>
      <c r="F70" s="130">
        <v>45439</v>
      </c>
      <c r="G70" s="131"/>
      <c r="H70" s="131"/>
      <c r="I70" s="131"/>
      <c r="J70" s="130">
        <v>45443</v>
      </c>
      <c r="K70" s="131"/>
      <c r="L70" s="95"/>
      <c r="M70" s="132">
        <v>0</v>
      </c>
      <c r="N70" s="131">
        <f t="shared" si="113"/>
        <v>0</v>
      </c>
      <c r="O70" s="131">
        <f t="shared" si="138"/>
        <v>-121</v>
      </c>
      <c r="P70" s="130">
        <f t="shared" si="139"/>
        <v>0</v>
      </c>
      <c r="Q70" s="130">
        <f t="shared" si="155"/>
        <v>45443</v>
      </c>
      <c r="R70" s="132" t="s">
        <v>113</v>
      </c>
      <c r="S70" s="132" t="str">
        <f t="shared" si="7"/>
        <v>Não iniciado</v>
      </c>
      <c r="T70" s="132"/>
      <c r="U70" s="132"/>
      <c r="V70" s="134">
        <f t="shared" si="142"/>
        <v>0</v>
      </c>
      <c r="W70" s="134">
        <f t="shared" si="143"/>
        <v>0</v>
      </c>
    </row>
    <row r="71" spans="1:23" ht="28.8" x14ac:dyDescent="0.3">
      <c r="A71" s="125">
        <v>6</v>
      </c>
      <c r="B71" s="126" t="s">
        <v>73</v>
      </c>
      <c r="C71" s="127" t="str">
        <f t="shared" si="154"/>
        <v>PR.0079.12.6</v>
      </c>
      <c r="D71" s="128" t="s">
        <v>129</v>
      </c>
      <c r="E71" s="129" t="s">
        <v>126</v>
      </c>
      <c r="F71" s="130">
        <v>45443</v>
      </c>
      <c r="G71" s="131"/>
      <c r="H71" s="131"/>
      <c r="I71" s="131"/>
      <c r="J71" s="130">
        <v>45443</v>
      </c>
      <c r="K71" s="131"/>
      <c r="L71" s="95">
        <f>MAX(Q69:Q70)</f>
        <v>45443</v>
      </c>
      <c r="M71" s="132">
        <v>0</v>
      </c>
      <c r="N71" s="131">
        <f t="shared" si="113"/>
        <v>0</v>
      </c>
      <c r="O71" s="131">
        <f t="shared" si="138"/>
        <v>121</v>
      </c>
      <c r="P71" s="130">
        <f t="shared" si="139"/>
        <v>45443</v>
      </c>
      <c r="Q71" s="130">
        <f t="shared" si="153"/>
        <v>45611</v>
      </c>
      <c r="R71" s="132" t="s">
        <v>113</v>
      </c>
      <c r="S71" s="132" t="str">
        <f t="shared" si="7"/>
        <v>Não iniciado</v>
      </c>
      <c r="T71" s="132"/>
      <c r="U71" s="132"/>
      <c r="V71" s="134">
        <f t="shared" si="142"/>
        <v>0</v>
      </c>
      <c r="W71" s="134">
        <f t="shared" si="143"/>
        <v>0</v>
      </c>
    </row>
    <row r="72" spans="1:23" ht="43.2" x14ac:dyDescent="0.3">
      <c r="A72" s="125">
        <v>7</v>
      </c>
      <c r="B72" s="126" t="s">
        <v>67</v>
      </c>
      <c r="C72" s="127" t="str">
        <f t="shared" si="154"/>
        <v>PR.0079.12.7</v>
      </c>
      <c r="D72" s="128" t="s">
        <v>130</v>
      </c>
      <c r="E72" s="129" t="s">
        <v>123</v>
      </c>
      <c r="F72" s="130">
        <v>45446</v>
      </c>
      <c r="G72" s="131"/>
      <c r="H72" s="131"/>
      <c r="I72" s="131"/>
      <c r="J72" s="130">
        <v>45450</v>
      </c>
      <c r="K72" s="131"/>
      <c r="L72" s="95"/>
      <c r="M72" s="132">
        <v>0</v>
      </c>
      <c r="N72" s="131">
        <f t="shared" si="113"/>
        <v>0</v>
      </c>
      <c r="O72" s="131">
        <f t="shared" si="138"/>
        <v>-116</v>
      </c>
      <c r="P72" s="130">
        <f t="shared" si="139"/>
        <v>0</v>
      </c>
      <c r="Q72" s="130">
        <f t="shared" ref="Q72" si="156">IF(P72&lt;J72,J72,P72)</f>
        <v>45450</v>
      </c>
      <c r="R72" s="132" t="s">
        <v>113</v>
      </c>
      <c r="S72" s="132" t="str">
        <f t="shared" si="7"/>
        <v>Não iniciado</v>
      </c>
      <c r="T72" s="132"/>
      <c r="U72" s="132"/>
      <c r="V72" s="134">
        <f t="shared" si="142"/>
        <v>0</v>
      </c>
      <c r="W72" s="134">
        <f t="shared" si="143"/>
        <v>0</v>
      </c>
    </row>
    <row r="73" spans="1:23" ht="28.8" x14ac:dyDescent="0.3">
      <c r="A73" s="125">
        <v>8</v>
      </c>
      <c r="B73" s="126" t="s">
        <v>73</v>
      </c>
      <c r="C73" s="127" t="str">
        <f t="shared" si="154"/>
        <v>PR.0079.12.8</v>
      </c>
      <c r="D73" s="128" t="s">
        <v>131</v>
      </c>
      <c r="E73" s="129" t="s">
        <v>126</v>
      </c>
      <c r="F73" s="130">
        <v>45450</v>
      </c>
      <c r="G73" s="131"/>
      <c r="H73" s="131"/>
      <c r="I73" s="131"/>
      <c r="J73" s="130">
        <v>45450</v>
      </c>
      <c r="K73" s="131"/>
      <c r="L73" s="95">
        <f>MAX(Q72)</f>
        <v>45450</v>
      </c>
      <c r="M73" s="132">
        <v>0</v>
      </c>
      <c r="N73" s="131">
        <f t="shared" si="113"/>
        <v>0</v>
      </c>
      <c r="O73" s="131">
        <f t="shared" si="138"/>
        <v>116</v>
      </c>
      <c r="P73" s="130">
        <f t="shared" si="139"/>
        <v>45450</v>
      </c>
      <c r="Q73" s="130">
        <f>IF(MAX(Q74:Q77)=0,$J$2,MAX(Q74:Q77))</f>
        <v>45611</v>
      </c>
      <c r="R73" s="132" t="s">
        <v>113</v>
      </c>
      <c r="S73" s="132" t="str">
        <f t="shared" si="7"/>
        <v>Não iniciado</v>
      </c>
      <c r="T73" s="132"/>
      <c r="U73" s="132"/>
      <c r="V73" s="134">
        <f t="shared" si="142"/>
        <v>0</v>
      </c>
      <c r="W73" s="134">
        <f t="shared" si="143"/>
        <v>0</v>
      </c>
    </row>
    <row r="74" spans="1:23" x14ac:dyDescent="0.3">
      <c r="A74" s="125">
        <v>9</v>
      </c>
      <c r="B74" s="126" t="s">
        <v>67</v>
      </c>
      <c r="C74" s="127" t="str">
        <f t="shared" si="154"/>
        <v>PR.0079.12.9</v>
      </c>
      <c r="D74" s="128" t="s">
        <v>132</v>
      </c>
      <c r="E74" s="129" t="s">
        <v>15</v>
      </c>
      <c r="F74" s="130">
        <v>45453</v>
      </c>
      <c r="G74" s="131"/>
      <c r="H74" s="131"/>
      <c r="I74" s="131"/>
      <c r="J74" s="130">
        <v>45457</v>
      </c>
      <c r="K74" s="131"/>
      <c r="L74" s="95"/>
      <c r="M74" s="132">
        <v>0</v>
      </c>
      <c r="N74" s="131">
        <f t="shared" si="113"/>
        <v>0</v>
      </c>
      <c r="O74" s="131">
        <f t="shared" si="138"/>
        <v>-111</v>
      </c>
      <c r="P74" s="130">
        <f t="shared" si="139"/>
        <v>0</v>
      </c>
      <c r="Q74" s="130">
        <f t="shared" ref="Q74:Q75" si="157">IF(P74&lt;J74,J74,P74)</f>
        <v>45457</v>
      </c>
      <c r="R74" s="132" t="s">
        <v>113</v>
      </c>
      <c r="S74" s="132" t="str">
        <f t="shared" si="7"/>
        <v>Não iniciado</v>
      </c>
      <c r="T74" s="132"/>
      <c r="U74" s="132"/>
      <c r="V74" s="134">
        <f t="shared" si="142"/>
        <v>0</v>
      </c>
      <c r="W74" s="134">
        <f t="shared" si="143"/>
        <v>0</v>
      </c>
    </row>
    <row r="75" spans="1:23" x14ac:dyDescent="0.3">
      <c r="A75" s="125">
        <v>10</v>
      </c>
      <c r="B75" s="126" t="s">
        <v>67</v>
      </c>
      <c r="C75" s="127" t="str">
        <f t="shared" si="154"/>
        <v>PR.0079.12.10</v>
      </c>
      <c r="D75" s="128" t="s">
        <v>133</v>
      </c>
      <c r="E75" s="129" t="s">
        <v>15</v>
      </c>
      <c r="F75" s="130">
        <v>45453</v>
      </c>
      <c r="G75" s="131"/>
      <c r="H75" s="131"/>
      <c r="I75" s="131"/>
      <c r="J75" s="130">
        <v>45457</v>
      </c>
      <c r="K75" s="131"/>
      <c r="L75" s="95"/>
      <c r="M75" s="132">
        <v>0</v>
      </c>
      <c r="N75" s="131">
        <f t="shared" si="113"/>
        <v>0</v>
      </c>
      <c r="O75" s="131">
        <f t="shared" si="138"/>
        <v>-111</v>
      </c>
      <c r="P75" s="130">
        <f t="shared" si="139"/>
        <v>0</v>
      </c>
      <c r="Q75" s="130">
        <f t="shared" si="157"/>
        <v>45457</v>
      </c>
      <c r="R75" s="132" t="s">
        <v>113</v>
      </c>
      <c r="S75" s="132" t="str">
        <f t="shared" si="7"/>
        <v>Não iniciado</v>
      </c>
      <c r="T75" s="132"/>
      <c r="U75" s="132"/>
      <c r="V75" s="134">
        <f t="shared" si="142"/>
        <v>0</v>
      </c>
      <c r="W75" s="134">
        <f t="shared" si="143"/>
        <v>0</v>
      </c>
    </row>
    <row r="76" spans="1:23" ht="28.8" x14ac:dyDescent="0.3">
      <c r="A76" s="125">
        <v>11</v>
      </c>
      <c r="B76" s="126" t="s">
        <v>73</v>
      </c>
      <c r="C76" s="127" t="str">
        <f t="shared" si="154"/>
        <v>PR.0079.12.11</v>
      </c>
      <c r="D76" s="128" t="s">
        <v>134</v>
      </c>
      <c r="E76" s="129" t="s">
        <v>126</v>
      </c>
      <c r="F76" s="130">
        <v>45457</v>
      </c>
      <c r="G76" s="131"/>
      <c r="H76" s="131"/>
      <c r="I76" s="131"/>
      <c r="J76" s="130">
        <v>45457</v>
      </c>
      <c r="K76" s="131"/>
      <c r="L76" s="95">
        <f>MAX(Q74:Q75)</f>
        <v>45457</v>
      </c>
      <c r="M76" s="132">
        <v>0</v>
      </c>
      <c r="N76" s="131">
        <f t="shared" si="113"/>
        <v>0</v>
      </c>
      <c r="O76" s="131">
        <f t="shared" si="138"/>
        <v>111</v>
      </c>
      <c r="P76" s="130">
        <f t="shared" si="139"/>
        <v>45457</v>
      </c>
      <c r="Q76" s="130">
        <f>IF(MAX(Q77:Q80)=0,$J$2,MAX(Q77:Q80))</f>
        <v>45611</v>
      </c>
      <c r="R76" s="132" t="s">
        <v>113</v>
      </c>
      <c r="S76" s="132" t="str">
        <f t="shared" si="7"/>
        <v>Não iniciado</v>
      </c>
      <c r="T76" s="132"/>
      <c r="U76" s="132"/>
      <c r="V76" s="134">
        <f t="shared" si="142"/>
        <v>0</v>
      </c>
      <c r="W76" s="134">
        <f t="shared" si="143"/>
        <v>0</v>
      </c>
    </row>
  </sheetData>
  <autoFilter ref="A5:X76" xr:uid="{8FFBD6A2-43FA-4522-8346-73A00C36CEFF}">
    <filterColumn colId="17">
      <filters>
        <filter val="-Selecionar-"/>
      </filters>
    </filterColumn>
  </autoFilter>
  <mergeCells count="3">
    <mergeCell ref="F4:K4"/>
    <mergeCell ref="L4:S4"/>
    <mergeCell ref="T4:W4"/>
  </mergeCells>
  <phoneticPr fontId="7" type="noConversion"/>
  <conditionalFormatting sqref="B12:E12">
    <cfRule type="expression" dxfId="113" priority="451">
      <formula>$B12="M"</formula>
    </cfRule>
    <cfRule type="expression" dxfId="112" priority="450">
      <formula>$B12="F"</formula>
    </cfRule>
  </conditionalFormatting>
  <conditionalFormatting sqref="B19:E19">
    <cfRule type="expression" dxfId="111" priority="454">
      <formula>$B19="M"</formula>
    </cfRule>
    <cfRule type="expression" dxfId="110" priority="453">
      <formula>$B19="F"</formula>
    </cfRule>
  </conditionalFormatting>
  <conditionalFormatting sqref="B23:E23">
    <cfRule type="expression" dxfId="109" priority="457">
      <formula>$B23="M"</formula>
    </cfRule>
    <cfRule type="expression" dxfId="108" priority="456">
      <formula>$B23="F"</formula>
    </cfRule>
  </conditionalFormatting>
  <conditionalFormatting sqref="B26:E26">
    <cfRule type="expression" dxfId="107" priority="460">
      <formula>$B26="M"</formula>
    </cfRule>
    <cfRule type="expression" dxfId="106" priority="459">
      <formula>$B26="F"</formula>
    </cfRule>
  </conditionalFormatting>
  <conditionalFormatting sqref="B32:E32">
    <cfRule type="expression" dxfId="105" priority="463">
      <formula>$B32="M"</formula>
    </cfRule>
    <cfRule type="expression" dxfId="104" priority="462">
      <formula>$B32="F"</formula>
    </cfRule>
  </conditionalFormatting>
  <conditionalFormatting sqref="B37:E37">
    <cfRule type="expression" dxfId="103" priority="466">
      <formula>$B37="M"</formula>
    </cfRule>
    <cfRule type="expression" dxfId="102" priority="465">
      <formula>$B37="F"</formula>
    </cfRule>
  </conditionalFormatting>
  <conditionalFormatting sqref="B39:I40">
    <cfRule type="expression" dxfId="101" priority="375">
      <formula>$B39="M"</formula>
    </cfRule>
    <cfRule type="expression" dxfId="100" priority="374">
      <formula>$B39="F"</formula>
    </cfRule>
    <cfRule type="expression" dxfId="99" priority="373">
      <formula>$B39="P"</formula>
    </cfRule>
  </conditionalFormatting>
  <conditionalFormatting sqref="B41:K41">
    <cfRule type="expression" dxfId="98" priority="109">
      <formula>$B41="P"</formula>
    </cfRule>
    <cfRule type="expression" dxfId="97" priority="110">
      <formula>$B41="F"</formula>
    </cfRule>
    <cfRule type="expression" dxfId="96" priority="111">
      <formula>$B41="M"</formula>
    </cfRule>
  </conditionalFormatting>
  <conditionalFormatting sqref="B53:K53">
    <cfRule type="expression" dxfId="95" priority="432">
      <formula>$B53="M"</formula>
    </cfRule>
    <cfRule type="expression" dxfId="94" priority="431">
      <formula>$B53="F"</formula>
    </cfRule>
  </conditionalFormatting>
  <conditionalFormatting sqref="B59:K76 M59:O76 B60:O60 B62:O76">
    <cfRule type="expression" dxfId="93" priority="17">
      <formula>$B59="F"</formula>
    </cfRule>
    <cfRule type="expression" dxfId="92" priority="18">
      <formula>$B59="M"</formula>
    </cfRule>
  </conditionalFormatting>
  <conditionalFormatting sqref="B53:L53">
    <cfRule type="expression" dxfId="91" priority="422">
      <formula>$B53="P"</formula>
    </cfRule>
  </conditionalFormatting>
  <conditionalFormatting sqref="B59:O76">
    <cfRule type="expression" dxfId="90" priority="1">
      <formula>$B59="P"</formula>
    </cfRule>
  </conditionalFormatting>
  <conditionalFormatting sqref="B60:O60 B62:O76">
    <cfRule type="expression" dxfId="89" priority="16">
      <formula>$B60="P"</formula>
    </cfRule>
  </conditionalFormatting>
  <conditionalFormatting sqref="B42:P47">
    <cfRule type="expression" dxfId="88" priority="73">
      <formula>$B42="M"</formula>
    </cfRule>
    <cfRule type="expression" dxfId="87" priority="71">
      <formula>$B42="P"</formula>
    </cfRule>
    <cfRule type="expression" dxfId="86" priority="72">
      <formula>$B42="F"</formula>
    </cfRule>
  </conditionalFormatting>
  <conditionalFormatting sqref="B48:P51">
    <cfRule type="expression" dxfId="85" priority="60">
      <formula>$B48="F"</formula>
    </cfRule>
    <cfRule type="expression" dxfId="84" priority="61">
      <formula>$B48="M"</formula>
    </cfRule>
  </conditionalFormatting>
  <conditionalFormatting sqref="B52:P52">
    <cfRule type="expression" dxfId="83" priority="76">
      <formula>$B52="M"</formula>
    </cfRule>
    <cfRule type="expression" dxfId="82" priority="75">
      <formula>$B52="F"</formula>
    </cfRule>
    <cfRule type="expression" dxfId="81" priority="74">
      <formula>$B52="P"</formula>
    </cfRule>
  </conditionalFormatting>
  <conditionalFormatting sqref="B54:P58">
    <cfRule type="expression" dxfId="80" priority="13">
      <formula>$B54="P"</formula>
    </cfRule>
    <cfRule type="expression" dxfId="79" priority="14">
      <formula>$B54="F"</formula>
    </cfRule>
    <cfRule type="expression" dxfId="78" priority="15">
      <formula>$B54="M"</formula>
    </cfRule>
  </conditionalFormatting>
  <conditionalFormatting sqref="B59:P59">
    <cfRule type="expression" dxfId="77" priority="249">
      <formula>$B59="M"</formula>
    </cfRule>
    <cfRule type="expression" dxfId="76" priority="247">
      <formula>$B59="P"</formula>
    </cfRule>
    <cfRule type="expression" dxfId="75" priority="248">
      <formula>$B59="F"</formula>
    </cfRule>
  </conditionalFormatting>
  <conditionalFormatting sqref="B48:Q51">
    <cfRule type="expression" dxfId="74" priority="59">
      <formula>$B48="P"</formula>
    </cfRule>
  </conditionalFormatting>
  <conditionalFormatting sqref="B7:W11 S8:S40 F12:W12 B13:W18 F19:W19 B20:W22 F23:W23 B24:W25 F26:W26 B27:W31 F32:W32 B33:W36 F37:W37 B38:W38 J39:W40 L41:W41 R42:W45 Q46:W47 R48:W50 Q51:W52 L53:W53 R54:W57 Q58:W59 R59:W76 Q63:W76 N10:N12 L18:L19 Q25:Q26">
    <cfRule type="expression" dxfId="73" priority="501">
      <formula>$B7="F"</formula>
    </cfRule>
  </conditionalFormatting>
  <conditionalFormatting sqref="B7:W11 S8:S40 N10:N12 F12:W12 B13:W18 L18:L19 F19:W19 B20:W22 F23:W23 B24:W25 Q25:Q26 F26:W26 B27:W31 F32:W32 B33:W36 F37:W37 B38:W38 J39:W40 L41:W41 R42:W45 Q46:W47 R48:W50 Q51:W52 L53:W53 R54:W57 Q58:W59 R59:W76 Q63:W76">
    <cfRule type="expression" dxfId="72" priority="502">
      <formula>$B7="M"</formula>
    </cfRule>
  </conditionalFormatting>
  <conditionalFormatting sqref="B7:W38">
    <cfRule type="expression" dxfId="71" priority="449">
      <formula>$B7="P"</formula>
    </cfRule>
  </conditionalFormatting>
  <conditionalFormatting sqref="L39:L41">
    <cfRule type="expression" dxfId="70" priority="315">
      <formula>$B39="P"</formula>
    </cfRule>
  </conditionalFormatting>
  <conditionalFormatting sqref="L59:L76">
    <cfRule type="expression" dxfId="69" priority="3">
      <formula>$B59="M"</formula>
    </cfRule>
    <cfRule type="expression" dxfId="68" priority="2">
      <formula>$B59="F"</formula>
    </cfRule>
  </conditionalFormatting>
  <conditionalFormatting sqref="P59:P76">
    <cfRule type="expression" dxfId="67" priority="289">
      <formula>$B59="M"</formula>
    </cfRule>
    <cfRule type="expression" dxfId="66" priority="288">
      <formula>$B59="F"</formula>
    </cfRule>
  </conditionalFormatting>
  <conditionalFormatting sqref="P64:P65">
    <cfRule type="expression" dxfId="65" priority="245">
      <formula>$B64="F"</formula>
    </cfRule>
    <cfRule type="expression" dxfId="64" priority="246">
      <formula>$B64="M"</formula>
    </cfRule>
    <cfRule type="expression" dxfId="63" priority="244">
      <formula>$B64="P"</formula>
    </cfRule>
  </conditionalFormatting>
  <conditionalFormatting sqref="P66:P67">
    <cfRule type="expression" dxfId="62" priority="279">
      <formula>$B66="F"</formula>
    </cfRule>
    <cfRule type="expression" dxfId="61" priority="280">
      <formula>$B66="M"</formula>
    </cfRule>
  </conditionalFormatting>
  <conditionalFormatting sqref="P68">
    <cfRule type="expression" dxfId="60" priority="261">
      <formula>$B68="F"</formula>
    </cfRule>
    <cfRule type="expression" dxfId="59" priority="262">
      <formula>$B68="M"</formula>
    </cfRule>
    <cfRule type="expression" dxfId="58" priority="260">
      <formula>$B68="P"</formula>
    </cfRule>
  </conditionalFormatting>
  <conditionalFormatting sqref="P69:P70">
    <cfRule type="expression" dxfId="57" priority="273">
      <formula>$B69="F"</formula>
    </cfRule>
    <cfRule type="expression" dxfId="56" priority="274">
      <formula>$B69="M"</formula>
    </cfRule>
  </conditionalFormatting>
  <conditionalFormatting sqref="P71">
    <cfRule type="expression" dxfId="55" priority="258">
      <formula>$B71="F"</formula>
    </cfRule>
    <cfRule type="expression" dxfId="54" priority="257">
      <formula>$B71="P"</formula>
    </cfRule>
    <cfRule type="expression" dxfId="53" priority="259">
      <formula>$B71="M"</formula>
    </cfRule>
  </conditionalFormatting>
  <conditionalFormatting sqref="P72">
    <cfRule type="expression" dxfId="52" priority="270">
      <formula>$B72="F"</formula>
    </cfRule>
    <cfRule type="expression" dxfId="51" priority="271">
      <formula>$B72="M"</formula>
    </cfRule>
  </conditionalFormatting>
  <conditionalFormatting sqref="P73">
    <cfRule type="expression" dxfId="50" priority="256">
      <formula>$B73="M"</formula>
    </cfRule>
    <cfRule type="expression" dxfId="49" priority="255">
      <formula>$B73="F"</formula>
    </cfRule>
    <cfRule type="expression" dxfId="48" priority="254">
      <formula>$B73="P"</formula>
    </cfRule>
  </conditionalFormatting>
  <conditionalFormatting sqref="P74:P75">
    <cfRule type="expression" dxfId="47" priority="264">
      <formula>$B74="F"</formula>
    </cfRule>
    <cfRule type="expression" dxfId="46" priority="265">
      <formula>$B74="M"</formula>
    </cfRule>
  </conditionalFormatting>
  <conditionalFormatting sqref="P76">
    <cfRule type="expression" dxfId="45" priority="251">
      <formula>$B76="P"</formula>
    </cfRule>
    <cfRule type="expression" dxfId="44" priority="252">
      <formula>$B76="F"</formula>
    </cfRule>
    <cfRule type="expression" dxfId="43" priority="253">
      <formula>$B76="M"</formula>
    </cfRule>
  </conditionalFormatting>
  <conditionalFormatting sqref="P39:Q39">
    <cfRule type="expression" dxfId="42" priority="250">
      <formula>$B39="P"</formula>
    </cfRule>
  </conditionalFormatting>
  <conditionalFormatting sqref="P59:Q76">
    <cfRule type="expression" dxfId="41" priority="287">
      <formula>$B59="P"</formula>
    </cfRule>
  </conditionalFormatting>
  <conditionalFormatting sqref="P66:Q67">
    <cfRule type="expression" dxfId="40" priority="278">
      <formula>$B66="P"</formula>
    </cfRule>
  </conditionalFormatting>
  <conditionalFormatting sqref="P69:Q70">
    <cfRule type="expression" dxfId="39" priority="272">
      <formula>$B69="P"</formula>
    </cfRule>
  </conditionalFormatting>
  <conditionalFormatting sqref="P72:Q72">
    <cfRule type="expression" dxfId="38" priority="269">
      <formula>$B72="P"</formula>
    </cfRule>
  </conditionalFormatting>
  <conditionalFormatting sqref="P74:Q75">
    <cfRule type="expression" dxfId="37" priority="263">
      <formula>$B74="P"</formula>
    </cfRule>
  </conditionalFormatting>
  <conditionalFormatting sqref="Q42:Q45">
    <cfRule type="expression" dxfId="36" priority="67">
      <formula>$B42="M"</formula>
    </cfRule>
    <cfRule type="expression" dxfId="35" priority="65">
      <formula>$B42="P"</formula>
    </cfRule>
    <cfRule type="expression" dxfId="34" priority="66">
      <formula>$B42="F"</formula>
    </cfRule>
  </conditionalFormatting>
  <conditionalFormatting sqref="Q48:Q50">
    <cfRule type="expression" dxfId="33" priority="64">
      <formula>$B48="M"</formula>
    </cfRule>
    <cfRule type="expression" dxfId="32" priority="63">
      <formula>$B48="F"</formula>
    </cfRule>
  </conditionalFormatting>
  <conditionalFormatting sqref="Q54:Q57">
    <cfRule type="expression" dxfId="31" priority="4">
      <formula>$B54="P"</formula>
    </cfRule>
    <cfRule type="expression" dxfId="30" priority="5">
      <formula>$B54="F"</formula>
    </cfRule>
    <cfRule type="expression" dxfId="29" priority="6">
      <formula>$B54="M"</formula>
    </cfRule>
  </conditionalFormatting>
  <conditionalFormatting sqref="Q59:Q76">
    <cfRule type="expression" dxfId="28" priority="37">
      <formula>$B59="M"</formula>
    </cfRule>
    <cfRule type="expression" dxfId="27" priority="36">
      <formula>$B59="F"</formula>
    </cfRule>
    <cfRule type="expression" dxfId="26" priority="35">
      <formula>$B59="P"</formula>
    </cfRule>
  </conditionalFormatting>
  <conditionalFormatting sqref="R8:R12 R14:R19 R21:R23 R39:R40 R54:R76">
    <cfRule type="expression" dxfId="25" priority="511">
      <formula>R8="Proposta"</formula>
    </cfRule>
    <cfRule type="expression" dxfId="24" priority="509">
      <formula>R8="Comprometida"</formula>
    </cfRule>
    <cfRule type="expression" dxfId="23" priority="510">
      <formula>R8="Feita"</formula>
    </cfRule>
  </conditionalFormatting>
  <conditionalFormatting sqref="R25">
    <cfRule type="expression" dxfId="22" priority="428">
      <formula>R25="Feita"</formula>
    </cfRule>
    <cfRule type="expression" dxfId="21" priority="424">
      <formula>R25="Comprometida"</formula>
    </cfRule>
    <cfRule type="expression" dxfId="20" priority="425">
      <formula>R25="Feita"</formula>
    </cfRule>
    <cfRule type="expression" dxfId="19" priority="426">
      <formula>R25="Proposta"</formula>
    </cfRule>
    <cfRule type="expression" dxfId="18" priority="427">
      <formula>R25="Comprometida"</formula>
    </cfRule>
    <cfRule type="expression" dxfId="17" priority="429">
      <formula>R25="Proposta"</formula>
    </cfRule>
  </conditionalFormatting>
  <conditionalFormatting sqref="R25:R26">
    <cfRule type="expression" dxfId="16" priority="508">
      <formula>R25="Proposta"</formula>
    </cfRule>
    <cfRule type="expression" dxfId="15" priority="507">
      <formula>R25="Feita"</formula>
    </cfRule>
    <cfRule type="expression" dxfId="14" priority="506">
      <formula>R25="Comprometida"</formula>
    </cfRule>
  </conditionalFormatting>
  <conditionalFormatting sqref="R28:R32 R34:R37">
    <cfRule type="expression" dxfId="13" priority="505">
      <formula>R28="Proposta"</formula>
    </cfRule>
    <cfRule type="expression" dxfId="12" priority="504">
      <formula>R28="Feita"</formula>
    </cfRule>
    <cfRule type="expression" dxfId="11" priority="503">
      <formula>R28="Comprometida"</formula>
    </cfRule>
  </conditionalFormatting>
  <conditionalFormatting sqref="R42:R52">
    <cfRule type="expression" dxfId="10" priority="115">
      <formula>R42="Comprometida"</formula>
    </cfRule>
    <cfRule type="expression" dxfId="9" priority="117">
      <formula>R42="Proposta"</formula>
    </cfRule>
    <cfRule type="expression" dxfId="8" priority="116">
      <formula>R42="Feita"</formula>
    </cfRule>
  </conditionalFormatting>
  <conditionalFormatting sqref="R42:S52">
    <cfRule type="expression" dxfId="7" priority="114">
      <formula>$B42="M"</formula>
    </cfRule>
    <cfRule type="expression" dxfId="6" priority="112">
      <formula>$B42="P"</formula>
    </cfRule>
    <cfRule type="expression" dxfId="5" priority="113">
      <formula>$B42="F"</formula>
    </cfRule>
  </conditionalFormatting>
  <conditionalFormatting sqref="R54:S76">
    <cfRule type="expression" dxfId="4" priority="485">
      <formula>$B54="P"</formula>
    </cfRule>
    <cfRule type="expression" dxfId="3" priority="486">
      <formula>$B54="F"</formula>
    </cfRule>
    <cfRule type="expression" dxfId="2" priority="487">
      <formula>$B54="M"</formula>
    </cfRule>
  </conditionalFormatting>
  <conditionalFormatting sqref="R54:W57 Q58:W59 R59:W76 Q63:W76 S8:S40 J39:W40 M41:W41 R42:W45 Q46:W47 R48:W50 Q51:W52 M53:W53">
    <cfRule type="expression" dxfId="1" priority="500">
      <formula>$B8="P"</formula>
    </cfRule>
  </conditionalFormatting>
  <conditionalFormatting sqref="S1:S1048576">
    <cfRule type="containsText" dxfId="0" priority="448" operator="containsText" text="Concluído">
      <formula>NOT(ISERROR(SEARCH("Concluído",S1)))</formula>
    </cfRule>
  </conditionalFormatting>
  <pageMargins left="0.7" right="0.7" top="0.75" bottom="0.75" header="0.3" footer="0.3"/>
  <pageSetup orientation="portrait" r:id="rId1"/>
  <ignoredErrors>
    <ignoredError sqref="K13 H13 J13 O20 O13:P13 N18:N19 N13 N22:P22 N20 P20 J33 H36:I36 H20:I22 P19:Q19 J38 P16 N14:N16 N23:Q23 H24:I25 N37:Q37 H27:I31 H38:I38 N40:Q40 N32:P32 H33:I34 T13:W13 T21:W22 T20:W20 T18:W19 T14:W16 T23:W26 T36:W37 T38:W40 T27:W34 N26:P26 N24:P24 N27:P27 N34:P34 N33:P33 N38:P38 P14:Q14 P15:Q15 P18 N21:P21 H23 H26 N25:O25 N28:P28 N29:P29 N30:P30 N36:O36 N39:O39 N31:Q31 H32 H37"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CB33E8C-CD6A-48EA-A076-90BC6B1C3DA1}">
          <x14:formula1>
            <xm:f>Valores!$F$25:$F$29</xm:f>
          </x14:formula1>
          <xm:sqref>R6:R76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09E7-7234-4FD1-B0A3-4EE275AC767C}">
  <dimension ref="A1:J45"/>
  <sheetViews>
    <sheetView showGridLines="0" topLeftCell="F1" workbookViewId="0">
      <pane ySplit="1" topLeftCell="A39" activePane="bottomLeft" state="frozen"/>
      <selection pane="bottomLeft" activeCell="J46" sqref="J46"/>
    </sheetView>
  </sheetViews>
  <sheetFormatPr defaultColWidth="11.44140625" defaultRowHeight="13.8" x14ac:dyDescent="0.3"/>
  <cols>
    <col min="1" max="1" width="9.33203125" style="32" customWidth="1"/>
    <col min="2" max="2" width="10.33203125" style="32" customWidth="1"/>
    <col min="3" max="3" width="15.6640625" style="32" customWidth="1"/>
    <col min="4" max="9" width="50.6640625" style="91" customWidth="1"/>
    <col min="10" max="10" width="55.33203125" style="91" customWidth="1"/>
    <col min="11" max="16384" width="11.44140625" style="32"/>
  </cols>
  <sheetData>
    <row r="1" spans="1:10" x14ac:dyDescent="0.3">
      <c r="A1" s="31" t="s">
        <v>135</v>
      </c>
      <c r="B1" s="31" t="s">
        <v>136</v>
      </c>
      <c r="C1" s="31" t="s">
        <v>137</v>
      </c>
      <c r="D1" s="31" t="s">
        <v>138</v>
      </c>
      <c r="E1" s="31" t="s">
        <v>139</v>
      </c>
      <c r="F1" s="31" t="s">
        <v>140</v>
      </c>
      <c r="G1" s="31" t="s">
        <v>141</v>
      </c>
      <c r="H1" s="31" t="s">
        <v>142</v>
      </c>
      <c r="I1" s="31" t="s">
        <v>143</v>
      </c>
      <c r="J1" s="31" t="s">
        <v>144</v>
      </c>
    </row>
    <row r="2" spans="1:10" ht="124.2" x14ac:dyDescent="0.3">
      <c r="A2" s="33" t="str">
        <f>'FICHA PROJETO'!$I$2</f>
        <v>PR.0079</v>
      </c>
      <c r="B2" s="34">
        <v>45303</v>
      </c>
      <c r="C2" s="33" t="s">
        <v>15</v>
      </c>
      <c r="D2" s="35" t="s">
        <v>145</v>
      </c>
      <c r="E2" s="35" t="s">
        <v>146</v>
      </c>
      <c r="F2" s="35" t="s">
        <v>147</v>
      </c>
      <c r="G2" s="35"/>
      <c r="H2" s="35"/>
      <c r="I2" s="35" t="s">
        <v>147</v>
      </c>
      <c r="J2" s="35" t="s">
        <v>148</v>
      </c>
    </row>
    <row r="3" spans="1:10" ht="69" x14ac:dyDescent="0.3">
      <c r="A3" s="33" t="str">
        <f>'FICHA PROJETO'!$I$2</f>
        <v>PR.0079</v>
      </c>
      <c r="B3" s="34">
        <v>45310</v>
      </c>
      <c r="C3" s="33" t="s">
        <v>15</v>
      </c>
      <c r="D3" s="35" t="s">
        <v>149</v>
      </c>
      <c r="E3" s="35" t="s">
        <v>150</v>
      </c>
      <c r="F3" s="35" t="s">
        <v>151</v>
      </c>
      <c r="G3" s="35"/>
      <c r="H3" s="35"/>
      <c r="I3" s="35" t="s">
        <v>152</v>
      </c>
      <c r="J3" s="35" t="s">
        <v>153</v>
      </c>
    </row>
    <row r="4" spans="1:10" ht="69" x14ac:dyDescent="0.3">
      <c r="A4" s="33" t="str">
        <f>'FICHA PROJETO'!$I$2</f>
        <v>PR.0079</v>
      </c>
      <c r="B4" s="34">
        <v>45317</v>
      </c>
      <c r="C4" s="33" t="s">
        <v>15</v>
      </c>
      <c r="D4" s="35" t="s">
        <v>154</v>
      </c>
      <c r="E4" s="35" t="s">
        <v>155</v>
      </c>
      <c r="F4" s="35" t="s">
        <v>151</v>
      </c>
      <c r="G4" s="35" t="s">
        <v>156</v>
      </c>
      <c r="H4" s="35"/>
      <c r="I4" s="35" t="s">
        <v>157</v>
      </c>
      <c r="J4" s="35" t="s">
        <v>158</v>
      </c>
    </row>
    <row r="5" spans="1:10" ht="165.6" x14ac:dyDescent="0.3">
      <c r="A5" s="33" t="str">
        <f>'FICHA PROJETO'!$I$2</f>
        <v>PR.0079</v>
      </c>
      <c r="B5" s="34">
        <v>45324</v>
      </c>
      <c r="C5" s="33" t="s">
        <v>15</v>
      </c>
      <c r="D5" s="35" t="s">
        <v>159</v>
      </c>
      <c r="E5" s="35" t="s">
        <v>160</v>
      </c>
      <c r="F5" s="35" t="s">
        <v>161</v>
      </c>
      <c r="G5" s="35"/>
      <c r="H5" s="35"/>
      <c r="I5" s="35" t="s">
        <v>161</v>
      </c>
      <c r="J5" s="35" t="s">
        <v>162</v>
      </c>
    </row>
    <row r="6" spans="1:10" ht="82.8" x14ac:dyDescent="0.3">
      <c r="A6" s="33" t="str">
        <f>'FICHA PROJETO'!$I$2</f>
        <v>PR.0079</v>
      </c>
      <c r="B6" s="34">
        <v>45331</v>
      </c>
      <c r="C6" s="33" t="s">
        <v>15</v>
      </c>
      <c r="D6" s="35" t="s">
        <v>163</v>
      </c>
      <c r="E6" s="35" t="s">
        <v>164</v>
      </c>
      <c r="F6" s="35" t="s">
        <v>165</v>
      </c>
      <c r="G6" s="35"/>
      <c r="H6" s="35"/>
      <c r="I6" s="35" t="s">
        <v>165</v>
      </c>
      <c r="J6" s="35" t="s">
        <v>166</v>
      </c>
    </row>
    <row r="7" spans="1:10" ht="124.2" x14ac:dyDescent="0.3">
      <c r="A7" s="33" t="str">
        <f>'FICHA PROJETO'!$I$2</f>
        <v>PR.0079</v>
      </c>
      <c r="B7" s="34">
        <v>45338</v>
      </c>
      <c r="C7" s="33" t="s">
        <v>15</v>
      </c>
      <c r="D7" s="35" t="s">
        <v>167</v>
      </c>
      <c r="E7" s="35" t="s">
        <v>168</v>
      </c>
      <c r="F7" s="35" t="s">
        <v>169</v>
      </c>
      <c r="G7" s="35" t="s">
        <v>170</v>
      </c>
      <c r="H7" s="35"/>
      <c r="I7" s="35" t="s">
        <v>170</v>
      </c>
      <c r="J7" s="35" t="s">
        <v>171</v>
      </c>
    </row>
    <row r="8" spans="1:10" ht="55.2" x14ac:dyDescent="0.3">
      <c r="A8" s="33" t="str">
        <f>'FICHA PROJETO'!$I$2</f>
        <v>PR.0079</v>
      </c>
      <c r="B8" s="34">
        <v>45345</v>
      </c>
      <c r="C8" s="33" t="s">
        <v>15</v>
      </c>
      <c r="D8" s="35" t="s">
        <v>172</v>
      </c>
      <c r="E8" s="35" t="s">
        <v>173</v>
      </c>
      <c r="F8" s="35" t="s">
        <v>174</v>
      </c>
      <c r="G8" s="35" t="s">
        <v>175</v>
      </c>
      <c r="H8" s="35"/>
      <c r="I8" s="35" t="s">
        <v>170</v>
      </c>
      <c r="J8" s="35" t="s">
        <v>176</v>
      </c>
    </row>
    <row r="9" spans="1:10" ht="193.2" x14ac:dyDescent="0.3">
      <c r="A9" s="33" t="str">
        <f>'FICHA PROJETO'!$I$2</f>
        <v>PR.0079</v>
      </c>
      <c r="B9" s="34">
        <v>45352</v>
      </c>
      <c r="C9" s="33" t="s">
        <v>15</v>
      </c>
      <c r="D9" s="35" t="s">
        <v>177</v>
      </c>
      <c r="E9" s="35" t="s">
        <v>178</v>
      </c>
      <c r="F9" s="35" t="s">
        <v>179</v>
      </c>
      <c r="G9" s="35"/>
      <c r="H9" s="35"/>
      <c r="I9" s="35" t="s">
        <v>179</v>
      </c>
      <c r="J9" s="35" t="s">
        <v>180</v>
      </c>
    </row>
    <row r="10" spans="1:10" ht="165.6" x14ac:dyDescent="0.3">
      <c r="A10" s="33" t="str">
        <f>'FICHA PROJETO'!$I$2</f>
        <v>PR.0079</v>
      </c>
      <c r="B10" s="34">
        <v>45359</v>
      </c>
      <c r="C10" s="33" t="s">
        <v>15</v>
      </c>
      <c r="D10" s="35" t="s">
        <v>181</v>
      </c>
      <c r="E10" s="35" t="s">
        <v>182</v>
      </c>
      <c r="F10" s="35" t="s">
        <v>183</v>
      </c>
      <c r="G10" s="35"/>
      <c r="H10" s="35"/>
      <c r="I10" s="35" t="s">
        <v>183</v>
      </c>
      <c r="J10" s="35" t="s">
        <v>184</v>
      </c>
    </row>
    <row r="11" spans="1:10" ht="124.2" x14ac:dyDescent="0.3">
      <c r="A11" s="33" t="str">
        <f>'FICHA PROJETO'!$I$2</f>
        <v>PR.0079</v>
      </c>
      <c r="B11" s="34">
        <v>45366</v>
      </c>
      <c r="C11" s="33" t="s">
        <v>15</v>
      </c>
      <c r="D11" s="35" t="s">
        <v>185</v>
      </c>
      <c r="E11" s="35" t="s">
        <v>186</v>
      </c>
      <c r="F11" s="35" t="s">
        <v>187</v>
      </c>
      <c r="G11" s="35"/>
      <c r="H11" s="35"/>
      <c r="I11" s="35" t="s">
        <v>188</v>
      </c>
      <c r="J11" s="35" t="s">
        <v>189</v>
      </c>
    </row>
    <row r="12" spans="1:10" ht="138" x14ac:dyDescent="0.3">
      <c r="A12" s="33" t="str">
        <f>'FICHA PROJETO'!$I$2</f>
        <v>PR.0079</v>
      </c>
      <c r="B12" s="34">
        <v>45373</v>
      </c>
      <c r="C12" s="33" t="s">
        <v>15</v>
      </c>
      <c r="D12" s="35" t="s">
        <v>190</v>
      </c>
      <c r="E12" s="35" t="s">
        <v>191</v>
      </c>
      <c r="F12" s="35" t="s">
        <v>192</v>
      </c>
      <c r="G12" s="35"/>
      <c r="H12" s="35"/>
      <c r="I12" s="35" t="s">
        <v>192</v>
      </c>
      <c r="J12" s="35" t="s">
        <v>193</v>
      </c>
    </row>
    <row r="13" spans="1:10" ht="138" x14ac:dyDescent="0.3">
      <c r="A13" s="33" t="str">
        <f>'FICHA PROJETO'!$I$2</f>
        <v>PR.0079</v>
      </c>
      <c r="B13" s="34">
        <v>45380</v>
      </c>
      <c r="C13" s="33" t="s">
        <v>15</v>
      </c>
      <c r="D13" s="35" t="s">
        <v>194</v>
      </c>
      <c r="E13" s="35" t="s">
        <v>194</v>
      </c>
      <c r="F13" s="35" t="s">
        <v>195</v>
      </c>
      <c r="G13" s="35"/>
      <c r="H13" s="35"/>
      <c r="I13" s="35" t="s">
        <v>195</v>
      </c>
      <c r="J13" s="35" t="s">
        <v>196</v>
      </c>
    </row>
    <row r="14" spans="1:10" ht="179.4" x14ac:dyDescent="0.3">
      <c r="A14" s="33" t="str">
        <f>'FICHA PROJETO'!$I$2</f>
        <v>PR.0079</v>
      </c>
      <c r="B14" s="34">
        <v>45387</v>
      </c>
      <c r="C14" s="33" t="s">
        <v>15</v>
      </c>
      <c r="D14" s="35" t="s">
        <v>197</v>
      </c>
      <c r="E14" s="35" t="s">
        <v>197</v>
      </c>
      <c r="F14" s="35" t="s">
        <v>198</v>
      </c>
      <c r="G14" s="35"/>
      <c r="H14" s="35"/>
      <c r="I14" s="35" t="s">
        <v>198</v>
      </c>
      <c r="J14" s="35" t="s">
        <v>199</v>
      </c>
    </row>
    <row r="15" spans="1:10" ht="193.2" x14ac:dyDescent="0.3">
      <c r="A15" s="33" t="str">
        <f>'FICHA PROJETO'!$I$2</f>
        <v>PR.0079</v>
      </c>
      <c r="B15" s="34">
        <v>45394</v>
      </c>
      <c r="C15" s="33" t="s">
        <v>15</v>
      </c>
      <c r="D15" s="35" t="s">
        <v>200</v>
      </c>
      <c r="E15" s="35" t="s">
        <v>201</v>
      </c>
      <c r="F15" s="35" t="s">
        <v>202</v>
      </c>
      <c r="G15" s="35"/>
      <c r="H15" s="35"/>
      <c r="I15" s="35" t="s">
        <v>202</v>
      </c>
      <c r="J15" s="35" t="s">
        <v>203</v>
      </c>
    </row>
    <row r="16" spans="1:10" ht="110.4" x14ac:dyDescent="0.3">
      <c r="A16" s="33" t="str">
        <f>'FICHA PROJETO'!$I$2</f>
        <v>PR.0079</v>
      </c>
      <c r="B16" s="34">
        <v>45401</v>
      </c>
      <c r="C16" s="33" t="s">
        <v>15</v>
      </c>
      <c r="D16" s="35" t="s">
        <v>204</v>
      </c>
      <c r="E16" s="35" t="s">
        <v>204</v>
      </c>
      <c r="F16" s="35" t="s">
        <v>205</v>
      </c>
      <c r="G16" s="35"/>
      <c r="H16" s="35"/>
      <c r="I16" s="35" t="s">
        <v>205</v>
      </c>
      <c r="J16" s="35" t="s">
        <v>206</v>
      </c>
    </row>
    <row r="17" spans="1:10" ht="165.6" x14ac:dyDescent="0.3">
      <c r="A17" s="33" t="str">
        <f>'FICHA PROJETO'!$I$2</f>
        <v>PR.0079</v>
      </c>
      <c r="B17" s="34">
        <v>45408</v>
      </c>
      <c r="C17" s="33" t="s">
        <v>15</v>
      </c>
      <c r="D17" s="35" t="s">
        <v>207</v>
      </c>
      <c r="E17" s="35" t="s">
        <v>208</v>
      </c>
      <c r="F17" s="35" t="s">
        <v>209</v>
      </c>
      <c r="G17" s="35"/>
      <c r="H17" s="35"/>
      <c r="I17" s="35" t="s">
        <v>209</v>
      </c>
      <c r="J17" s="35" t="s">
        <v>210</v>
      </c>
    </row>
    <row r="18" spans="1:10" ht="124.2" x14ac:dyDescent="0.3">
      <c r="A18" s="33" t="str">
        <f>'FICHA PROJETO'!$I$2</f>
        <v>PR.0079</v>
      </c>
      <c r="B18" s="34">
        <v>45415</v>
      </c>
      <c r="C18" s="33" t="s">
        <v>15</v>
      </c>
      <c r="D18" s="35" t="s">
        <v>211</v>
      </c>
      <c r="E18" s="35" t="s">
        <v>212</v>
      </c>
      <c r="F18" s="35" t="s">
        <v>213</v>
      </c>
      <c r="G18" s="35"/>
      <c r="H18" s="35"/>
      <c r="I18" s="35" t="s">
        <v>213</v>
      </c>
      <c r="J18" s="35" t="s">
        <v>214</v>
      </c>
    </row>
    <row r="19" spans="1:10" ht="234.6" x14ac:dyDescent="0.3">
      <c r="A19" s="33" t="str">
        <f>'FICHA PROJETO'!$I$2</f>
        <v>PR.0079</v>
      </c>
      <c r="B19" s="34">
        <v>45422</v>
      </c>
      <c r="C19" s="33" t="s">
        <v>15</v>
      </c>
      <c r="D19" s="35" t="s">
        <v>215</v>
      </c>
      <c r="E19" s="35" t="s">
        <v>216</v>
      </c>
      <c r="F19" s="35" t="s">
        <v>217</v>
      </c>
      <c r="G19" s="35"/>
      <c r="H19" s="35"/>
      <c r="I19" s="35" t="s">
        <v>217</v>
      </c>
      <c r="J19" s="35" t="s">
        <v>218</v>
      </c>
    </row>
    <row r="20" spans="1:10" ht="110.4" x14ac:dyDescent="0.3">
      <c r="A20" s="33" t="str">
        <f>'FICHA PROJETO'!$I$2</f>
        <v>PR.0079</v>
      </c>
      <c r="B20" s="34">
        <v>45429</v>
      </c>
      <c r="C20" s="33" t="s">
        <v>15</v>
      </c>
      <c r="D20" s="35" t="s">
        <v>219</v>
      </c>
      <c r="E20" s="35" t="s">
        <v>219</v>
      </c>
      <c r="F20" s="35" t="s">
        <v>220</v>
      </c>
      <c r="G20" s="35"/>
      <c r="H20" s="35"/>
      <c r="I20" s="35" t="s">
        <v>220</v>
      </c>
      <c r="J20" s="35" t="s">
        <v>221</v>
      </c>
    </row>
    <row r="21" spans="1:10" ht="82.8" x14ac:dyDescent="0.3">
      <c r="A21" s="33" t="str">
        <f>'FICHA PROJETO'!$I$2</f>
        <v>PR.0079</v>
      </c>
      <c r="B21" s="34">
        <v>45436</v>
      </c>
      <c r="C21" s="33" t="s">
        <v>15</v>
      </c>
      <c r="D21" s="35" t="s">
        <v>222</v>
      </c>
      <c r="E21" s="35" t="s">
        <v>222</v>
      </c>
      <c r="F21" s="35" t="s">
        <v>222</v>
      </c>
      <c r="G21" s="35"/>
      <c r="H21" s="35" t="s">
        <v>223</v>
      </c>
      <c r="I21" s="35" t="s">
        <v>222</v>
      </c>
      <c r="J21" s="35" t="s">
        <v>224</v>
      </c>
    </row>
    <row r="22" spans="1:10" ht="82.8" x14ac:dyDescent="0.3">
      <c r="A22" s="33" t="str">
        <f>'FICHA PROJETO'!$I$2</f>
        <v>PR.0079</v>
      </c>
      <c r="B22" s="34">
        <v>45443</v>
      </c>
      <c r="C22" s="33" t="s">
        <v>15</v>
      </c>
      <c r="D22" s="35" t="s">
        <v>222</v>
      </c>
      <c r="E22" s="35" t="s">
        <v>222</v>
      </c>
      <c r="F22" s="35" t="s">
        <v>222</v>
      </c>
      <c r="G22" s="35"/>
      <c r="H22" s="35" t="s">
        <v>223</v>
      </c>
      <c r="I22" s="35" t="s">
        <v>222</v>
      </c>
      <c r="J22" s="35" t="s">
        <v>224</v>
      </c>
    </row>
    <row r="23" spans="1:10" ht="82.8" x14ac:dyDescent="0.3">
      <c r="A23" s="33" t="str">
        <f>'FICHA PROJETO'!$I$2</f>
        <v>PR.0079</v>
      </c>
      <c r="B23" s="34">
        <f t="shared" ref="B23:B28" si="0">B22+7</f>
        <v>45450</v>
      </c>
      <c r="C23" s="33" t="s">
        <v>15</v>
      </c>
      <c r="D23" s="35" t="s">
        <v>225</v>
      </c>
      <c r="E23" s="35" t="s">
        <v>225</v>
      </c>
      <c r="F23" s="35" t="s">
        <v>226</v>
      </c>
      <c r="G23" s="35"/>
      <c r="H23" s="35"/>
      <c r="I23" s="35" t="s">
        <v>226</v>
      </c>
      <c r="J23" s="35" t="s">
        <v>227</v>
      </c>
    </row>
    <row r="24" spans="1:10" ht="69" x14ac:dyDescent="0.3">
      <c r="A24" s="33" t="str">
        <f>'FICHA PROJETO'!$I$2</f>
        <v>PR.0079</v>
      </c>
      <c r="B24" s="34">
        <f t="shared" si="0"/>
        <v>45457</v>
      </c>
      <c r="C24" s="33" t="s">
        <v>15</v>
      </c>
      <c r="D24" s="35" t="s">
        <v>228</v>
      </c>
      <c r="E24" s="35" t="s">
        <v>228</v>
      </c>
      <c r="F24" s="35" t="s">
        <v>229</v>
      </c>
      <c r="G24" s="35"/>
      <c r="H24" s="35"/>
      <c r="I24" s="35" t="s">
        <v>229</v>
      </c>
      <c r="J24" s="35" t="s">
        <v>230</v>
      </c>
    </row>
    <row r="25" spans="1:10" ht="110.4" x14ac:dyDescent="0.3">
      <c r="A25" s="33" t="str">
        <f>'FICHA PROJETO'!$I$2</f>
        <v>PR.0079</v>
      </c>
      <c r="B25" s="34">
        <f t="shared" si="0"/>
        <v>45464</v>
      </c>
      <c r="C25" s="33" t="s">
        <v>15</v>
      </c>
      <c r="D25" s="35" t="s">
        <v>231</v>
      </c>
      <c r="E25" s="35" t="s">
        <v>231</v>
      </c>
      <c r="F25" s="35" t="s">
        <v>232</v>
      </c>
      <c r="G25" s="35" t="s">
        <v>233</v>
      </c>
      <c r="H25" s="35"/>
      <c r="I25" s="35" t="s">
        <v>232</v>
      </c>
      <c r="J25" s="35" t="s">
        <v>234</v>
      </c>
    </row>
    <row r="26" spans="1:10" ht="138" x14ac:dyDescent="0.3">
      <c r="A26" s="33" t="str">
        <f>'FICHA PROJETO'!$I$2</f>
        <v>PR.0079</v>
      </c>
      <c r="B26" s="34">
        <f t="shared" si="0"/>
        <v>45471</v>
      </c>
      <c r="C26" s="33" t="s">
        <v>15</v>
      </c>
      <c r="D26" s="35" t="s">
        <v>235</v>
      </c>
      <c r="E26" s="35" t="s">
        <v>235</v>
      </c>
      <c r="F26" s="35" t="s">
        <v>236</v>
      </c>
      <c r="G26" s="35" t="s">
        <v>237</v>
      </c>
      <c r="H26" s="35"/>
      <c r="I26" s="35" t="s">
        <v>236</v>
      </c>
      <c r="J26" s="35" t="s">
        <v>238</v>
      </c>
    </row>
    <row r="27" spans="1:10" ht="110.4" x14ac:dyDescent="0.3">
      <c r="A27" s="33" t="str">
        <f>'FICHA PROJETO'!$I$2</f>
        <v>PR.0079</v>
      </c>
      <c r="B27" s="34">
        <f t="shared" si="0"/>
        <v>45478</v>
      </c>
      <c r="C27" s="33" t="s">
        <v>15</v>
      </c>
      <c r="D27" s="35" t="s">
        <v>239</v>
      </c>
      <c r="E27" s="35" t="s">
        <v>239</v>
      </c>
      <c r="F27" s="35" t="s">
        <v>240</v>
      </c>
      <c r="G27" s="35"/>
      <c r="H27" s="35"/>
      <c r="I27" s="35" t="s">
        <v>240</v>
      </c>
      <c r="J27" s="35" t="s">
        <v>241</v>
      </c>
    </row>
    <row r="28" spans="1:10" ht="124.2" x14ac:dyDescent="0.3">
      <c r="A28" s="33" t="str">
        <f>'FICHA PROJETO'!$I$2</f>
        <v>PR.0079</v>
      </c>
      <c r="B28" s="34">
        <f t="shared" si="0"/>
        <v>45485</v>
      </c>
      <c r="C28" s="33" t="s">
        <v>15</v>
      </c>
      <c r="D28" s="35" t="s">
        <v>242</v>
      </c>
      <c r="E28" s="35" t="s">
        <v>242</v>
      </c>
      <c r="F28" s="35" t="s">
        <v>243</v>
      </c>
      <c r="G28" s="35"/>
      <c r="H28" s="35"/>
      <c r="I28" s="35" t="s">
        <v>243</v>
      </c>
      <c r="J28" s="35" t="s">
        <v>244</v>
      </c>
    </row>
    <row r="29" spans="1:10" ht="179.4" x14ac:dyDescent="0.3">
      <c r="A29" s="33" t="str">
        <f>'FICHA PROJETO'!$I$2</f>
        <v>PR.0079</v>
      </c>
      <c r="B29" s="34">
        <v>45499</v>
      </c>
      <c r="C29" s="33" t="s">
        <v>15</v>
      </c>
      <c r="D29" s="35" t="s">
        <v>245</v>
      </c>
      <c r="E29" s="35" t="s">
        <v>245</v>
      </c>
      <c r="F29" s="35" t="s">
        <v>246</v>
      </c>
      <c r="G29" s="35"/>
      <c r="H29" s="35"/>
      <c r="I29" s="35"/>
      <c r="J29" s="35" t="s">
        <v>247</v>
      </c>
    </row>
    <row r="30" spans="1:10" ht="179.4" x14ac:dyDescent="0.3">
      <c r="A30" s="33" t="str">
        <f>'FICHA PROJETO'!$I$2</f>
        <v>PR.0079</v>
      </c>
      <c r="B30" s="34">
        <v>45506</v>
      </c>
      <c r="C30" s="33" t="s">
        <v>15</v>
      </c>
      <c r="D30" s="35" t="s">
        <v>248</v>
      </c>
      <c r="E30" s="35" t="s">
        <v>248</v>
      </c>
      <c r="F30" s="35" t="s">
        <v>249</v>
      </c>
      <c r="G30" s="35"/>
      <c r="H30" s="35"/>
      <c r="I30" s="35" t="s">
        <v>249</v>
      </c>
      <c r="J30" s="35" t="s">
        <v>250</v>
      </c>
    </row>
    <row r="31" spans="1:10" ht="110.4" x14ac:dyDescent="0.3">
      <c r="A31" s="33" t="str">
        <f>'FICHA PROJETO'!$I$2</f>
        <v>PR.0079</v>
      </c>
      <c r="B31" s="34">
        <f t="shared" ref="B31:B45" si="1">B30+7</f>
        <v>45513</v>
      </c>
      <c r="C31" s="33" t="s">
        <v>15</v>
      </c>
      <c r="D31" s="35" t="s">
        <v>251</v>
      </c>
      <c r="E31" s="35" t="s">
        <v>251</v>
      </c>
      <c r="F31" s="35" t="s">
        <v>252</v>
      </c>
      <c r="G31" s="35"/>
      <c r="H31" s="35"/>
      <c r="I31" s="35" t="s">
        <v>252</v>
      </c>
      <c r="J31" s="35" t="s">
        <v>253</v>
      </c>
    </row>
    <row r="32" spans="1:10" ht="110.4" x14ac:dyDescent="0.3">
      <c r="A32" s="33" t="str">
        <f>'FICHA PROJETO'!$I$2</f>
        <v>PR.0079</v>
      </c>
      <c r="B32" s="34">
        <f t="shared" si="1"/>
        <v>45520</v>
      </c>
      <c r="C32" s="33" t="s">
        <v>15</v>
      </c>
      <c r="D32" s="35" t="s">
        <v>251</v>
      </c>
      <c r="E32" s="35" t="s">
        <v>251</v>
      </c>
      <c r="F32" s="35" t="s">
        <v>252</v>
      </c>
      <c r="G32" s="35"/>
      <c r="H32" s="35"/>
      <c r="I32" s="35" t="s">
        <v>252</v>
      </c>
      <c r="J32" s="35" t="s">
        <v>253</v>
      </c>
    </row>
    <row r="33" spans="1:10" ht="96.6" x14ac:dyDescent="0.3">
      <c r="A33" s="33" t="str">
        <f>'FICHA PROJETO'!$I$2</f>
        <v>PR.0079</v>
      </c>
      <c r="B33" s="34">
        <f t="shared" si="1"/>
        <v>45527</v>
      </c>
      <c r="C33" s="33" t="s">
        <v>15</v>
      </c>
      <c r="D33" s="35" t="s">
        <v>254</v>
      </c>
      <c r="E33" s="35" t="s">
        <v>254</v>
      </c>
      <c r="F33" s="35" t="s">
        <v>255</v>
      </c>
      <c r="G33" s="35"/>
      <c r="H33" s="35"/>
      <c r="I33" s="35" t="s">
        <v>255</v>
      </c>
      <c r="J33" s="35" t="s">
        <v>256</v>
      </c>
    </row>
    <row r="34" spans="1:10" ht="96.6" x14ac:dyDescent="0.3">
      <c r="A34" s="33" t="str">
        <f>'FICHA PROJETO'!$I$2</f>
        <v>PR.0079</v>
      </c>
      <c r="B34" s="34">
        <f t="shared" si="1"/>
        <v>45534</v>
      </c>
      <c r="C34" s="33" t="s">
        <v>15</v>
      </c>
      <c r="D34" s="35" t="s">
        <v>257</v>
      </c>
      <c r="E34" s="35" t="s">
        <v>257</v>
      </c>
      <c r="F34" s="35" t="s">
        <v>258</v>
      </c>
      <c r="G34" s="35" t="s">
        <v>259</v>
      </c>
      <c r="H34" s="35"/>
      <c r="I34" s="35" t="s">
        <v>258</v>
      </c>
      <c r="J34" s="35" t="s">
        <v>260</v>
      </c>
    </row>
    <row r="35" spans="1:10" ht="82.8" x14ac:dyDescent="0.3">
      <c r="A35" s="33" t="str">
        <f>'FICHA PROJETO'!$I$2</f>
        <v>PR.0079</v>
      </c>
      <c r="B35" s="34">
        <f t="shared" si="1"/>
        <v>45541</v>
      </c>
      <c r="C35" s="33" t="s">
        <v>15</v>
      </c>
      <c r="D35" s="35" t="s">
        <v>261</v>
      </c>
      <c r="E35" s="35" t="s">
        <v>261</v>
      </c>
      <c r="F35" s="35" t="s">
        <v>262</v>
      </c>
      <c r="G35" s="35" t="s">
        <v>259</v>
      </c>
      <c r="H35" s="35"/>
      <c r="I35" s="35" t="s">
        <v>258</v>
      </c>
      <c r="J35" s="35" t="s">
        <v>263</v>
      </c>
    </row>
    <row r="36" spans="1:10" ht="96.6" x14ac:dyDescent="0.3">
      <c r="A36" s="33" t="str">
        <f>'FICHA PROJETO'!$I$2</f>
        <v>PR.0079</v>
      </c>
      <c r="B36" s="34">
        <f t="shared" si="1"/>
        <v>45548</v>
      </c>
      <c r="C36" s="33" t="s">
        <v>15</v>
      </c>
      <c r="D36" s="35" t="s">
        <v>264</v>
      </c>
      <c r="E36" s="35" t="s">
        <v>264</v>
      </c>
      <c r="F36" s="35" t="s">
        <v>262</v>
      </c>
      <c r="G36" s="35" t="s">
        <v>259</v>
      </c>
      <c r="H36" s="35"/>
      <c r="I36" s="35" t="s">
        <v>258</v>
      </c>
      <c r="J36" s="35" t="s">
        <v>265</v>
      </c>
    </row>
    <row r="37" spans="1:10" ht="82.8" x14ac:dyDescent="0.3">
      <c r="A37" s="33" t="str">
        <f>'FICHA PROJETO'!$I$2</f>
        <v>PR.0079</v>
      </c>
      <c r="B37" s="34">
        <f t="shared" si="1"/>
        <v>45555</v>
      </c>
      <c r="C37" s="33" t="s">
        <v>15</v>
      </c>
      <c r="D37" s="35" t="s">
        <v>266</v>
      </c>
      <c r="E37" s="35" t="s">
        <v>266</v>
      </c>
      <c r="F37" s="35" t="s">
        <v>267</v>
      </c>
      <c r="G37" s="35"/>
      <c r="H37" s="35"/>
      <c r="I37" s="35" t="s">
        <v>267</v>
      </c>
      <c r="J37" s="35" t="s">
        <v>268</v>
      </c>
    </row>
    <row r="38" spans="1:10" ht="82.8" x14ac:dyDescent="0.3">
      <c r="A38" s="33" t="str">
        <f>'FICHA PROJETO'!$I$2</f>
        <v>PR.0079</v>
      </c>
      <c r="B38" s="34">
        <f t="shared" si="1"/>
        <v>45562</v>
      </c>
      <c r="C38" s="33" t="s">
        <v>15</v>
      </c>
      <c r="D38" s="35" t="s">
        <v>269</v>
      </c>
      <c r="E38" s="35" t="s">
        <v>269</v>
      </c>
      <c r="F38" s="35" t="s">
        <v>270</v>
      </c>
      <c r="G38" s="35"/>
      <c r="H38" s="35"/>
      <c r="I38" s="35" t="s">
        <v>270</v>
      </c>
      <c r="J38" s="35" t="s">
        <v>271</v>
      </c>
    </row>
    <row r="39" spans="1:10" ht="156" customHeight="1" x14ac:dyDescent="0.3">
      <c r="A39" s="33" t="str">
        <f>'FICHA PROJETO'!$I$2</f>
        <v>PR.0079</v>
      </c>
      <c r="B39" s="34">
        <f t="shared" si="1"/>
        <v>45569</v>
      </c>
      <c r="C39" s="33" t="s">
        <v>15</v>
      </c>
      <c r="D39" s="35" t="s">
        <v>272</v>
      </c>
      <c r="E39" s="35" t="s">
        <v>272</v>
      </c>
      <c r="F39" s="35" t="s">
        <v>273</v>
      </c>
      <c r="G39" s="35"/>
      <c r="H39" s="35"/>
      <c r="I39" s="35" t="s">
        <v>273</v>
      </c>
      <c r="J39" s="35" t="s">
        <v>274</v>
      </c>
    </row>
    <row r="40" spans="1:10" ht="96.6" x14ac:dyDescent="0.3">
      <c r="A40" s="33" t="str">
        <f>'FICHA PROJETO'!$I$2</f>
        <v>PR.0079</v>
      </c>
      <c r="B40" s="34">
        <f t="shared" si="1"/>
        <v>45576</v>
      </c>
      <c r="C40" s="33" t="s">
        <v>15</v>
      </c>
      <c r="D40" s="35" t="s">
        <v>275</v>
      </c>
      <c r="E40" s="35" t="s">
        <v>275</v>
      </c>
      <c r="F40" s="35" t="s">
        <v>276</v>
      </c>
      <c r="G40" s="35"/>
      <c r="H40" s="35"/>
      <c r="I40" s="35" t="s">
        <v>277</v>
      </c>
      <c r="J40" s="35" t="s">
        <v>278</v>
      </c>
    </row>
    <row r="41" spans="1:10" x14ac:dyDescent="0.3">
      <c r="A41" s="33" t="str">
        <f>'FICHA PROJETO'!$I$2</f>
        <v>PR.0079</v>
      </c>
      <c r="B41" s="34">
        <f t="shared" si="1"/>
        <v>45583</v>
      </c>
      <c r="C41" s="33" t="s">
        <v>15</v>
      </c>
      <c r="D41" s="35"/>
      <c r="E41" s="35"/>
      <c r="F41" s="35"/>
      <c r="G41" s="35"/>
      <c r="H41" s="35"/>
      <c r="I41" s="35"/>
      <c r="J41" s="35" t="s">
        <v>279</v>
      </c>
    </row>
    <row r="42" spans="1:10" x14ac:dyDescent="0.3">
      <c r="A42" s="33" t="str">
        <f>'FICHA PROJETO'!$I$2</f>
        <v>PR.0079</v>
      </c>
      <c r="B42" s="34">
        <f t="shared" si="1"/>
        <v>45590</v>
      </c>
      <c r="C42" s="33" t="s">
        <v>15</v>
      </c>
      <c r="D42" s="35"/>
      <c r="E42" s="35"/>
      <c r="F42" s="35"/>
      <c r="G42" s="35"/>
      <c r="H42" s="35"/>
      <c r="I42" s="35"/>
      <c r="J42" s="35" t="s">
        <v>279</v>
      </c>
    </row>
    <row r="43" spans="1:10" ht="41.4" x14ac:dyDescent="0.3">
      <c r="A43" s="33" t="str">
        <f>'FICHA PROJETO'!$I$2</f>
        <v>PR.0079</v>
      </c>
      <c r="B43" s="34">
        <f t="shared" si="1"/>
        <v>45597</v>
      </c>
      <c r="C43" s="33" t="s">
        <v>15</v>
      </c>
      <c r="D43" s="35"/>
      <c r="E43" s="35"/>
      <c r="F43" s="35"/>
      <c r="G43" s="35"/>
      <c r="H43" s="35"/>
      <c r="I43" s="35"/>
      <c r="J43" s="35" t="s">
        <v>280</v>
      </c>
    </row>
    <row r="44" spans="1:10" ht="41.4" x14ac:dyDescent="0.3">
      <c r="A44" s="33" t="str">
        <f>'FICHA PROJETO'!$I$2</f>
        <v>PR.0079</v>
      </c>
      <c r="B44" s="34">
        <f t="shared" si="1"/>
        <v>45604</v>
      </c>
      <c r="C44" s="33" t="s">
        <v>15</v>
      </c>
      <c r="D44" s="35"/>
      <c r="E44" s="35"/>
      <c r="F44" s="35"/>
      <c r="G44" s="35"/>
      <c r="H44" s="35"/>
      <c r="I44" s="35"/>
      <c r="J44" s="35" t="s">
        <v>280</v>
      </c>
    </row>
    <row r="45" spans="1:10" ht="71.25" customHeight="1" x14ac:dyDescent="0.3">
      <c r="A45" s="33" t="str">
        <f>'FICHA PROJETO'!$I$2</f>
        <v>PR.0079</v>
      </c>
      <c r="B45" s="34">
        <f t="shared" si="1"/>
        <v>45611</v>
      </c>
      <c r="C45" s="33" t="s">
        <v>15</v>
      </c>
      <c r="D45" s="35"/>
      <c r="E45" s="35"/>
      <c r="F45" s="35"/>
      <c r="G45" s="35"/>
      <c r="H45" s="35"/>
      <c r="I45" s="35"/>
      <c r="J45" s="35" t="s">
        <v>281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9B2F9-502D-42BC-92F0-0CFAD5C5F30F}">
  <dimension ref="A1:I8"/>
  <sheetViews>
    <sheetView zoomScale="110" zoomScaleNormal="110" workbookViewId="0">
      <selection activeCell="D22" sqref="D22"/>
    </sheetView>
  </sheetViews>
  <sheetFormatPr defaultColWidth="11.5546875" defaultRowHeight="12" x14ac:dyDescent="0.3"/>
  <cols>
    <col min="1" max="1" width="9.33203125" style="41" customWidth="1"/>
    <col min="2" max="2" width="10.33203125" style="41" customWidth="1"/>
    <col min="3" max="3" width="11.33203125" style="41" customWidth="1"/>
    <col min="4" max="4" width="50.6640625" style="41" customWidth="1"/>
    <col min="5" max="6" width="11.5546875" style="41"/>
    <col min="7" max="7" width="19.6640625" style="41" bestFit="1" customWidth="1"/>
    <col min="8" max="8" width="22.44140625" style="47" bestFit="1" customWidth="1"/>
    <col min="9" max="9" width="8.33203125" style="41" customWidth="1"/>
    <col min="10" max="16384" width="11.5546875" style="41"/>
  </cols>
  <sheetData>
    <row r="1" spans="1:9" x14ac:dyDescent="0.3">
      <c r="A1" s="38" t="s">
        <v>135</v>
      </c>
      <c r="B1" s="38" t="s">
        <v>136</v>
      </c>
      <c r="C1" s="38" t="s">
        <v>137</v>
      </c>
      <c r="D1" s="39" t="s">
        <v>282</v>
      </c>
      <c r="E1" s="40" t="s">
        <v>283</v>
      </c>
      <c r="F1" s="40" t="s">
        <v>284</v>
      </c>
      <c r="G1" s="40" t="s">
        <v>285</v>
      </c>
      <c r="H1" s="40" t="s">
        <v>286</v>
      </c>
      <c r="I1" s="40" t="s">
        <v>287</v>
      </c>
    </row>
    <row r="2" spans="1:9" x14ac:dyDescent="0.3">
      <c r="A2" s="42" t="str">
        <f>'FICHA PROJETO'!$I$2</f>
        <v>PR.0079</v>
      </c>
      <c r="B2" s="43"/>
      <c r="C2" s="42"/>
      <c r="D2" s="44"/>
      <c r="E2" s="45" t="s">
        <v>288</v>
      </c>
      <c r="F2" s="45" t="s">
        <v>288</v>
      </c>
      <c r="G2" s="45" t="str">
        <f>E2&amp;"-"&amp;F2</f>
        <v>-Seleccionar---Seleccionar-</v>
      </c>
      <c r="H2" s="46" t="e">
        <f>VLOOKUP(G2,Valores!$B$59:$D$68,2,FALSE)</f>
        <v>#N/A</v>
      </c>
      <c r="I2" s="45" t="e">
        <f>VLOOKUP(G2,Valores!$B$59:$D$68,3,FALSE)</f>
        <v>#N/A</v>
      </c>
    </row>
    <row r="3" spans="1:9" x14ac:dyDescent="0.3">
      <c r="A3" s="42" t="str">
        <f>'FICHA PROJETO'!$I$2</f>
        <v>PR.0079</v>
      </c>
      <c r="B3" s="43"/>
      <c r="C3" s="42"/>
      <c r="D3" s="44"/>
      <c r="E3" s="45" t="s">
        <v>288</v>
      </c>
      <c r="F3" s="45" t="s">
        <v>288</v>
      </c>
      <c r="G3" s="45" t="str">
        <f t="shared" ref="G3:G4" si="0">E3&amp;"-"&amp;F3</f>
        <v>-Seleccionar---Seleccionar-</v>
      </c>
      <c r="H3" s="46" t="e">
        <f>VLOOKUP(G3,Valores!$B$59:$D$68,2,FALSE)</f>
        <v>#N/A</v>
      </c>
      <c r="I3" s="45" t="e">
        <f>VLOOKUP(G3,Valores!$B$59:$D$68,3,FALSE)</f>
        <v>#N/A</v>
      </c>
    </row>
    <row r="4" spans="1:9" x14ac:dyDescent="0.3">
      <c r="A4" s="42" t="str">
        <f>'FICHA PROJETO'!$I$2</f>
        <v>PR.0079</v>
      </c>
      <c r="B4" s="43"/>
      <c r="C4" s="42"/>
      <c r="D4" s="44"/>
      <c r="E4" s="45" t="s">
        <v>288</v>
      </c>
      <c r="F4" s="45" t="s">
        <v>288</v>
      </c>
      <c r="G4" s="45" t="str">
        <f t="shared" si="0"/>
        <v>-Seleccionar---Seleccionar-</v>
      </c>
      <c r="H4" s="46" t="e">
        <f>VLOOKUP(G4,Valores!$B$59:$D$68,2,FALSE)</f>
        <v>#N/A</v>
      </c>
      <c r="I4" s="45" t="e">
        <f>VLOOKUP(G4,Valores!$B$59:$D$68,3,FALSE)</f>
        <v>#N/A</v>
      </c>
    </row>
    <row r="5" spans="1:9" x14ac:dyDescent="0.3">
      <c r="A5" s="42" t="str">
        <f>'FICHA PROJETO'!$I$2</f>
        <v>PR.0079</v>
      </c>
      <c r="B5" s="43"/>
      <c r="C5" s="42"/>
      <c r="D5" s="44"/>
      <c r="E5" s="45" t="s">
        <v>288</v>
      </c>
      <c r="F5" s="45" t="s">
        <v>288</v>
      </c>
      <c r="G5" s="45" t="str">
        <f t="shared" ref="G5" si="1">E5&amp;"-"&amp;F5</f>
        <v>-Seleccionar---Seleccionar-</v>
      </c>
      <c r="H5" s="46" t="e">
        <f>VLOOKUP(G5,Valores!$B$59:$D$68,2,FALSE)</f>
        <v>#N/A</v>
      </c>
      <c r="I5" s="45" t="e">
        <f>VLOOKUP(G5,Valores!$B$59:$D$68,3,FALSE)</f>
        <v>#N/A</v>
      </c>
    </row>
    <row r="6" spans="1:9" x14ac:dyDescent="0.3">
      <c r="A6" s="42" t="str">
        <f>'FICHA PROJETO'!$I$2</f>
        <v>PR.0079</v>
      </c>
      <c r="B6" s="43"/>
      <c r="C6" s="42"/>
      <c r="D6" s="44"/>
      <c r="E6" s="45" t="s">
        <v>288</v>
      </c>
      <c r="F6" s="45" t="s">
        <v>288</v>
      </c>
      <c r="G6" s="45" t="str">
        <f t="shared" ref="G6" si="2">E6&amp;"-"&amp;F6</f>
        <v>-Seleccionar---Seleccionar-</v>
      </c>
      <c r="H6" s="46" t="e">
        <f>VLOOKUP(G6,Valores!$B$59:$D$68,2,FALSE)</f>
        <v>#N/A</v>
      </c>
      <c r="I6" s="45" t="e">
        <f>VLOOKUP(G6,Valores!$B$59:$D$68,3,FALSE)</f>
        <v>#N/A</v>
      </c>
    </row>
    <row r="7" spans="1:9" x14ac:dyDescent="0.3">
      <c r="A7" s="42" t="str">
        <f>'FICHA PROJETO'!$I$2</f>
        <v>PR.0079</v>
      </c>
      <c r="B7" s="43"/>
      <c r="C7" s="42"/>
      <c r="D7" s="44"/>
      <c r="E7" s="45" t="s">
        <v>288</v>
      </c>
      <c r="F7" s="45" t="s">
        <v>288</v>
      </c>
      <c r="G7" s="45" t="str">
        <f t="shared" ref="G7" si="3">E7&amp;"-"&amp;F7</f>
        <v>-Seleccionar---Seleccionar-</v>
      </c>
      <c r="H7" s="46" t="e">
        <f>VLOOKUP(G7,Valores!$B$59:$D$68,2,FALSE)</f>
        <v>#N/A</v>
      </c>
      <c r="I7" s="45" t="e">
        <f>VLOOKUP(G7,Valores!$B$59:$D$68,3,FALSE)</f>
        <v>#N/A</v>
      </c>
    </row>
    <row r="8" spans="1:9" x14ac:dyDescent="0.3">
      <c r="A8" s="42" t="str">
        <f>'FICHA PROJETO'!$I$2</f>
        <v>PR.0079</v>
      </c>
      <c r="B8" s="43"/>
      <c r="C8" s="42"/>
      <c r="D8" s="44"/>
      <c r="E8" s="45" t="s">
        <v>288</v>
      </c>
      <c r="F8" s="45" t="s">
        <v>288</v>
      </c>
      <c r="G8" s="45" t="str">
        <f t="shared" ref="G8" si="4">E8&amp;"-"&amp;F8</f>
        <v>-Seleccionar---Seleccionar-</v>
      </c>
      <c r="H8" s="46" t="e">
        <f>VLOOKUP(G8,Valores!$B$59:$D$68,2,FALSE)</f>
        <v>#N/A</v>
      </c>
      <c r="I8" s="45" t="e">
        <f>VLOOKUP(G8,Valores!$B$59:$D$68,3,FALSE)</f>
        <v>#N/A</v>
      </c>
    </row>
  </sheetData>
  <pageMargins left="0.7" right="0.7" top="0.75" bottom="0.75" header="0.3" footer="0.3"/>
  <ignoredErrors>
    <ignoredError sqref="H2:I4" evalError="1"/>
  </ignoredErrors>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6D9FF45-9C37-4378-ACF0-9FBC00F39975}">
          <x14:formula1>
            <xm:f>Valores!$B$48:$B$51</xm:f>
          </x14:formula1>
          <xm:sqref>E2:E8</xm:sqref>
        </x14:dataValidation>
        <x14:dataValidation type="list" allowBlank="1" showInputMessage="1" showErrorMessage="1" xr:uid="{3B5A6C99-4B8B-4684-BDD8-C2240918977E}">
          <x14:formula1>
            <xm:f>Valores!$B$54:$B$57</xm:f>
          </x14:formula1>
          <xm:sqref>F2:F8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B1CE4-0541-4251-B2DF-D3E5603F6D06}">
  <dimension ref="A1:Y2"/>
  <sheetViews>
    <sheetView showGridLines="0" workbookViewId="0">
      <selection activeCell="D1" sqref="D1:I2"/>
    </sheetView>
  </sheetViews>
  <sheetFormatPr defaultColWidth="11.5546875" defaultRowHeight="13.8" x14ac:dyDescent="0.3"/>
  <cols>
    <col min="1" max="1" width="18.109375" style="18" bestFit="1" customWidth="1"/>
    <col min="2" max="2" width="18.109375" style="18" customWidth="1"/>
    <col min="3" max="3" width="11.88671875" style="18" bestFit="1" customWidth="1"/>
    <col min="4" max="4" width="21.88671875" style="18" bestFit="1" customWidth="1"/>
    <col min="5" max="5" width="14" style="18" bestFit="1" customWidth="1"/>
    <col min="6" max="6" width="18.88671875" style="18" bestFit="1" customWidth="1"/>
    <col min="7" max="9" width="18.88671875" style="18" customWidth="1"/>
    <col min="10" max="10" width="25.33203125" style="18" bestFit="1" customWidth="1"/>
    <col min="11" max="11" width="35.6640625" style="18" bestFit="1" customWidth="1"/>
    <col min="12" max="12" width="20.88671875" style="18" bestFit="1" customWidth="1"/>
    <col min="13" max="13" width="50.5546875" style="18" bestFit="1" customWidth="1"/>
    <col min="14" max="14" width="18.88671875" style="18" bestFit="1" customWidth="1"/>
    <col min="15" max="15" width="18.6640625" style="18" bestFit="1" customWidth="1"/>
    <col min="16" max="16" width="19.44140625" style="18" bestFit="1" customWidth="1"/>
    <col min="17" max="17" width="18.6640625" style="18" bestFit="1" customWidth="1"/>
    <col min="18" max="18" width="45.44140625" style="18" bestFit="1" customWidth="1"/>
    <col min="19" max="20" width="10.5546875" style="18" bestFit="1" customWidth="1"/>
    <col min="21" max="21" width="30.88671875" style="18" bestFit="1" customWidth="1"/>
    <col min="22" max="22" width="19.6640625" style="18" bestFit="1" customWidth="1"/>
    <col min="23" max="23" width="16.88671875" style="18" bestFit="1" customWidth="1"/>
    <col min="24" max="24" width="18.109375" style="18" bestFit="1" customWidth="1"/>
    <col min="25" max="25" width="18.33203125" style="18" bestFit="1" customWidth="1"/>
    <col min="26" max="16384" width="11.5546875" style="18"/>
  </cols>
  <sheetData>
    <row r="1" spans="1:25" x14ac:dyDescent="0.3">
      <c r="A1" s="28" t="s">
        <v>289</v>
      </c>
      <c r="B1" s="29" t="s">
        <v>135</v>
      </c>
      <c r="C1" s="29" t="s">
        <v>290</v>
      </c>
      <c r="D1" s="30" t="s">
        <v>291</v>
      </c>
      <c r="E1" s="30" t="s">
        <v>292</v>
      </c>
      <c r="F1" s="30" t="s">
        <v>293</v>
      </c>
      <c r="G1" s="30" t="s">
        <v>294</v>
      </c>
      <c r="H1" s="30" t="s">
        <v>295</v>
      </c>
      <c r="I1" s="30" t="s">
        <v>296</v>
      </c>
      <c r="J1" s="29" t="s">
        <v>297</v>
      </c>
      <c r="K1" s="28" t="s">
        <v>298</v>
      </c>
      <c r="L1" s="28" t="s">
        <v>299</v>
      </c>
      <c r="M1" s="28" t="s">
        <v>300</v>
      </c>
      <c r="N1" s="28" t="s">
        <v>301</v>
      </c>
      <c r="O1" s="28" t="s">
        <v>282</v>
      </c>
      <c r="P1" s="28" t="s">
        <v>302</v>
      </c>
      <c r="Q1" s="28" t="s">
        <v>303</v>
      </c>
      <c r="R1" s="28" t="s">
        <v>304</v>
      </c>
      <c r="S1" s="28" t="s">
        <v>305</v>
      </c>
      <c r="T1" s="28" t="s">
        <v>306</v>
      </c>
      <c r="U1" s="28" t="s">
        <v>307</v>
      </c>
      <c r="V1" s="28" t="s">
        <v>308</v>
      </c>
      <c r="W1" s="28" t="s">
        <v>309</v>
      </c>
      <c r="X1" s="28" t="s">
        <v>310</v>
      </c>
      <c r="Y1" s="28" t="s">
        <v>311</v>
      </c>
    </row>
    <row r="2" spans="1:25" s="24" customFormat="1" ht="55.2" x14ac:dyDescent="0.3">
      <c r="A2" s="19" t="str">
        <f>'FICHA PROJETO'!D2</f>
        <v>ALMA for Stores / RH / Product</v>
      </c>
      <c r="B2" s="20" t="str">
        <f>'FICHA PROJETO'!I2</f>
        <v>PR.0079</v>
      </c>
      <c r="C2" s="20" t="str">
        <f>'FICHA PROJETO'!G2</f>
        <v>IN.014</v>
      </c>
      <c r="D2" s="19" t="str">
        <f>'FICHA PROJETO'!C4</f>
        <v>Technology</v>
      </c>
      <c r="E2" s="19" t="str">
        <f>'FICHA PROJETO'!D4</f>
        <v>Jesús Salceda</v>
      </c>
      <c r="F2" s="20" t="str">
        <f>'FICHA PROJETO'!E4</f>
        <v>João Montenegro</v>
      </c>
      <c r="G2" s="124">
        <f>'FICHA PROJETO'!F4</f>
        <v>200000</v>
      </c>
      <c r="H2" s="20" t="str">
        <f>'FICHA PROJETO'!G4</f>
        <v>DGR00007</v>
      </c>
      <c r="I2" s="20" t="str">
        <f>'FICHA PROJETO'!H4</f>
        <v>DSI</v>
      </c>
      <c r="J2" s="26" t="str">
        <f>'FICHA PROJETO'!I4</f>
        <v>ESTRATÉGICA</v>
      </c>
      <c r="K2" s="21" t="str">
        <f>'FICHA PROJETO'!C6</f>
        <v xml:space="preserve">1.Eficiência, 2.Vendas, 3.Custos, 4.Sustentabilidade, 6.Digitalização
</v>
      </c>
      <c r="L2" s="21">
        <f>'FICHA PROJETO'!D6</f>
        <v>0</v>
      </c>
      <c r="M2" s="22">
        <f>'FICHA PROJETO'!E6</f>
        <v>0</v>
      </c>
      <c r="N2" s="22">
        <f>'FICHA PROJETO'!F8</f>
        <v>0</v>
      </c>
      <c r="O2" s="22">
        <f>'FICHA PROJETO'!H6</f>
        <v>0</v>
      </c>
      <c r="P2" s="23" t="str">
        <f>'FICHA PROJETO'!F10</f>
        <v>MÉDIO</v>
      </c>
      <c r="Q2" s="24">
        <f>'FICHA PROJETO'!I10</f>
        <v>0</v>
      </c>
      <c r="R2" s="21">
        <f>'FICHA PROJETO'!C12</f>
        <v>0</v>
      </c>
      <c r="S2" s="25">
        <f>'FICHA PROJETO'!H13</f>
        <v>45299</v>
      </c>
      <c r="T2" s="25">
        <f>'FICHA PROJETO'!I13</f>
        <v>45565</v>
      </c>
      <c r="U2" s="24">
        <f>'FICHA PROJETO'!C15</f>
        <v>0</v>
      </c>
      <c r="V2" s="24">
        <f>'FICHA PROJETO'!E15</f>
        <v>0</v>
      </c>
      <c r="W2" s="24">
        <f>'FICHA PROJETO'!G15</f>
        <v>0</v>
      </c>
      <c r="X2" s="24">
        <f>'FICHA PROJETO'!H16</f>
        <v>0</v>
      </c>
      <c r="Y2" s="24">
        <f>'FICHA PROJETO'!I16</f>
        <v>0</v>
      </c>
    </row>
  </sheetData>
  <pageMargins left="0.7" right="0.7" top="0.75" bottom="0.75" header="0.3" footer="0.3"/>
  <ignoredErrors>
    <ignoredError xmlns:x16r3="http://schemas.microsoft.com/office/spreadsheetml/2018/08/main" sqref="X2" x16r3:misleadingForma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1699-47B9-4BD8-928A-6C77BCCF56F4}">
  <dimension ref="B1:H68"/>
  <sheetViews>
    <sheetView showGridLines="0" topLeftCell="A21" workbookViewId="0">
      <selection activeCell="F39" sqref="F39"/>
    </sheetView>
  </sheetViews>
  <sheetFormatPr defaultColWidth="11.5546875" defaultRowHeight="14.4" x14ac:dyDescent="0.3"/>
  <cols>
    <col min="1" max="1" width="2.33203125" customWidth="1"/>
    <col min="2" max="2" width="21.88671875" customWidth="1"/>
    <col min="3" max="3" width="56.44140625" style="1" bestFit="1" customWidth="1"/>
    <col min="4" max="4" width="14.33203125" bestFit="1" customWidth="1"/>
    <col min="5" max="5" width="11.6640625" bestFit="1" customWidth="1"/>
    <col min="6" max="6" width="20.109375" bestFit="1" customWidth="1"/>
    <col min="7" max="7" width="42.33203125" bestFit="1" customWidth="1"/>
    <col min="8" max="8" width="16.6640625" customWidth="1"/>
    <col min="9" max="9" width="12.5546875" bestFit="1" customWidth="1"/>
    <col min="10" max="10" width="6.33203125" bestFit="1" customWidth="1"/>
    <col min="11" max="11" width="3.5546875" bestFit="1" customWidth="1"/>
  </cols>
  <sheetData>
    <row r="1" spans="2:7" ht="9.6" customHeight="1" x14ac:dyDescent="0.3"/>
    <row r="2" spans="2:7" ht="14.7" customHeight="1" x14ac:dyDescent="0.3">
      <c r="B2" s="168" t="s">
        <v>312</v>
      </c>
      <c r="C2" s="169"/>
      <c r="D2" s="169"/>
      <c r="E2" s="170"/>
      <c r="G2" s="171" t="s">
        <v>313</v>
      </c>
    </row>
    <row r="3" spans="2:7" ht="14.7" customHeight="1" x14ac:dyDescent="0.3">
      <c r="B3" s="2" t="s">
        <v>314</v>
      </c>
      <c r="C3" s="3" t="str">
        <f>"&gt; 1200 HORAS OU &gt; " &amp; FIXED(D3,2,) &amp; " €"</f>
        <v>&gt; 1200 HORAS OU &gt; 67 200,00 €</v>
      </c>
      <c r="D3" s="4">
        <f>1200*$G$4</f>
        <v>67200</v>
      </c>
      <c r="E3" s="5"/>
      <c r="G3" s="172"/>
    </row>
    <row r="4" spans="2:7" x14ac:dyDescent="0.3">
      <c r="B4" s="2" t="s">
        <v>26</v>
      </c>
      <c r="C4" s="3" t="str">
        <f>"&gt; 500 y &lt; 1200 HORAS OU &gt; "&amp;FIXED(D4,2,)&amp;" € y &lt; "&amp;FIXED(E4,2,)&amp;" €"</f>
        <v>&gt; 500 y &lt; 1200 HORAS OU &gt; 28 000,00 € y &lt; 67 200,00 €</v>
      </c>
      <c r="D4" s="4">
        <f>500*$G$4</f>
        <v>28000</v>
      </c>
      <c r="E4" s="4">
        <f>$D$3</f>
        <v>67200</v>
      </c>
      <c r="G4" s="6">
        <v>56</v>
      </c>
    </row>
    <row r="5" spans="2:7" x14ac:dyDescent="0.3">
      <c r="B5" s="2" t="s">
        <v>315</v>
      </c>
      <c r="C5" s="3" t="str">
        <f>"&gt; 300 y &lt; 500 HORAS OU &gt; "&amp;" "&amp;FIXED(D5,2,)&amp;" € y &lt; "&amp;" "&amp;FIXED(E5,2,)&amp; " €"</f>
        <v>&gt; 300 y &lt; 500 HORAS OU &gt;  16 800,00 € y &lt;  28 000,00 €</v>
      </c>
      <c r="D5" s="4">
        <f>300*$G$4</f>
        <v>16800</v>
      </c>
      <c r="E5" s="4">
        <f>$D$4</f>
        <v>28000</v>
      </c>
    </row>
    <row r="7" spans="2:7" x14ac:dyDescent="0.3">
      <c r="B7" s="168" t="s">
        <v>316</v>
      </c>
      <c r="C7" s="170"/>
    </row>
    <row r="8" spans="2:7" ht="28.8" x14ac:dyDescent="0.3">
      <c r="B8" s="2" t="s">
        <v>314</v>
      </c>
      <c r="C8" s="7" t="s">
        <v>317</v>
      </c>
      <c r="D8" s="17"/>
      <c r="E8" s="17"/>
    </row>
    <row r="9" spans="2:7" ht="28.8" x14ac:dyDescent="0.3">
      <c r="B9" s="2" t="s">
        <v>26</v>
      </c>
      <c r="C9" s="7" t="s">
        <v>318</v>
      </c>
      <c r="D9" s="17"/>
      <c r="E9" s="17"/>
    </row>
    <row r="10" spans="2:7" x14ac:dyDescent="0.3">
      <c r="B10" s="2" t="s">
        <v>315</v>
      </c>
      <c r="C10" s="7" t="s">
        <v>319</v>
      </c>
      <c r="D10" s="17"/>
      <c r="E10" s="17"/>
      <c r="F10" s="17"/>
    </row>
    <row r="12" spans="2:7" x14ac:dyDescent="0.3">
      <c r="B12" s="166" t="s">
        <v>320</v>
      </c>
      <c r="C12" s="167"/>
    </row>
    <row r="13" spans="2:7" ht="28.8" x14ac:dyDescent="0.3">
      <c r="B13" s="2" t="s">
        <v>314</v>
      </c>
      <c r="C13" s="7" t="s">
        <v>321</v>
      </c>
      <c r="D13" s="8"/>
      <c r="E13" s="8"/>
      <c r="F13" s="8"/>
    </row>
    <row r="14" spans="2:7" ht="43.2" x14ac:dyDescent="0.3">
      <c r="B14" s="2" t="s">
        <v>26</v>
      </c>
      <c r="C14" s="7" t="s">
        <v>322</v>
      </c>
      <c r="D14" s="8"/>
      <c r="E14" s="8"/>
      <c r="F14" s="8"/>
    </row>
    <row r="15" spans="2:7" ht="28.8" x14ac:dyDescent="0.3">
      <c r="B15" s="2" t="s">
        <v>315</v>
      </c>
      <c r="C15" s="7" t="s">
        <v>323</v>
      </c>
      <c r="D15" s="8"/>
      <c r="E15" s="8"/>
      <c r="F15" s="8"/>
      <c r="G15" s="8"/>
    </row>
    <row r="18" spans="2:8" x14ac:dyDescent="0.3">
      <c r="B18" s="9" t="s">
        <v>324</v>
      </c>
      <c r="C18" s="10" t="s">
        <v>325</v>
      </c>
      <c r="D18" s="9" t="s">
        <v>326</v>
      </c>
      <c r="F18" s="11" t="s">
        <v>325</v>
      </c>
      <c r="G18" s="12" t="s">
        <v>327</v>
      </c>
    </row>
    <row r="19" spans="2:8" x14ac:dyDescent="0.3">
      <c r="B19" s="13" t="s">
        <v>328</v>
      </c>
      <c r="C19" s="13" t="s">
        <v>329</v>
      </c>
      <c r="D19" s="5" t="str">
        <f>VLOOKUP(C19,$F$19:$G$22,2,FALSE)</f>
        <v>MUITO GRANDE</v>
      </c>
      <c r="F19" s="14" t="s">
        <v>330</v>
      </c>
      <c r="G19" s="14" t="s">
        <v>331</v>
      </c>
    </row>
    <row r="20" spans="2:8" x14ac:dyDescent="0.3">
      <c r="B20" s="13" t="s">
        <v>332</v>
      </c>
      <c r="C20" s="13" t="s">
        <v>329</v>
      </c>
      <c r="D20" s="5" t="str">
        <f t="shared" ref="D20:D45" si="0">VLOOKUP(C20,$F$19:$G$22,2,FALSE)</f>
        <v>MUITO GRANDE</v>
      </c>
      <c r="F20" s="13" t="s">
        <v>26</v>
      </c>
      <c r="G20" s="14" t="s">
        <v>331</v>
      </c>
    </row>
    <row r="21" spans="2:8" x14ac:dyDescent="0.3">
      <c r="B21" s="13" t="s">
        <v>333</v>
      </c>
      <c r="C21" s="13" t="s">
        <v>334</v>
      </c>
      <c r="D21" s="5" t="str">
        <f t="shared" si="0"/>
        <v>GRANDE</v>
      </c>
      <c r="F21" s="13" t="s">
        <v>334</v>
      </c>
      <c r="G21" s="14" t="s">
        <v>335</v>
      </c>
    </row>
    <row r="22" spans="2:8" x14ac:dyDescent="0.3">
      <c r="B22" s="15" t="s">
        <v>336</v>
      </c>
      <c r="C22" s="15" t="s">
        <v>329</v>
      </c>
      <c r="D22" s="5" t="str">
        <f t="shared" si="0"/>
        <v>MUITO GRANDE</v>
      </c>
      <c r="F22" s="16" t="s">
        <v>329</v>
      </c>
      <c r="G22" s="16" t="s">
        <v>337</v>
      </c>
    </row>
    <row r="23" spans="2:8" x14ac:dyDescent="0.3">
      <c r="B23" s="13" t="s">
        <v>338</v>
      </c>
      <c r="C23" s="13" t="s">
        <v>334</v>
      </c>
      <c r="D23" s="5" t="str">
        <f t="shared" si="0"/>
        <v>GRANDE</v>
      </c>
    </row>
    <row r="24" spans="2:8" ht="28.8" x14ac:dyDescent="0.3">
      <c r="B24" s="13" t="s">
        <v>339</v>
      </c>
      <c r="C24" s="13" t="s">
        <v>334</v>
      </c>
      <c r="D24" s="5" t="str">
        <f t="shared" si="0"/>
        <v>GRANDE</v>
      </c>
      <c r="F24" s="11" t="s">
        <v>340</v>
      </c>
      <c r="G24" s="11" t="s">
        <v>341</v>
      </c>
      <c r="H24" s="11" t="s">
        <v>342</v>
      </c>
    </row>
    <row r="25" spans="2:8" x14ac:dyDescent="0.3">
      <c r="B25" s="13" t="s">
        <v>343</v>
      </c>
      <c r="C25" s="13" t="s">
        <v>334</v>
      </c>
      <c r="D25" s="5" t="str">
        <f t="shared" si="0"/>
        <v>GRANDE</v>
      </c>
      <c r="F25" s="14" t="s">
        <v>288</v>
      </c>
      <c r="G25" s="14"/>
      <c r="H25" s="27"/>
    </row>
    <row r="26" spans="2:8" ht="14.7" customHeight="1" x14ac:dyDescent="0.3">
      <c r="B26" s="13" t="s">
        <v>344</v>
      </c>
      <c r="C26" s="13" t="s">
        <v>334</v>
      </c>
      <c r="D26" s="5" t="str">
        <f t="shared" si="0"/>
        <v>GRANDE</v>
      </c>
      <c r="F26" s="14" t="s">
        <v>64</v>
      </c>
      <c r="G26" s="14" t="s">
        <v>345</v>
      </c>
      <c r="H26" s="27">
        <v>1</v>
      </c>
    </row>
    <row r="27" spans="2:8" x14ac:dyDescent="0.3">
      <c r="B27" s="13" t="s">
        <v>346</v>
      </c>
      <c r="C27" s="13" t="s">
        <v>334</v>
      </c>
      <c r="D27" s="5" t="str">
        <f t="shared" si="0"/>
        <v>GRANDE</v>
      </c>
      <c r="F27" s="14" t="s">
        <v>347</v>
      </c>
      <c r="G27" s="14" t="s">
        <v>348</v>
      </c>
      <c r="H27" s="27">
        <v>0.75</v>
      </c>
    </row>
    <row r="28" spans="2:8" x14ac:dyDescent="0.3">
      <c r="B28" s="13" t="s">
        <v>349</v>
      </c>
      <c r="C28" s="13" t="s">
        <v>329</v>
      </c>
      <c r="D28" s="5" t="str">
        <f t="shared" si="0"/>
        <v>MUITO GRANDE</v>
      </c>
      <c r="F28" s="14" t="s">
        <v>350</v>
      </c>
      <c r="G28" s="14" t="s">
        <v>351</v>
      </c>
      <c r="H28" s="27">
        <v>0.5</v>
      </c>
    </row>
    <row r="29" spans="2:8" x14ac:dyDescent="0.3">
      <c r="B29" s="13" t="s">
        <v>352</v>
      </c>
      <c r="C29" s="13" t="s">
        <v>334</v>
      </c>
      <c r="D29" s="5" t="str">
        <f t="shared" si="0"/>
        <v>GRANDE</v>
      </c>
      <c r="F29" s="14" t="s">
        <v>353</v>
      </c>
      <c r="G29" s="14" t="s">
        <v>354</v>
      </c>
      <c r="H29" s="27">
        <v>0.25</v>
      </c>
    </row>
    <row r="30" spans="2:8" x14ac:dyDescent="0.3">
      <c r="B30" s="13" t="s">
        <v>355</v>
      </c>
      <c r="C30" s="13" t="s">
        <v>26</v>
      </c>
      <c r="D30" s="5" t="str">
        <f t="shared" si="0"/>
        <v>PEQUENO</v>
      </c>
    </row>
    <row r="31" spans="2:8" x14ac:dyDescent="0.3">
      <c r="B31" s="13" t="s">
        <v>356</v>
      </c>
      <c r="C31" s="13" t="s">
        <v>334</v>
      </c>
      <c r="D31" s="5" t="str">
        <f t="shared" si="0"/>
        <v>GRANDE</v>
      </c>
      <c r="F31" s="12" t="s">
        <v>25</v>
      </c>
    </row>
    <row r="32" spans="2:8" x14ac:dyDescent="0.3">
      <c r="B32" s="13" t="s">
        <v>357</v>
      </c>
      <c r="C32" s="13" t="s">
        <v>26</v>
      </c>
      <c r="D32" s="5" t="str">
        <f t="shared" si="0"/>
        <v>PEQUENO</v>
      </c>
      <c r="F32" s="14" t="s">
        <v>358</v>
      </c>
    </row>
    <row r="33" spans="2:7" x14ac:dyDescent="0.3">
      <c r="B33" s="13" t="s">
        <v>359</v>
      </c>
      <c r="C33" s="13" t="s">
        <v>26</v>
      </c>
      <c r="D33" s="5" t="str">
        <f t="shared" si="0"/>
        <v>PEQUENO</v>
      </c>
      <c r="F33" s="14" t="s">
        <v>26</v>
      </c>
    </row>
    <row r="34" spans="2:7" x14ac:dyDescent="0.3">
      <c r="B34" s="13" t="s">
        <v>360</v>
      </c>
      <c r="C34" s="13" t="s">
        <v>26</v>
      </c>
      <c r="D34" s="5" t="str">
        <f t="shared" si="0"/>
        <v>PEQUENO</v>
      </c>
      <c r="F34" s="14" t="s">
        <v>361</v>
      </c>
    </row>
    <row r="35" spans="2:7" x14ac:dyDescent="0.3">
      <c r="B35" s="13" t="s">
        <v>362</v>
      </c>
      <c r="C35" s="13" t="s">
        <v>26</v>
      </c>
      <c r="D35" s="5" t="str">
        <f t="shared" si="0"/>
        <v>PEQUENO</v>
      </c>
    </row>
    <row r="36" spans="2:7" x14ac:dyDescent="0.3">
      <c r="B36" s="15" t="s">
        <v>363</v>
      </c>
      <c r="C36" s="15" t="s">
        <v>330</v>
      </c>
      <c r="D36" s="5" t="str">
        <f t="shared" si="0"/>
        <v>PEQUENO</v>
      </c>
      <c r="F36" s="12" t="s">
        <v>364</v>
      </c>
      <c r="G36" s="12" t="s">
        <v>365</v>
      </c>
    </row>
    <row r="37" spans="2:7" x14ac:dyDescent="0.3">
      <c r="B37" s="13" t="s">
        <v>366</v>
      </c>
      <c r="C37" s="13" t="s">
        <v>334</v>
      </c>
      <c r="D37" s="5" t="str">
        <f t="shared" si="0"/>
        <v>GRANDE</v>
      </c>
      <c r="F37" s="14" t="s">
        <v>367</v>
      </c>
      <c r="G37" s="14" t="s">
        <v>368</v>
      </c>
    </row>
    <row r="38" spans="2:7" x14ac:dyDescent="0.3">
      <c r="B38" s="13" t="s">
        <v>369</v>
      </c>
      <c r="C38" s="13" t="s">
        <v>26</v>
      </c>
      <c r="D38" s="5" t="str">
        <f t="shared" si="0"/>
        <v>PEQUENO</v>
      </c>
      <c r="F38" s="14" t="s">
        <v>370</v>
      </c>
      <c r="G38" s="14" t="s">
        <v>371</v>
      </c>
    </row>
    <row r="39" spans="2:7" x14ac:dyDescent="0.3">
      <c r="B39" s="13" t="s">
        <v>372</v>
      </c>
      <c r="C39" s="13" t="s">
        <v>26</v>
      </c>
      <c r="D39" s="5" t="str">
        <f t="shared" si="0"/>
        <v>PEQUENO</v>
      </c>
      <c r="F39" s="14" t="s">
        <v>373</v>
      </c>
      <c r="G39" s="14" t="s">
        <v>374</v>
      </c>
    </row>
    <row r="40" spans="2:7" x14ac:dyDescent="0.3">
      <c r="B40" s="13" t="s">
        <v>375</v>
      </c>
      <c r="C40" s="13" t="s">
        <v>26</v>
      </c>
      <c r="D40" s="5" t="str">
        <f t="shared" si="0"/>
        <v>PEQUENO</v>
      </c>
      <c r="F40" s="14" t="s">
        <v>376</v>
      </c>
      <c r="G40" s="14" t="s">
        <v>377</v>
      </c>
    </row>
    <row r="41" spans="2:7" x14ac:dyDescent="0.3">
      <c r="B41" s="13" t="s">
        <v>378</v>
      </c>
      <c r="C41" s="13" t="s">
        <v>26</v>
      </c>
      <c r="D41" s="5" t="str">
        <f t="shared" si="0"/>
        <v>PEQUENO</v>
      </c>
    </row>
    <row r="42" spans="2:7" x14ac:dyDescent="0.3">
      <c r="B42" s="13" t="s">
        <v>379</v>
      </c>
      <c r="C42" s="13" t="s">
        <v>26</v>
      </c>
      <c r="D42" s="5" t="str">
        <f t="shared" si="0"/>
        <v>PEQUENO</v>
      </c>
    </row>
    <row r="43" spans="2:7" x14ac:dyDescent="0.3">
      <c r="B43" s="13" t="s">
        <v>380</v>
      </c>
      <c r="C43" s="13" t="s">
        <v>26</v>
      </c>
      <c r="D43" s="5" t="str">
        <f t="shared" si="0"/>
        <v>PEQUENO</v>
      </c>
    </row>
    <row r="44" spans="2:7" x14ac:dyDescent="0.3">
      <c r="B44" s="15" t="s">
        <v>381</v>
      </c>
      <c r="C44" s="15" t="s">
        <v>330</v>
      </c>
      <c r="D44" s="5" t="str">
        <f t="shared" si="0"/>
        <v>PEQUENO</v>
      </c>
    </row>
    <row r="45" spans="2:7" x14ac:dyDescent="0.3">
      <c r="B45" s="15" t="s">
        <v>382</v>
      </c>
      <c r="C45" s="15" t="s">
        <v>330</v>
      </c>
      <c r="D45" s="5" t="str">
        <f t="shared" si="0"/>
        <v>PEQUENO</v>
      </c>
    </row>
    <row r="46" spans="2:7" ht="13.95" customHeight="1" x14ac:dyDescent="0.3"/>
    <row r="47" spans="2:7" x14ac:dyDescent="0.3">
      <c r="B47" s="166" t="s">
        <v>383</v>
      </c>
      <c r="C47" s="167"/>
    </row>
    <row r="48" spans="2:7" x14ac:dyDescent="0.3">
      <c r="B48" s="36" t="s">
        <v>288</v>
      </c>
      <c r="C48" s="7"/>
    </row>
    <row r="49" spans="2:4" x14ac:dyDescent="0.3">
      <c r="B49" s="37" t="s">
        <v>384</v>
      </c>
      <c r="C49" s="7" t="s">
        <v>385</v>
      </c>
    </row>
    <row r="50" spans="2:4" x14ac:dyDescent="0.3">
      <c r="B50" s="37" t="s">
        <v>386</v>
      </c>
      <c r="C50" s="7" t="s">
        <v>387</v>
      </c>
    </row>
    <row r="51" spans="2:4" x14ac:dyDescent="0.3">
      <c r="B51" s="37" t="s">
        <v>388</v>
      </c>
      <c r="C51" s="7" t="s">
        <v>389</v>
      </c>
    </row>
    <row r="53" spans="2:4" x14ac:dyDescent="0.3">
      <c r="B53" s="166" t="s">
        <v>390</v>
      </c>
      <c r="C53" s="167"/>
    </row>
    <row r="54" spans="2:4" x14ac:dyDescent="0.3">
      <c r="B54" s="36" t="s">
        <v>288</v>
      </c>
      <c r="C54" s="7"/>
    </row>
    <row r="55" spans="2:4" x14ac:dyDescent="0.3">
      <c r="B55" s="37" t="s">
        <v>314</v>
      </c>
      <c r="C55" s="7" t="s">
        <v>391</v>
      </c>
    </row>
    <row r="56" spans="2:4" x14ac:dyDescent="0.3">
      <c r="B56" s="37" t="s">
        <v>26</v>
      </c>
      <c r="C56" s="7" t="s">
        <v>392</v>
      </c>
    </row>
    <row r="57" spans="2:4" x14ac:dyDescent="0.3">
      <c r="B57" s="37" t="s">
        <v>315</v>
      </c>
      <c r="C57" s="7" t="s">
        <v>393</v>
      </c>
    </row>
    <row r="59" spans="2:4" x14ac:dyDescent="0.3">
      <c r="B59" s="9" t="s">
        <v>324</v>
      </c>
      <c r="C59" s="10" t="s">
        <v>394</v>
      </c>
      <c r="D59" s="9" t="s">
        <v>395</v>
      </c>
    </row>
    <row r="60" spans="2:4" x14ac:dyDescent="0.3">
      <c r="B60" s="13" t="s">
        <v>396</v>
      </c>
      <c r="C60" s="13" t="s">
        <v>397</v>
      </c>
      <c r="D60" s="5">
        <v>4</v>
      </c>
    </row>
    <row r="61" spans="2:4" x14ac:dyDescent="0.3">
      <c r="B61" s="13" t="s">
        <v>398</v>
      </c>
      <c r="C61" s="13" t="s">
        <v>397</v>
      </c>
      <c r="D61" s="5">
        <v>4</v>
      </c>
    </row>
    <row r="62" spans="2:4" x14ac:dyDescent="0.3">
      <c r="B62" s="13" t="s">
        <v>399</v>
      </c>
      <c r="C62" s="15" t="s">
        <v>400</v>
      </c>
      <c r="D62" s="5">
        <v>3</v>
      </c>
    </row>
    <row r="63" spans="2:4" x14ac:dyDescent="0.3">
      <c r="B63" s="15" t="s">
        <v>401</v>
      </c>
      <c r="C63" s="13" t="s">
        <v>397</v>
      </c>
      <c r="D63" s="5">
        <v>4</v>
      </c>
    </row>
    <row r="64" spans="2:4" x14ac:dyDescent="0.3">
      <c r="B64" s="15" t="s">
        <v>402</v>
      </c>
      <c r="C64" s="15" t="s">
        <v>403</v>
      </c>
      <c r="D64" s="5">
        <v>2</v>
      </c>
    </row>
    <row r="65" spans="2:4" x14ac:dyDescent="0.3">
      <c r="B65" s="15" t="s">
        <v>404</v>
      </c>
      <c r="C65" s="15" t="s">
        <v>403</v>
      </c>
      <c r="D65" s="5">
        <v>2</v>
      </c>
    </row>
    <row r="66" spans="2:4" x14ac:dyDescent="0.3">
      <c r="B66" s="13" t="s">
        <v>405</v>
      </c>
      <c r="C66" s="15" t="s">
        <v>400</v>
      </c>
      <c r="D66" s="5">
        <v>3</v>
      </c>
    </row>
    <row r="67" spans="2:4" x14ac:dyDescent="0.3">
      <c r="B67" s="13" t="s">
        <v>406</v>
      </c>
      <c r="C67" s="15" t="s">
        <v>403</v>
      </c>
      <c r="D67" s="5">
        <v>2</v>
      </c>
    </row>
    <row r="68" spans="2:4" x14ac:dyDescent="0.3">
      <c r="B68" s="13" t="s">
        <v>407</v>
      </c>
      <c r="C68" s="15" t="s">
        <v>408</v>
      </c>
      <c r="D68" s="5">
        <v>1</v>
      </c>
    </row>
  </sheetData>
  <mergeCells count="6">
    <mergeCell ref="B53:C53"/>
    <mergeCell ref="B2:E2"/>
    <mergeCell ref="G2:G3"/>
    <mergeCell ref="B7:C7"/>
    <mergeCell ref="B12:C12"/>
    <mergeCell ref="B47:C4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8C566D74321D8458B8D22EBC5CFA73C" ma:contentTypeVersion="10" ma:contentTypeDescription="Criar um novo documento." ma:contentTypeScope="" ma:versionID="6a3eb1b9974d210919b61ec74e3616e2">
  <xsd:schema xmlns:xsd="http://www.w3.org/2001/XMLSchema" xmlns:xs="http://www.w3.org/2001/XMLSchema" xmlns:p="http://schemas.microsoft.com/office/2006/metadata/properties" xmlns:ns2="13bebc42-c19c-434c-9e45-9ba222630871" xmlns:ns3="861e4b42-e675-4b16-b74f-0149383ffd92" targetNamespace="http://schemas.microsoft.com/office/2006/metadata/properties" ma:root="true" ma:fieldsID="ddd7e2f5064aa95eb485c461f76473ec" ns2:_="" ns3:_="">
    <xsd:import namespace="13bebc42-c19c-434c-9e45-9ba222630871"/>
    <xsd:import namespace="861e4b42-e675-4b16-b74f-0149383ffd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ebc42-c19c-434c-9e45-9ba2226308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61e4b42-e675-4b16-b74f-0149383ffd92"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61e4b42-e675-4b16-b74f-0149383ffd92">
      <UserInfo>
        <DisplayName>Gabriel Soares</DisplayName>
        <AccountId>15</AccountId>
        <AccountType/>
      </UserInfo>
    </SharedWithUsers>
  </documentManagement>
</p:properties>
</file>

<file path=customXml/itemProps1.xml><?xml version="1.0" encoding="utf-8"?>
<ds:datastoreItem xmlns:ds="http://schemas.openxmlformats.org/officeDocument/2006/customXml" ds:itemID="{4A4FA713-7C26-4FDE-842C-87B7F71CE7A6}">
  <ds:schemaRefs>
    <ds:schemaRef ds:uri="http://schemas.microsoft.com/sharepoint/v3/contenttype/forms"/>
  </ds:schemaRefs>
</ds:datastoreItem>
</file>

<file path=customXml/itemProps2.xml><?xml version="1.0" encoding="utf-8"?>
<ds:datastoreItem xmlns:ds="http://schemas.openxmlformats.org/officeDocument/2006/customXml" ds:itemID="{BD5813F4-E3AC-4643-8232-829044833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bebc42-c19c-434c-9e45-9ba222630871"/>
    <ds:schemaRef ds:uri="861e4b42-e675-4b16-b74f-0149383ff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DC8C23-41A4-4133-9076-CA42E64F8CC2}">
  <ds:schemaRefs>
    <ds:schemaRef ds:uri="http://schemas.microsoft.com/office/2006/documentManagement/types"/>
    <ds:schemaRef ds:uri="861e4b42-e675-4b16-b74f-0149383ffd92"/>
    <ds:schemaRef ds:uri="http://schemas.openxmlformats.org/package/2006/metadata/core-properties"/>
    <ds:schemaRef ds:uri="http://purl.org/dc/dcmitype/"/>
    <ds:schemaRef ds:uri="http://purl.org/dc/terms/"/>
    <ds:schemaRef ds:uri="http://purl.org/dc/elements/1.1/"/>
    <ds:schemaRef ds:uri="http://schemas.microsoft.com/office/infopath/2007/PartnerControls"/>
    <ds:schemaRef ds:uri="13bebc42-c19c-434c-9e45-9ba22263087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FICHA PROJETO</vt:lpstr>
      <vt:lpstr>PLANEAMENTO</vt:lpstr>
      <vt:lpstr>SEGUIMIENTO</vt:lpstr>
      <vt:lpstr>RISCOS</vt:lpstr>
      <vt:lpstr>FICHA PBI</vt:lpstr>
      <vt:lpstr>Valores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Cecilia Rodriguez-Couto Lopez</dc:creator>
  <cp:keywords/>
  <dc:description/>
  <cp:lastModifiedBy>Jorge Nieto Fernandez</cp:lastModifiedBy>
  <cp:revision/>
  <dcterms:created xsi:type="dcterms:W3CDTF">2022-09-14T15:30:57Z</dcterms:created>
  <dcterms:modified xsi:type="dcterms:W3CDTF">2024-11-15T15:08:00Z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0x01010088C566D74321D8458B8D22EBC5CFA73C</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Order">
    <vt:r8>800</vt:r8>
  </property>
  <property fmtid="{D5CDD505-2E9C-101B-9397-08002B2CF9AE}" pid="10" name="MediaServiceImageTags">
    <vt:lpwstr/>
  </property>
</Properties>
</file>